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omments5.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defaultThemeVersion="124226"/>
  <mc:AlternateContent xmlns:mc="http://schemas.openxmlformats.org/markup-compatibility/2006">
    <mc:Choice Requires="x15">
      <x15ac:absPath xmlns:x15ac="http://schemas.microsoft.com/office/spreadsheetml/2010/11/ac" url="C:\Users\a0235201\Desktop\"/>
    </mc:Choice>
  </mc:AlternateContent>
  <xr:revisionPtr revIDLastSave="0" documentId="13_ncr:1_{1304222C-CAC6-4140-B449-43DFF8FC3EF6}" xr6:coauthVersionLast="36" xr6:coauthVersionMax="36" xr10:uidLastSave="{00000000-0000-0000-0000-000000000000}"/>
  <workbookProtection workbookAlgorithmName="SHA-512" workbookHashValue="ecsVMYdm8qV5rN1GbykNvXcjtPPh1nWNeR+UEnbZTdUkV7Lo09fWtWHFdYM/YC/FRi3V1qgiMpJ01grWRtux7g==" workbookSaltValue="qM2vDIINA5RqckmIWGlLjw==" workbookSpinCount="100000" lockStructure="1"/>
  <bookViews>
    <workbookView xWindow="290" yWindow="380" windowWidth="11460" windowHeight="2960" tabRatio="730" xr2:uid="{00000000-000D-0000-FFFF-FFFF00000000}"/>
  </bookViews>
  <sheets>
    <sheet name="Design Converter" sheetId="1" r:id="rId1"/>
    <sheet name="Licenses" sheetId="12" r:id="rId2"/>
    <sheet name="Variable_Management" sheetId="2" state="hidden" r:id="rId3"/>
    <sheet name="CCM_Loop_Modeling_Isolated" sheetId="10" state="hidden" r:id="rId4"/>
    <sheet name="CCM_Loop_Modeling_non_isolated" sheetId="5" state="hidden" r:id="rId5"/>
    <sheet name="Eff_vs_IOUT" sheetId="4" state="hidden" r:id="rId6"/>
    <sheet name="Constants" sheetId="3" state="hidden" r:id="rId7"/>
    <sheet name="Plot_Management_Eff" sheetId="6" state="hidden" r:id="rId8"/>
    <sheet name="Lists" sheetId="8" state="hidden" r:id="rId9"/>
    <sheet name="Plot Management_Loop" sheetId="9" state="hidden" r:id="rId10"/>
    <sheet name="Plot Management_Sch" sheetId="11" state="hidden" r:id="rId11"/>
  </sheets>
  <definedNames>
    <definedName name="Acs">Constants!$B$32</definedName>
    <definedName name="Adc" localSheetId="3">CCM_Loop_Modeling_Isolated!$B$41</definedName>
    <definedName name="Adc">CCM_Loop_Modeling_non_isolated!$B$41</definedName>
    <definedName name="Adc_ea">CCM_Loop_Modeling_non_isolated!$B$69</definedName>
    <definedName name="Adc_ea_iso" localSheetId="3">CCM_Loop_Modeling_Isolated!$B$69</definedName>
    <definedName name="ADC_VINmin">Variable_Management!$B$178</definedName>
    <definedName name="CCOMP">Variable_Management!$B$270</definedName>
    <definedName name="CComp_calc">Variable_Management!$B$269</definedName>
    <definedName name="Ccomp_iso">Variable_Management!$B$231</definedName>
    <definedName name="Ccomp_iso_calc">Variable_Management!$B$230</definedName>
    <definedName name="CD3_">Variable_Management!$B$37</definedName>
    <definedName name="CHF">Variable_Management!$B$272</definedName>
    <definedName name="Comp_calc">Variable_Management!$B$269</definedName>
    <definedName name="Copto">Variable_Management!$B$213</definedName>
    <definedName name="Cout_total">Variable_Management!$B$150</definedName>
    <definedName name="Cout1">Variable_Management!$B$130</definedName>
    <definedName name="Cout1_min">Variable_Management!$B$128</definedName>
    <definedName name="Cout2">Variable_Management!$B$138</definedName>
    <definedName name="Cout2_min">Variable_Management!$B$136</definedName>
    <definedName name="Cout3">Variable_Management!$B$146</definedName>
    <definedName name="Cout3_min">Variable_Management!$B$144</definedName>
    <definedName name="D_limit_max">Constants!$B$20</definedName>
    <definedName name="D_limit_min">Constants!$B$18</definedName>
    <definedName name="D_limit_nom">Constants!$B$19</definedName>
    <definedName name="Dc_max_IC" localSheetId="3">Variable_Management!#REF!</definedName>
    <definedName name="Dc_max_IC">Variable_Management!#REF!</definedName>
    <definedName name="Dc_max_ideal" localSheetId="3">Variable_Management!#REF!</definedName>
    <definedName name="Dc_max_ideal">Variable_Management!#REF!</definedName>
    <definedName name="Dc_rip_max" localSheetId="3">Variable_Management!#REF!</definedName>
    <definedName name="Dc_rip_max">Variable_Management!#REF!</definedName>
    <definedName name="Dc_var_ccm" localSheetId="3">CCM_Loop_Modeling_Isolated!$B$40</definedName>
    <definedName name="Dc_var_ccm">CCM_Loop_Modeling_non_isolated!$B$40</definedName>
    <definedName name="Dc_VIN_max">Variable_Management!$B$59</definedName>
    <definedName name="Dc_VIN_min">Variable_Management!$B$57</definedName>
    <definedName name="Dc_VIN_nom">Variable_Management!$B$58</definedName>
    <definedName name="disp_test">INDIRECT(#REF!)</definedName>
    <definedName name="display_eff">INDIRECT(Plot_Management_Eff!$B$2)</definedName>
    <definedName name="display_LOOP">INDIRECT('Plot Management_Loop'!$A$2)</definedName>
    <definedName name="display_Sch">INDIRECT('Plot Management_Sch'!$A$1)</definedName>
    <definedName name="Dmax_limit">Variable_Management!$B$52</definedName>
    <definedName name="EFF_est">Variable_Management!$B$41</definedName>
    <definedName name="Eff_OUT_1">Plot_Management_Eff!$C$3</definedName>
    <definedName name="Eff_OUT_2">Plot_Management_Eff!$C$6</definedName>
    <definedName name="Eff_OUT_3">Plot_Management_Eff!$C$9</definedName>
    <definedName name="Eff_vs_IOUT">Plot_Management_Eff!$C$3</definedName>
    <definedName name="EN_OUT_2">Variable_Management!$B$23</definedName>
    <definedName name="EN_OUT_3">Variable_Management!$B$32</definedName>
    <definedName name="FB_type">Variable_Management!$B$175</definedName>
    <definedName name="fcross">Variable_Management!$B$253</definedName>
    <definedName name="fcross_est">Variable_Management!$B$252</definedName>
    <definedName name="fcross_iso">Variable_Management!$B$226</definedName>
    <definedName name="fcross_iso_est">Variable_Management!$B$225</definedName>
    <definedName name="fopto">Variable_Management!$B$218</definedName>
    <definedName name="fp_ea_est">Variable_Management!$B$263</definedName>
    <definedName name="Fsw">Variable_Management!$B$10</definedName>
    <definedName name="fz_ea_est">Variable_Management!$B$261</definedName>
    <definedName name="fz_rhp">Variable_Management!$B$187</definedName>
    <definedName name="Gcomp">Constants!$B$31</definedName>
    <definedName name="Gea_mid_calc">Variable_Management!$B$257</definedName>
    <definedName name="gfs">Variable_Management!$B$284</definedName>
    <definedName name="gm_ea">Constants!$B$36</definedName>
    <definedName name="Gplant_fc_dB" localSheetId="3">CCM_Loop_Modeling_Isolated!$AD$7</definedName>
    <definedName name="Gplant_fc_dB">CCM_Loop_Modeling_non_isolated!$AD$7</definedName>
    <definedName name="Icomp_sink_max">Constants!$B$38</definedName>
    <definedName name="IIN_33" localSheetId="3">Variable_Management!#REF!</definedName>
    <definedName name="IIN_33">Variable_Management!#REF!</definedName>
    <definedName name="IL_avg_VIN_max">Variable_Management!$B$88</definedName>
    <definedName name="IL_avg_VIN_min">Variable_Management!$B$80</definedName>
    <definedName name="IL_avg_VIN_nom">Variable_Management!$B$84</definedName>
    <definedName name="IL_pk">Variable_Management!$B$113</definedName>
    <definedName name="IL_pk_max">Variable_Management!$B$114</definedName>
    <definedName name="ILp_VINmax">Variable_Management!$B$90</definedName>
    <definedName name="ILp_VINmin">Variable_Management!$B$82</definedName>
    <definedName name="ILp_VINnom">Variable_Management!$B$86</definedName>
    <definedName name="ILrip">Variable_Management!$B$74</definedName>
    <definedName name="ILrip_VINmax">Variable_Management!$B$89</definedName>
    <definedName name="ILrip_VINmin">Variable_Management!$B$81</definedName>
    <definedName name="ILrip_VINnom">Variable_Management!$B$85</definedName>
    <definedName name="IOUT1">Variable_Management!$B$16</definedName>
    <definedName name="IOUT2">Variable_Management!$B$25</definedName>
    <definedName name="IOUT3">Variable_Management!$B$34</definedName>
    <definedName name="Ipk_margin">Variable_Management!$B$93</definedName>
    <definedName name="Ipk_selected">Variable_Management!$B$94</definedName>
    <definedName name="IQ">Constants!$B$56</definedName>
    <definedName name="IRMS_COUT">Variable_Management!$B$129</definedName>
    <definedName name="Isl">Constants!$B$27</definedName>
    <definedName name="Iss">Constants!$B$45</definedName>
    <definedName name="kopto_max">Variable_Management!$B$211</definedName>
    <definedName name="kopto_min">Variable_Management!$B$210</definedName>
    <definedName name="Kslope">Variable_Management!$B$101</definedName>
    <definedName name="Lm">Variable_Management!$B$76</definedName>
    <definedName name="LOOP_ISO">'Plot Management_Loop'!$B$5</definedName>
    <definedName name="LOOP_ISO_1">#REF!</definedName>
    <definedName name="Loop_look_2">#REF!</definedName>
    <definedName name="LOOP_nISO">'Plot Management_Loop'!$B$3</definedName>
    <definedName name="LOOP_nISO_1">#REF!</definedName>
    <definedName name="Loop_Pictures">INDEX(#REF!,MATCH(#REF!,#REF!,0))</definedName>
    <definedName name="LoopLookup">INDEX('Plot Management_Loop'!$B$3:$B$4,MATCH('Plot Management_Loop'!$A$2,'Plot Management_Loop'!$D$3:$D$4,0))</definedName>
    <definedName name="Lopt" localSheetId="3">Variable_Management!#REF!</definedName>
    <definedName name="Lopt">Variable_Management!#REF!</definedName>
    <definedName name="Lopt_2" localSheetId="3">Variable_Management!#REF!</definedName>
    <definedName name="Lopt_2">Variable_Management!#REF!</definedName>
    <definedName name="mc" localSheetId="3">CCM_Loop_Modeling_Isolated!$B$53</definedName>
    <definedName name="mc">CCM_Loop_Modeling_non_isolated!$B$53</definedName>
    <definedName name="Np">Variable_Management!$B$51</definedName>
    <definedName name="NS1_">Variable_Management!$B$54</definedName>
    <definedName name="NS2_">Variable_Management!$B$64</definedName>
    <definedName name="NS3_">Variable_Management!$B$69</definedName>
    <definedName name="POUT_Total">Variable_Management!$B$40</definedName>
    <definedName name="Pout_var" localSheetId="3">CCM_Loop_Modeling_Isolated!$B$17</definedName>
    <definedName name="Pout_var">CCM_Loop_Modeling_non_isolated!$B$17</definedName>
    <definedName name="POUT1">Variable_Management!$B$18</definedName>
    <definedName name="POUT2">Variable_Management!$B$27</definedName>
    <definedName name="POUT3">Variable_Management!$B$36</definedName>
    <definedName name="_xlnm.Print_Area" localSheetId="0">'Design Converter'!$A$1:$AE$123</definedName>
    <definedName name="Q" localSheetId="3">CCM_Loop_Modeling_Isolated!$B$55</definedName>
    <definedName name="Q">CCM_Loop_Modeling_non_isolated!$B$55</definedName>
    <definedName name="Q_VINmin">Variable_Management!$B$195</definedName>
    <definedName name="Qg_tot">Variable_Management!$B$279</definedName>
    <definedName name="Qgd">Variable_Management!$B$280</definedName>
    <definedName name="Qgs">Variable_Management!$B$281</definedName>
    <definedName name="Qrr">Variable_Management!#REF!</definedName>
    <definedName name="QRR1_">Variable_Management!$B$20</definedName>
    <definedName name="QRR2_">Variable_Management!$B$29</definedName>
    <definedName name="QRR3_">Variable_Management!$B$38</definedName>
    <definedName name="R_cs">Variable_Management!$B$109</definedName>
    <definedName name="R_sl">Variable_Management!$B$110</definedName>
    <definedName name="RCOMP">Variable_Management!$B$268</definedName>
    <definedName name="Rcomp_calc">Variable_Management!$B$267</definedName>
    <definedName name="Rcomp_iso">Variable_Management!$B$229</definedName>
    <definedName name="Rcs_max">Variable_Management!$B$98</definedName>
    <definedName name="Rcs_w_sl">Variable_Management!$B$102</definedName>
    <definedName name="Rcs_wo_sl">Variable_Management!$B$99</definedName>
    <definedName name="Rdcr">Variable_Management!$B$77</definedName>
    <definedName name="Rdcr1">Variable_Management!$B$55</definedName>
    <definedName name="Rdcr2">Variable_Management!$B$66</definedName>
    <definedName name="Rdcr3">Variable_Management!$B$71</definedName>
    <definedName name="RDS_on">Variable_Management!$B$278</definedName>
    <definedName name="Resr_total">Variable_Management!$B$151</definedName>
    <definedName name="Resr1">Variable_Management!$B$131</definedName>
    <definedName name="Resr2">Variable_Management!$B$139</definedName>
    <definedName name="Resr2_Trans">Variable_Management!$B$140</definedName>
    <definedName name="Resr3">Variable_Management!$B$147</definedName>
    <definedName name="Resr3_Trans">Variable_Management!$B$148</definedName>
    <definedName name="RFBB">Variable_Management!$B$240</definedName>
    <definedName name="RFBB_calc">Variable_Management!$B$239</definedName>
    <definedName name="RFBB_iso">Variable_Management!$B$207</definedName>
    <definedName name="RFBB_iso_calc">Variable_Management!$B$206</definedName>
    <definedName name="RFBT">Variable_Management!$B$238</definedName>
    <definedName name="RFBT_iso">Variable_Management!$B$205</definedName>
    <definedName name="Rgate">Variable_Management!$B$282</definedName>
    <definedName name="RLED">Variable_Management!$B$220</definedName>
    <definedName name="ROUT1">Variable_Management!$B$17</definedName>
    <definedName name="ROUT2">Variable_Management!$B$26</definedName>
    <definedName name="ROUT3">Variable_Management!$B$35</definedName>
    <definedName name="Rpullup">Variable_Management!$B$217</definedName>
    <definedName name="Rpullup_min">Variable_Management!$B$216</definedName>
    <definedName name="Rsl_int">Constants!$B$28</definedName>
    <definedName name="RT">Variable_Management!$B$11</definedName>
    <definedName name="Ruvlo_bottom_calc">Variable_Management!$B$168</definedName>
    <definedName name="Ruvlo_top">Variable_Management!$B$167</definedName>
    <definedName name="Ruvlo_top_calc">Variable_Management!$B$166</definedName>
    <definedName name="SCH_1">#REF!</definedName>
    <definedName name="sch_ISO_1">'Plot Management_Sch'!$F$6</definedName>
    <definedName name="sch_ISO_2">'Plot Management_Sch'!$D$6</definedName>
    <definedName name="sch_ISO_3">'Plot Management_Sch'!$B$6</definedName>
    <definedName name="sch_nISO_1">'Plot Management_Sch'!$F$4</definedName>
    <definedName name="sch_nISO_2">'Plot Management_Sch'!$D$4</definedName>
    <definedName name="sch_nISO_3">'Plot Management_Sch'!$B$4</definedName>
    <definedName name="Se_VINmin">Variable_Management!$B$191</definedName>
    <definedName name="Sn_VINmin">Variable_Management!$B$192</definedName>
    <definedName name="tf_sw">Variable_Management!$B$291</definedName>
    <definedName name="tr_sw">Variable_Management!$B$290</definedName>
    <definedName name="tss">Variable_Management!$B$157</definedName>
    <definedName name="UV_fall">Constants!$B$49</definedName>
    <definedName name="UV_I_hyst">Constants!$B$50</definedName>
    <definedName name="UV_rise">Constants!$B$48</definedName>
    <definedName name="Vcc">Constants!$B$53</definedName>
    <definedName name="VCE_sat">Variable_Management!$B$214</definedName>
    <definedName name="Vcl">Constants!$B$29</definedName>
    <definedName name="Vcomp_max">Constants!$B$37</definedName>
    <definedName name="VD">Constants!$B$8</definedName>
    <definedName name="Vd_opto">Variable_Management!$B$212</definedName>
    <definedName name="Vd_rect">Variable_Management!#REF!</definedName>
    <definedName name="VD1_">Variable_Management!$B$19</definedName>
    <definedName name="VD2_">Variable_Management!$B$28</definedName>
    <definedName name="VD3_">Variable_Management!$B$37</definedName>
    <definedName name="VIN_33" localSheetId="3">Variable_Management!#REF!</definedName>
    <definedName name="VIN_33">Variable_Management!#REF!</definedName>
    <definedName name="VIN_max">Variable_Management!$B$9</definedName>
    <definedName name="VIN_min">Variable_Management!$B$7</definedName>
    <definedName name="VIN_nom">Variable_Management!$B$8</definedName>
    <definedName name="VIN_op_max">Constants!$B$60</definedName>
    <definedName name="VIN_op_max_56">Constants!$B$61</definedName>
    <definedName name="VIN_op_min">Constants!$B$59</definedName>
    <definedName name="VIN_var">Variable_Management!$B$8</definedName>
    <definedName name="VOUT1">Variable_Management!$B$15</definedName>
    <definedName name="Vout1_rip_sel">Variable_Management!$B$126</definedName>
    <definedName name="VOUT2">Variable_Management!$B$24</definedName>
    <definedName name="Vout2_rip_sel">Variable_Management!$B$134</definedName>
    <definedName name="VOUT3">Variable_Management!$B$33</definedName>
    <definedName name="Vout3_rip_sel">Variable_Management!$B$142</definedName>
    <definedName name="Vpullup">Variable_Management!$B$215</definedName>
    <definedName name="Vref">Constants!$B$35</definedName>
    <definedName name="Vref_iso">Variable_Management!$B$204</definedName>
    <definedName name="Vth">Variable_Management!$B$285</definedName>
    <definedName name="Vuvlo_off">Variable_Management!$B$162</definedName>
    <definedName name="Vuvlo_on">Variable_Management!$B$161</definedName>
    <definedName name="wp_lf" localSheetId="3">CCM_Loop_Modeling_Isolated!$B$42</definedName>
    <definedName name="wp_lf">CCM_Loop_Modeling_non_isolated!$B$42</definedName>
    <definedName name="wp_lf_VINmin">Variable_Management!$B$180</definedName>
    <definedName name="wp0_ea">CCM_Loop_Modeling_non_isolated!$B$71</definedName>
    <definedName name="wp1_ea">CCM_Loop_Modeling_non_isolated!$B$72</definedName>
    <definedName name="wpA_ea_iso" localSheetId="3">CCM_Loop_Modeling_Isolated!$B$72</definedName>
    <definedName name="wpB_ea_iso" localSheetId="3">CCM_Loop_Modeling_Isolated!$B$73</definedName>
    <definedName name="wpC_ea_iso">CCM_Loop_Modeling_Isolated!$B$74</definedName>
    <definedName name="wsl" localSheetId="3">CCM_Loop_Modeling_Isolated!$B$54</definedName>
    <definedName name="wsl">CCM_Loop_Modeling_non_isolated!$B$54</definedName>
    <definedName name="wsl_VINmin">Variable_Management!$B$194</definedName>
    <definedName name="wz_ea">CCM_Loop_Modeling_non_isolated!$B$70</definedName>
    <definedName name="wz_esr" localSheetId="3">CCM_Loop_Modeling_Isolated!$B$48</definedName>
    <definedName name="wz_esr">CCM_Loop_Modeling_non_isolated!$B$48</definedName>
    <definedName name="wz_esr_VINmin">Variable_Management!$B$183</definedName>
    <definedName name="wz_rhp" localSheetId="3">CCM_Loop_Modeling_Isolated!$B$45</definedName>
    <definedName name="wz_rhp">CCM_Loop_Modeling_non_isolated!$B$45</definedName>
    <definedName name="wz_RHP_VINmin">Variable_Management!$B$186</definedName>
    <definedName name="wz1_ea_iso">CCM_Loop_Modeling_Isolated!$B$70</definedName>
    <definedName name="wz2_ea_iso" localSheetId="3">CCM_Loop_Modeling_Isolated!$B$71</definedName>
  </definedNames>
  <calcPr calcId="191029"/>
</workbook>
</file>

<file path=xl/calcChain.xml><?xml version="1.0" encoding="utf-8"?>
<calcChain xmlns="http://schemas.openxmlformats.org/spreadsheetml/2006/main">
  <c r="K229" i="2" l="1"/>
  <c r="H230" i="2"/>
  <c r="B134" i="2" l="1"/>
  <c r="A1" i="11" l="1"/>
  <c r="A2" i="9"/>
  <c r="I5" i="9" s="1"/>
  <c r="B2" i="6" l="1"/>
  <c r="B32" i="2" l="1"/>
  <c r="B23" i="2"/>
  <c r="B28" i="2" l="1"/>
  <c r="B20" i="2"/>
  <c r="B19" i="2"/>
  <c r="B55" i="2" l="1"/>
  <c r="B231" i="2" l="1"/>
  <c r="O560" i="10"/>
  <c r="O559" i="10"/>
  <c r="O558" i="10"/>
  <c r="O557" i="10"/>
  <c r="O556" i="10"/>
  <c r="O555" i="10"/>
  <c r="O554" i="10"/>
  <c r="O553" i="10"/>
  <c r="O552" i="10"/>
  <c r="O551" i="10"/>
  <c r="O550" i="10"/>
  <c r="O549" i="10"/>
  <c r="O548" i="10"/>
  <c r="O547" i="10"/>
  <c r="O546" i="10"/>
  <c r="O545" i="10"/>
  <c r="O544" i="10"/>
  <c r="O543" i="10"/>
  <c r="O542" i="10"/>
  <c r="O541" i="10"/>
  <c r="O540" i="10"/>
  <c r="O539" i="10"/>
  <c r="O538" i="10"/>
  <c r="O537" i="10"/>
  <c r="O536" i="10"/>
  <c r="O535" i="10"/>
  <c r="O534" i="10"/>
  <c r="O533" i="10"/>
  <c r="O532" i="10"/>
  <c r="O531" i="10"/>
  <c r="O530" i="10"/>
  <c r="O529" i="10"/>
  <c r="O528" i="10"/>
  <c r="O527" i="10"/>
  <c r="O526" i="10"/>
  <c r="O525" i="10"/>
  <c r="O524" i="10"/>
  <c r="O523" i="10"/>
  <c r="O522" i="10"/>
  <c r="O521" i="10"/>
  <c r="O520" i="10"/>
  <c r="O519" i="10"/>
  <c r="O518" i="10"/>
  <c r="O517" i="10"/>
  <c r="O516" i="10"/>
  <c r="O515" i="10"/>
  <c r="O514" i="10"/>
  <c r="O513" i="10"/>
  <c r="O512" i="10"/>
  <c r="O511" i="10"/>
  <c r="O510" i="10"/>
  <c r="O509" i="10"/>
  <c r="O508" i="10"/>
  <c r="O507" i="10"/>
  <c r="O506" i="10"/>
  <c r="O505" i="10"/>
  <c r="O504" i="10"/>
  <c r="O503" i="10"/>
  <c r="O502" i="10"/>
  <c r="O501" i="10"/>
  <c r="O500" i="10"/>
  <c r="O499" i="10"/>
  <c r="O498" i="10"/>
  <c r="O497" i="10"/>
  <c r="O496" i="10"/>
  <c r="O495" i="10"/>
  <c r="O494" i="10"/>
  <c r="O493" i="10"/>
  <c r="O492" i="10"/>
  <c r="O491" i="10"/>
  <c r="O490" i="10"/>
  <c r="O489" i="10"/>
  <c r="O488" i="10"/>
  <c r="O487" i="10"/>
  <c r="O486" i="10"/>
  <c r="O485" i="10"/>
  <c r="O484" i="10"/>
  <c r="O483" i="10"/>
  <c r="O482" i="10"/>
  <c r="O481" i="10"/>
  <c r="O480" i="10"/>
  <c r="O479" i="10"/>
  <c r="O478" i="10"/>
  <c r="O477" i="10"/>
  <c r="O476" i="10"/>
  <c r="O475" i="10"/>
  <c r="O474" i="10"/>
  <c r="O473" i="10"/>
  <c r="O472" i="10"/>
  <c r="O471" i="10"/>
  <c r="O470" i="10"/>
  <c r="O469" i="10"/>
  <c r="O468" i="10"/>
  <c r="O467" i="10"/>
  <c r="O466" i="10"/>
  <c r="O465" i="10"/>
  <c r="O464" i="10"/>
  <c r="O463" i="10"/>
  <c r="O462" i="10"/>
  <c r="O461" i="10"/>
  <c r="O460" i="10"/>
  <c r="O459" i="10"/>
  <c r="O458" i="10"/>
  <c r="O457" i="10"/>
  <c r="O456" i="10"/>
  <c r="O455" i="10"/>
  <c r="O454" i="10"/>
  <c r="O453" i="10"/>
  <c r="O452" i="10"/>
  <c r="O451" i="10"/>
  <c r="O450" i="10"/>
  <c r="O449" i="10"/>
  <c r="O448" i="10"/>
  <c r="O447" i="10"/>
  <c r="O446" i="10"/>
  <c r="O445" i="10"/>
  <c r="O444" i="10"/>
  <c r="O443" i="10"/>
  <c r="O442" i="10"/>
  <c r="O441" i="10"/>
  <c r="O440" i="10"/>
  <c r="O439" i="10"/>
  <c r="O438" i="10"/>
  <c r="O437" i="10"/>
  <c r="O436" i="10"/>
  <c r="O435" i="10"/>
  <c r="O434" i="10"/>
  <c r="O433" i="10"/>
  <c r="O432" i="10"/>
  <c r="O431" i="10"/>
  <c r="O430" i="10"/>
  <c r="O429" i="10"/>
  <c r="O428" i="10"/>
  <c r="O427" i="10"/>
  <c r="O426" i="10"/>
  <c r="O425" i="10"/>
  <c r="O424" i="10"/>
  <c r="O423" i="10"/>
  <c r="O422" i="10"/>
  <c r="O421" i="10"/>
  <c r="O420" i="10"/>
  <c r="O419" i="10"/>
  <c r="O418" i="10"/>
  <c r="O417" i="10"/>
  <c r="O416" i="10"/>
  <c r="O415" i="10"/>
  <c r="O414" i="10"/>
  <c r="O413" i="10"/>
  <c r="O412" i="10"/>
  <c r="O411" i="10"/>
  <c r="O410" i="10"/>
  <c r="O409" i="10"/>
  <c r="O408" i="10"/>
  <c r="O407" i="10"/>
  <c r="O406" i="10"/>
  <c r="O405" i="10"/>
  <c r="O404" i="10"/>
  <c r="O403" i="10"/>
  <c r="O402" i="10"/>
  <c r="O401" i="10"/>
  <c r="O400" i="10"/>
  <c r="O399" i="10"/>
  <c r="O398" i="10"/>
  <c r="O397" i="10"/>
  <c r="O396" i="10"/>
  <c r="O395" i="10"/>
  <c r="O394" i="10"/>
  <c r="O393" i="10"/>
  <c r="O392" i="10"/>
  <c r="O391" i="10"/>
  <c r="O390" i="10"/>
  <c r="O389" i="10"/>
  <c r="O388" i="10"/>
  <c r="O387" i="10"/>
  <c r="O386" i="10"/>
  <c r="O385" i="10"/>
  <c r="O384" i="10"/>
  <c r="O383" i="10"/>
  <c r="O382" i="10"/>
  <c r="O381" i="10"/>
  <c r="O380" i="10"/>
  <c r="O379" i="10"/>
  <c r="O378" i="10"/>
  <c r="O377" i="10"/>
  <c r="O376" i="10"/>
  <c r="O375" i="10"/>
  <c r="O374" i="10"/>
  <c r="O373" i="10"/>
  <c r="O372" i="10"/>
  <c r="O371" i="10"/>
  <c r="O370" i="10"/>
  <c r="O369" i="10"/>
  <c r="O368" i="10"/>
  <c r="O367" i="10"/>
  <c r="O366" i="10"/>
  <c r="O365" i="10"/>
  <c r="O364" i="10"/>
  <c r="O363" i="10"/>
  <c r="O362" i="10"/>
  <c r="O361" i="10"/>
  <c r="O360" i="10"/>
  <c r="O359" i="10"/>
  <c r="O358" i="10"/>
  <c r="O357" i="10"/>
  <c r="O356" i="10"/>
  <c r="O355" i="10"/>
  <c r="O354" i="10"/>
  <c r="O353" i="10"/>
  <c r="O352" i="10"/>
  <c r="O351" i="10"/>
  <c r="O350" i="10"/>
  <c r="O349" i="10"/>
  <c r="O348" i="10"/>
  <c r="O347" i="10"/>
  <c r="O346" i="10"/>
  <c r="O345" i="10"/>
  <c r="O344" i="10"/>
  <c r="O343" i="10"/>
  <c r="O342" i="10"/>
  <c r="O341" i="10"/>
  <c r="O340" i="10"/>
  <c r="O339" i="10"/>
  <c r="O338" i="10"/>
  <c r="O337" i="10"/>
  <c r="O336" i="10"/>
  <c r="O335" i="10"/>
  <c r="O334" i="10"/>
  <c r="O333" i="10"/>
  <c r="O332" i="10"/>
  <c r="O331" i="10"/>
  <c r="O330" i="10"/>
  <c r="O329" i="10"/>
  <c r="O328" i="10"/>
  <c r="O327" i="10"/>
  <c r="O326" i="10"/>
  <c r="O325" i="10"/>
  <c r="O324" i="10"/>
  <c r="O323" i="10"/>
  <c r="O322" i="10"/>
  <c r="O321" i="10"/>
  <c r="O320" i="10"/>
  <c r="O319" i="10"/>
  <c r="O318" i="10"/>
  <c r="O317" i="10"/>
  <c r="O316" i="10"/>
  <c r="O315" i="10"/>
  <c r="O314" i="10"/>
  <c r="O313" i="10"/>
  <c r="O312" i="10"/>
  <c r="O311" i="10"/>
  <c r="O310" i="10"/>
  <c r="O309" i="10"/>
  <c r="O308" i="10"/>
  <c r="O307" i="10"/>
  <c r="O306" i="10"/>
  <c r="O305" i="10"/>
  <c r="O304" i="10"/>
  <c r="O303" i="10"/>
  <c r="O302" i="10"/>
  <c r="O301" i="10"/>
  <c r="O300" i="10"/>
  <c r="O299" i="10"/>
  <c r="O298" i="10"/>
  <c r="O297" i="10"/>
  <c r="O296" i="10"/>
  <c r="O295" i="10"/>
  <c r="O294" i="10"/>
  <c r="O293" i="10"/>
  <c r="O292" i="10"/>
  <c r="O291" i="10"/>
  <c r="O290" i="10"/>
  <c r="O289" i="10"/>
  <c r="O288" i="10"/>
  <c r="O287" i="10"/>
  <c r="O286" i="10"/>
  <c r="O285" i="10"/>
  <c r="O284" i="10"/>
  <c r="O283" i="10"/>
  <c r="O282" i="10"/>
  <c r="O281" i="10"/>
  <c r="O280" i="10"/>
  <c r="O279" i="10"/>
  <c r="O278" i="10"/>
  <c r="O277" i="10"/>
  <c r="O276" i="10"/>
  <c r="O275" i="10"/>
  <c r="O274" i="10"/>
  <c r="O273" i="10"/>
  <c r="O272" i="10"/>
  <c r="O271" i="10"/>
  <c r="O270" i="10"/>
  <c r="O269" i="10"/>
  <c r="O268" i="10"/>
  <c r="O267" i="10"/>
  <c r="O266" i="10"/>
  <c r="O265" i="10"/>
  <c r="O264" i="10"/>
  <c r="O263" i="10"/>
  <c r="O262" i="10"/>
  <c r="O261" i="10"/>
  <c r="O260" i="10"/>
  <c r="O259" i="10"/>
  <c r="O258" i="10"/>
  <c r="O257" i="10"/>
  <c r="O256" i="10"/>
  <c r="O255" i="10"/>
  <c r="O254" i="10"/>
  <c r="O253" i="10"/>
  <c r="O252" i="10"/>
  <c r="O251" i="10"/>
  <c r="O250" i="10"/>
  <c r="O249" i="10"/>
  <c r="O248" i="10"/>
  <c r="O247" i="10"/>
  <c r="O246" i="10"/>
  <c r="O245" i="10"/>
  <c r="O244" i="10"/>
  <c r="O243" i="10"/>
  <c r="O242" i="10"/>
  <c r="O241" i="10"/>
  <c r="O240" i="10"/>
  <c r="O239" i="10"/>
  <c r="O238" i="10"/>
  <c r="O237" i="10"/>
  <c r="O236" i="10"/>
  <c r="O235" i="10"/>
  <c r="O234" i="10"/>
  <c r="O233" i="10"/>
  <c r="O232" i="10"/>
  <c r="O231" i="10"/>
  <c r="O230" i="10"/>
  <c r="O229" i="10"/>
  <c r="O228" i="10"/>
  <c r="O227" i="10"/>
  <c r="O226" i="10"/>
  <c r="O225" i="10"/>
  <c r="O224" i="10"/>
  <c r="O223" i="10"/>
  <c r="O222" i="10"/>
  <c r="O221" i="10"/>
  <c r="O220" i="10"/>
  <c r="O219" i="10"/>
  <c r="O218" i="10"/>
  <c r="O217" i="10"/>
  <c r="O216" i="10"/>
  <c r="O215" i="10"/>
  <c r="O214" i="10"/>
  <c r="O213" i="10"/>
  <c r="O212" i="10"/>
  <c r="O211" i="10"/>
  <c r="O210" i="10"/>
  <c r="O209" i="10"/>
  <c r="O208" i="10"/>
  <c r="O207" i="10"/>
  <c r="O206" i="10"/>
  <c r="O205" i="10"/>
  <c r="O204" i="10"/>
  <c r="O203" i="10"/>
  <c r="O202" i="10"/>
  <c r="O201" i="10"/>
  <c r="O200" i="10"/>
  <c r="O199" i="10"/>
  <c r="O198" i="10"/>
  <c r="O197" i="10"/>
  <c r="O196" i="10"/>
  <c r="O195" i="10"/>
  <c r="O194" i="10"/>
  <c r="O193" i="10"/>
  <c r="O192" i="10"/>
  <c r="O191" i="10"/>
  <c r="O190" i="10"/>
  <c r="O189" i="10"/>
  <c r="O188" i="10"/>
  <c r="O187" i="10"/>
  <c r="O186" i="10"/>
  <c r="O185" i="10"/>
  <c r="O184" i="10"/>
  <c r="O183" i="10"/>
  <c r="O182" i="10"/>
  <c r="O181" i="10"/>
  <c r="O180" i="10"/>
  <c r="O179" i="10"/>
  <c r="O178" i="10"/>
  <c r="O177" i="10"/>
  <c r="O176" i="10"/>
  <c r="O175" i="10"/>
  <c r="O174" i="10"/>
  <c r="O173" i="10"/>
  <c r="O172" i="10"/>
  <c r="O171" i="10"/>
  <c r="O170" i="10"/>
  <c r="O169" i="10"/>
  <c r="O168" i="10"/>
  <c r="O167" i="10"/>
  <c r="O166" i="10"/>
  <c r="O165" i="10"/>
  <c r="O164" i="10"/>
  <c r="O163" i="10"/>
  <c r="O162" i="10"/>
  <c r="O161" i="10"/>
  <c r="O160" i="10"/>
  <c r="O159" i="10"/>
  <c r="O158" i="10"/>
  <c r="O157" i="10"/>
  <c r="O156" i="10"/>
  <c r="O155" i="10"/>
  <c r="O154" i="10"/>
  <c r="O153" i="10"/>
  <c r="O152" i="10"/>
  <c r="O151" i="10"/>
  <c r="O150" i="10"/>
  <c r="O149" i="10"/>
  <c r="O148" i="10"/>
  <c r="O147" i="10"/>
  <c r="O146" i="10"/>
  <c r="O145" i="10"/>
  <c r="O144" i="10"/>
  <c r="O143" i="10"/>
  <c r="O142" i="10"/>
  <c r="O141" i="10"/>
  <c r="O140" i="10"/>
  <c r="O139" i="10"/>
  <c r="O138" i="10"/>
  <c r="O137" i="10"/>
  <c r="O136" i="10"/>
  <c r="O135" i="10"/>
  <c r="O134" i="10"/>
  <c r="O133" i="10"/>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B36" i="10"/>
  <c r="O35" i="10"/>
  <c r="O34" i="10"/>
  <c r="O33" i="10"/>
  <c r="B33" i="10"/>
  <c r="O32" i="10"/>
  <c r="O31" i="10"/>
  <c r="O30" i="10"/>
  <c r="O29" i="10"/>
  <c r="O28" i="10"/>
  <c r="O27" i="10"/>
  <c r="O26" i="10"/>
  <c r="O25" i="10"/>
  <c r="O24" i="10"/>
  <c r="O23" i="10"/>
  <c r="O22" i="10"/>
  <c r="O21" i="10"/>
  <c r="O20" i="10"/>
  <c r="O19" i="10"/>
  <c r="AG19" i="10" s="1"/>
  <c r="B229" i="2"/>
  <c r="G222" i="2"/>
  <c r="F222" i="2"/>
  <c r="B220" i="2"/>
  <c r="B214" i="2"/>
  <c r="B226" i="2"/>
  <c r="B217" i="2"/>
  <c r="B215" i="2"/>
  <c r="B216" i="2" s="1"/>
  <c r="H76" i="1" s="1"/>
  <c r="B213" i="2"/>
  <c r="I72" i="10" s="1"/>
  <c r="B38" i="3"/>
  <c r="B212" i="2"/>
  <c r="B211" i="2"/>
  <c r="B210" i="2"/>
  <c r="B207" i="2"/>
  <c r="B64" i="10" s="1"/>
  <c r="B205" i="2"/>
  <c r="B63" i="10" s="1"/>
  <c r="B204" i="2"/>
  <c r="E232" i="2" l="1"/>
  <c r="K222" i="2"/>
  <c r="B69" i="10"/>
  <c r="AF8" i="10" s="1"/>
  <c r="B65" i="10"/>
  <c r="B71" i="10"/>
  <c r="AP19" i="10" s="1"/>
  <c r="B66" i="10"/>
  <c r="B73" i="10"/>
  <c r="B70" i="10"/>
  <c r="AM19" i="10" s="1"/>
  <c r="B72" i="10"/>
  <c r="AG31" i="10"/>
  <c r="AG33" i="10"/>
  <c r="AG39" i="10"/>
  <c r="AG47" i="10"/>
  <c r="AG57" i="10"/>
  <c r="AG69" i="10"/>
  <c r="AG81" i="10"/>
  <c r="AG89" i="10"/>
  <c r="AG97" i="10"/>
  <c r="AG105" i="10"/>
  <c r="AG113" i="10"/>
  <c r="AG121" i="10"/>
  <c r="AG129" i="10"/>
  <c r="AG137" i="10"/>
  <c r="AG145" i="10"/>
  <c r="AG153" i="10"/>
  <c r="AG161" i="10"/>
  <c r="AG165" i="10"/>
  <c r="AG173" i="10"/>
  <c r="AG181" i="10"/>
  <c r="AG189" i="10"/>
  <c r="AG197" i="10"/>
  <c r="AG205" i="10"/>
  <c r="AG213" i="10"/>
  <c r="AG221" i="10"/>
  <c r="AG229" i="10"/>
  <c r="AG237" i="10"/>
  <c r="AG245" i="10"/>
  <c r="AG253" i="10"/>
  <c r="AG261" i="10"/>
  <c r="AG269" i="10"/>
  <c r="AG277" i="10"/>
  <c r="AG285" i="10"/>
  <c r="AG289" i="10"/>
  <c r="AG297" i="10"/>
  <c r="AG305" i="10"/>
  <c r="AG313" i="10"/>
  <c r="AG321" i="10"/>
  <c r="AG329" i="10"/>
  <c r="AG337" i="10"/>
  <c r="AG349" i="10"/>
  <c r="AG353" i="10"/>
  <c r="AG361" i="10"/>
  <c r="AG369" i="10"/>
  <c r="AG377" i="10"/>
  <c r="AG385" i="10"/>
  <c r="AG397" i="10"/>
  <c r="AG405" i="10"/>
  <c r="AG413" i="10"/>
  <c r="AG421" i="10"/>
  <c r="AG429" i="10"/>
  <c r="AG437" i="10"/>
  <c r="AG445" i="10"/>
  <c r="AG453" i="10"/>
  <c r="AG461" i="10"/>
  <c r="AG469" i="10"/>
  <c r="AG477" i="10"/>
  <c r="AG485" i="10"/>
  <c r="AG493" i="10"/>
  <c r="AG497" i="10"/>
  <c r="AG505" i="10"/>
  <c r="AG517" i="10"/>
  <c r="AG525" i="10"/>
  <c r="AG533" i="10"/>
  <c r="AG537" i="10"/>
  <c r="AG545" i="10"/>
  <c r="AG553" i="10"/>
  <c r="AG20" i="10"/>
  <c r="AG26" i="10"/>
  <c r="AG36" i="10"/>
  <c r="AG48" i="10"/>
  <c r="AG58" i="10"/>
  <c r="AG66" i="10"/>
  <c r="AG78" i="10"/>
  <c r="AG86" i="10"/>
  <c r="AG94" i="10"/>
  <c r="AG102" i="10"/>
  <c r="AG110" i="10"/>
  <c r="AG118" i="10"/>
  <c r="AG126" i="10"/>
  <c r="AG138" i="10"/>
  <c r="AG146" i="10"/>
  <c r="AG154" i="10"/>
  <c r="AG162" i="10"/>
  <c r="AG170" i="10"/>
  <c r="AG178" i="10"/>
  <c r="AG186" i="10"/>
  <c r="AG194" i="10"/>
  <c r="AG202" i="10"/>
  <c r="AG206" i="10"/>
  <c r="AG214" i="10"/>
  <c r="AG222" i="10"/>
  <c r="AG230" i="10"/>
  <c r="AG238" i="10"/>
  <c r="AG246" i="10"/>
  <c r="AG254" i="10"/>
  <c r="AG262" i="10"/>
  <c r="AG270" i="10"/>
  <c r="AG282" i="10"/>
  <c r="AG290" i="10"/>
  <c r="AG298" i="10"/>
  <c r="AG306" i="10"/>
  <c r="AG314" i="10"/>
  <c r="AG322" i="10"/>
  <c r="AG330" i="10"/>
  <c r="AG338" i="10"/>
  <c r="AG346" i="10"/>
  <c r="AG354" i="10"/>
  <c r="AG362" i="10"/>
  <c r="AG370" i="10"/>
  <c r="AG378" i="10"/>
  <c r="AG386" i="10"/>
  <c r="AG394" i="10"/>
  <c r="AG402" i="10"/>
  <c r="AG410" i="10"/>
  <c r="AG414" i="10"/>
  <c r="AG422" i="10"/>
  <c r="AG434" i="10"/>
  <c r="AG442" i="10"/>
  <c r="AG450" i="10"/>
  <c r="AG454" i="10"/>
  <c r="AG458" i="10"/>
  <c r="AG466" i="10"/>
  <c r="AG470" i="10"/>
  <c r="AG474" i="10"/>
  <c r="AG478" i="10"/>
  <c r="AG482" i="10"/>
  <c r="AG486" i="10"/>
  <c r="AG490" i="10"/>
  <c r="AG494" i="10"/>
  <c r="AG498" i="10"/>
  <c r="AG502" i="10"/>
  <c r="AG506" i="10"/>
  <c r="AG510" i="10"/>
  <c r="AG514" i="10"/>
  <c r="AG518" i="10"/>
  <c r="AG522" i="10"/>
  <c r="AG526" i="10"/>
  <c r="AG530" i="10"/>
  <c r="AG538" i="10"/>
  <c r="AG542" i="10"/>
  <c r="AG546" i="10"/>
  <c r="AG550" i="10"/>
  <c r="AG554" i="10"/>
  <c r="AG558" i="10"/>
  <c r="AG21" i="10"/>
  <c r="AG27" i="10"/>
  <c r="AG30" i="10"/>
  <c r="AG32" i="10"/>
  <c r="AG34" i="10"/>
  <c r="AG37" i="10"/>
  <c r="AG41" i="10"/>
  <c r="AG45" i="10"/>
  <c r="AG49" i="10"/>
  <c r="AG52" i="10"/>
  <c r="AG55" i="10"/>
  <c r="AG59" i="10"/>
  <c r="AG63" i="10"/>
  <c r="AG67" i="10"/>
  <c r="AG71" i="10"/>
  <c r="AG75" i="10"/>
  <c r="AG79" i="10"/>
  <c r="AG83" i="10"/>
  <c r="AG87" i="10"/>
  <c r="AG91" i="10"/>
  <c r="AG95" i="10"/>
  <c r="AG99" i="10"/>
  <c r="AG103" i="10"/>
  <c r="AG107" i="10"/>
  <c r="AG111" i="10"/>
  <c r="AG115" i="10"/>
  <c r="AG119" i="10"/>
  <c r="AG123" i="10"/>
  <c r="AG127" i="10"/>
  <c r="AG131" i="10"/>
  <c r="AG135" i="10"/>
  <c r="AG139" i="10"/>
  <c r="AG143" i="10"/>
  <c r="AG147" i="10"/>
  <c r="AG151" i="10"/>
  <c r="AG155" i="10"/>
  <c r="AG159" i="10"/>
  <c r="AG163" i="10"/>
  <c r="AG167" i="10"/>
  <c r="AG171" i="10"/>
  <c r="AG175" i="10"/>
  <c r="AG179" i="10"/>
  <c r="AG183" i="10"/>
  <c r="AG187" i="10"/>
  <c r="AG191" i="10"/>
  <c r="AG195" i="10"/>
  <c r="AG199" i="10"/>
  <c r="AG203" i="10"/>
  <c r="AG207" i="10"/>
  <c r="AG211" i="10"/>
  <c r="AG215" i="10"/>
  <c r="AG219" i="10"/>
  <c r="AG223" i="10"/>
  <c r="AG227" i="10"/>
  <c r="AG231" i="10"/>
  <c r="AG235" i="10"/>
  <c r="AG239" i="10"/>
  <c r="AG243" i="10"/>
  <c r="AG247" i="10"/>
  <c r="AG251" i="10"/>
  <c r="AG255" i="10"/>
  <c r="AG259" i="10"/>
  <c r="AG263" i="10"/>
  <c r="AG267" i="10"/>
  <c r="AG271" i="10"/>
  <c r="AG275" i="10"/>
  <c r="AG279" i="10"/>
  <c r="AG283" i="10"/>
  <c r="AG287" i="10"/>
  <c r="AG291" i="10"/>
  <c r="AG295" i="10"/>
  <c r="AG299" i="10"/>
  <c r="AG303" i="10"/>
  <c r="AG307" i="10"/>
  <c r="AG311" i="10"/>
  <c r="AG315" i="10"/>
  <c r="AG319" i="10"/>
  <c r="AG323" i="10"/>
  <c r="AG327" i="10"/>
  <c r="AG331" i="10"/>
  <c r="AG335" i="10"/>
  <c r="AG339" i="10"/>
  <c r="AG343" i="10"/>
  <c r="AG347" i="10"/>
  <c r="AG351" i="10"/>
  <c r="AG355" i="10"/>
  <c r="AG359" i="10"/>
  <c r="AG363" i="10"/>
  <c r="AG367" i="10"/>
  <c r="AG371" i="10"/>
  <c r="AG375" i="10"/>
  <c r="AG379" i="10"/>
  <c r="AG383" i="10"/>
  <c r="AG387" i="10"/>
  <c r="AG391" i="10"/>
  <c r="AG395" i="10"/>
  <c r="AG399" i="10"/>
  <c r="AG403" i="10"/>
  <c r="AG407" i="10"/>
  <c r="AG411" i="10"/>
  <c r="AG415" i="10"/>
  <c r="AG419" i="10"/>
  <c r="AG423" i="10"/>
  <c r="AG427" i="10"/>
  <c r="AG431" i="10"/>
  <c r="AG435" i="10"/>
  <c r="AG439" i="10"/>
  <c r="AG443" i="10"/>
  <c r="AG447" i="10"/>
  <c r="AG451" i="10"/>
  <c r="AG455" i="10"/>
  <c r="AG459" i="10"/>
  <c r="AG463" i="10"/>
  <c r="AG467" i="10"/>
  <c r="AG471" i="10"/>
  <c r="AG475" i="10"/>
  <c r="AG479" i="10"/>
  <c r="AG483" i="10"/>
  <c r="AG487" i="10"/>
  <c r="AG491" i="10"/>
  <c r="AG495" i="10"/>
  <c r="AG499" i="10"/>
  <c r="AG503" i="10"/>
  <c r="AG507" i="10"/>
  <c r="AG511" i="10"/>
  <c r="AG515" i="10"/>
  <c r="AG519" i="10"/>
  <c r="AG523" i="10"/>
  <c r="AG527" i="10"/>
  <c r="AG531" i="10"/>
  <c r="AG535" i="10"/>
  <c r="AG539" i="10"/>
  <c r="AG543" i="10"/>
  <c r="AG547" i="10"/>
  <c r="AG551" i="10"/>
  <c r="AG555" i="10"/>
  <c r="AG559" i="10"/>
  <c r="AG23" i="10"/>
  <c r="AG43" i="10"/>
  <c r="AG61" i="10"/>
  <c r="AG65" i="10"/>
  <c r="AG73" i="10"/>
  <c r="AG77" i="10"/>
  <c r="AG85" i="10"/>
  <c r="AG93" i="10"/>
  <c r="AG101" i="10"/>
  <c r="AG109" i="10"/>
  <c r="AG117" i="10"/>
  <c r="AG125" i="10"/>
  <c r="AG133" i="10"/>
  <c r="AG141" i="10"/>
  <c r="AG149" i="10"/>
  <c r="AG157" i="10"/>
  <c r="AG169" i="10"/>
  <c r="AG177" i="10"/>
  <c r="AG185" i="10"/>
  <c r="AG193" i="10"/>
  <c r="AG201" i="10"/>
  <c r="AG209" i="10"/>
  <c r="AG217" i="10"/>
  <c r="AG225" i="10"/>
  <c r="AG233" i="10"/>
  <c r="AG241" i="10"/>
  <c r="AG249" i="10"/>
  <c r="AG257" i="10"/>
  <c r="AG265" i="10"/>
  <c r="AG273" i="10"/>
  <c r="AG281" i="10"/>
  <c r="AG293" i="10"/>
  <c r="AG301" i="10"/>
  <c r="AG309" i="10"/>
  <c r="AG317" i="10"/>
  <c r="AG325" i="10"/>
  <c r="AG333" i="10"/>
  <c r="AG341" i="10"/>
  <c r="AG345" i="10"/>
  <c r="AG357" i="10"/>
  <c r="AG365" i="10"/>
  <c r="AG373" i="10"/>
  <c r="AG381" i="10"/>
  <c r="AG389" i="10"/>
  <c r="AG393" i="10"/>
  <c r="AG401" i="10"/>
  <c r="AG409" i="10"/>
  <c r="AG417" i="10"/>
  <c r="AG425" i="10"/>
  <c r="AG433" i="10"/>
  <c r="AG441" i="10"/>
  <c r="AG449" i="10"/>
  <c r="AG457" i="10"/>
  <c r="AG465" i="10"/>
  <c r="AG473" i="10"/>
  <c r="AG481" i="10"/>
  <c r="AG489" i="10"/>
  <c r="AG501" i="10"/>
  <c r="AG509" i="10"/>
  <c r="AG513" i="10"/>
  <c r="AG521" i="10"/>
  <c r="AG529" i="10"/>
  <c r="AG541" i="10"/>
  <c r="AG549" i="10"/>
  <c r="AG557" i="10"/>
  <c r="AG24" i="10"/>
  <c r="AG29" i="10"/>
  <c r="AG40" i="10"/>
  <c r="AG44" i="10"/>
  <c r="AG51" i="10"/>
  <c r="AG54" i="10"/>
  <c r="AG62" i="10"/>
  <c r="AG70" i="10"/>
  <c r="AG74" i="10"/>
  <c r="AG82" i="10"/>
  <c r="AG90" i="10"/>
  <c r="AG98" i="10"/>
  <c r="AG106" i="10"/>
  <c r="AG114" i="10"/>
  <c r="AG122" i="10"/>
  <c r="AG130" i="10"/>
  <c r="AG134" i="10"/>
  <c r="AG142" i="10"/>
  <c r="AG150" i="10"/>
  <c r="AG158" i="10"/>
  <c r="AG166" i="10"/>
  <c r="AG174" i="10"/>
  <c r="AG182" i="10"/>
  <c r="AG190" i="10"/>
  <c r="AG198" i="10"/>
  <c r="AG210" i="10"/>
  <c r="AG218" i="10"/>
  <c r="AG226" i="10"/>
  <c r="AG234" i="10"/>
  <c r="AG242" i="10"/>
  <c r="AG250" i="10"/>
  <c r="AG258" i="10"/>
  <c r="AG266" i="10"/>
  <c r="AG274" i="10"/>
  <c r="AG278" i="10"/>
  <c r="AG286" i="10"/>
  <c r="AG294" i="10"/>
  <c r="AG302" i="10"/>
  <c r="AG310" i="10"/>
  <c r="AG318" i="10"/>
  <c r="AG326" i="10"/>
  <c r="AG334" i="10"/>
  <c r="AG342" i="10"/>
  <c r="AG350" i="10"/>
  <c r="AG358" i="10"/>
  <c r="AG366" i="10"/>
  <c r="AG374" i="10"/>
  <c r="AG382" i="10"/>
  <c r="AG390" i="10"/>
  <c r="AG398" i="10"/>
  <c r="AG406" i="10"/>
  <c r="AG418" i="10"/>
  <c r="AG426" i="10"/>
  <c r="AG430" i="10"/>
  <c r="AG438" i="10"/>
  <c r="AG446" i="10"/>
  <c r="AG462" i="10"/>
  <c r="AG534" i="10"/>
  <c r="AG22" i="10"/>
  <c r="AG25" i="10"/>
  <c r="AG28" i="10"/>
  <c r="AG35" i="10"/>
  <c r="AG38" i="10"/>
  <c r="AG42" i="10"/>
  <c r="AG46" i="10"/>
  <c r="AG50" i="10"/>
  <c r="AG53" i="10"/>
  <c r="AG56" i="10"/>
  <c r="AG60" i="10"/>
  <c r="AG64" i="10"/>
  <c r="AG68" i="10"/>
  <c r="AG72" i="10"/>
  <c r="AG76" i="10"/>
  <c r="AG80" i="10"/>
  <c r="AG84" i="10"/>
  <c r="AG88" i="10"/>
  <c r="AG92" i="10"/>
  <c r="AG96" i="10"/>
  <c r="AG100" i="10"/>
  <c r="AG104" i="10"/>
  <c r="AG108" i="10"/>
  <c r="AG112" i="10"/>
  <c r="AG116" i="10"/>
  <c r="AG120" i="10"/>
  <c r="AG124" i="10"/>
  <c r="AG128" i="10"/>
  <c r="AG132" i="10"/>
  <c r="AG136" i="10"/>
  <c r="AG140" i="10"/>
  <c r="AG144" i="10"/>
  <c r="AG148" i="10"/>
  <c r="AG152" i="10"/>
  <c r="AG156" i="10"/>
  <c r="AG160" i="10"/>
  <c r="AG164" i="10"/>
  <c r="AG168" i="10"/>
  <c r="AG172" i="10"/>
  <c r="AG176" i="10"/>
  <c r="AG180" i="10"/>
  <c r="AG184" i="10"/>
  <c r="AG188" i="10"/>
  <c r="AG192" i="10"/>
  <c r="AG196" i="10"/>
  <c r="AG200" i="10"/>
  <c r="AG204" i="10"/>
  <c r="AG208" i="10"/>
  <c r="AG212" i="10"/>
  <c r="AG216" i="10"/>
  <c r="AG220" i="10"/>
  <c r="AG224" i="10"/>
  <c r="AG228" i="10"/>
  <c r="AG232" i="10"/>
  <c r="AG236" i="10"/>
  <c r="AG240" i="10"/>
  <c r="AG244" i="10"/>
  <c r="AG248" i="10"/>
  <c r="AG252" i="10"/>
  <c r="AG256" i="10"/>
  <c r="AG260" i="10"/>
  <c r="AG264" i="10"/>
  <c r="AG268" i="10"/>
  <c r="AG272" i="10"/>
  <c r="AG276" i="10"/>
  <c r="AG280" i="10"/>
  <c r="AG284" i="10"/>
  <c r="AG288" i="10"/>
  <c r="AG292" i="10"/>
  <c r="AG296" i="10"/>
  <c r="AG300" i="10"/>
  <c r="AG304" i="10"/>
  <c r="AG308" i="10"/>
  <c r="AG312" i="10"/>
  <c r="AG316" i="10"/>
  <c r="AG320" i="10"/>
  <c r="AG324" i="10"/>
  <c r="AG328" i="10"/>
  <c r="AG332" i="10"/>
  <c r="AG336" i="10"/>
  <c r="AG340" i="10"/>
  <c r="AG344" i="10"/>
  <c r="AG348" i="10"/>
  <c r="AG352" i="10"/>
  <c r="AG356" i="10"/>
  <c r="AG360" i="10"/>
  <c r="AG364" i="10"/>
  <c r="AG368" i="10"/>
  <c r="AG372" i="10"/>
  <c r="AG376" i="10"/>
  <c r="AG380" i="10"/>
  <c r="AG384" i="10"/>
  <c r="AG388" i="10"/>
  <c r="AG392" i="10"/>
  <c r="AG396" i="10"/>
  <c r="AG400" i="10"/>
  <c r="AG404" i="10"/>
  <c r="AG408" i="10"/>
  <c r="AG412" i="10"/>
  <c r="AG416" i="10"/>
  <c r="AG420" i="10"/>
  <c r="AG424" i="10"/>
  <c r="AG428" i="10"/>
  <c r="AG432" i="10"/>
  <c r="AG436" i="10"/>
  <c r="AG440" i="10"/>
  <c r="AG444" i="10"/>
  <c r="AG448" i="10"/>
  <c r="AG452" i="10"/>
  <c r="AG456" i="10"/>
  <c r="AG460" i="10"/>
  <c r="AG464" i="10"/>
  <c r="AG468" i="10"/>
  <c r="AG472" i="10"/>
  <c r="AG476" i="10"/>
  <c r="AG480" i="10"/>
  <c r="AG484" i="10"/>
  <c r="AG488" i="10"/>
  <c r="AG492" i="10"/>
  <c r="AG496" i="10"/>
  <c r="AG500" i="10"/>
  <c r="AG504" i="10"/>
  <c r="AG508" i="10"/>
  <c r="AG512" i="10"/>
  <c r="AG516" i="10"/>
  <c r="AG520" i="10"/>
  <c r="AG524" i="10"/>
  <c r="AG528" i="10"/>
  <c r="AG532" i="10"/>
  <c r="AG536" i="10"/>
  <c r="AG540" i="10"/>
  <c r="AG544" i="10"/>
  <c r="AG548" i="10"/>
  <c r="AG552" i="10"/>
  <c r="AG556" i="10"/>
  <c r="AG560" i="10"/>
  <c r="B218" i="2"/>
  <c r="B224" i="2" s="1"/>
  <c r="B77" i="2"/>
  <c r="B142" i="2"/>
  <c r="AF19" i="10" l="1"/>
  <c r="AF13" i="10"/>
  <c r="AF7" i="10"/>
  <c r="AF11" i="10"/>
  <c r="AF12" i="10"/>
  <c r="AF10" i="10"/>
  <c r="AF9" i="10"/>
  <c r="AJ21" i="10"/>
  <c r="AL21" i="10" s="1"/>
  <c r="AJ25" i="10"/>
  <c r="AK25" i="10" s="1"/>
  <c r="AJ29" i="10"/>
  <c r="AL29" i="10" s="1"/>
  <c r="AJ33" i="10"/>
  <c r="AJ37" i="10"/>
  <c r="AJ41" i="10"/>
  <c r="AL41" i="10" s="1"/>
  <c r="AJ45" i="10"/>
  <c r="AL45" i="10" s="1"/>
  <c r="AJ49" i="10"/>
  <c r="AK49" i="10" s="1"/>
  <c r="AJ53" i="10"/>
  <c r="AL53" i="10" s="1"/>
  <c r="AJ57" i="10"/>
  <c r="AJ61" i="10"/>
  <c r="AL61" i="10" s="1"/>
  <c r="AJ65" i="10"/>
  <c r="AL65" i="10" s="1"/>
  <c r="AJ69" i="10"/>
  <c r="AK69" i="10" s="1"/>
  <c r="AJ73" i="10"/>
  <c r="AK73" i="10" s="1"/>
  <c r="AJ77" i="10"/>
  <c r="AK77" i="10" s="1"/>
  <c r="AJ81" i="10"/>
  <c r="AK81" i="10" s="1"/>
  <c r="AJ85" i="10"/>
  <c r="AK85" i="10" s="1"/>
  <c r="AJ89" i="10"/>
  <c r="AK89" i="10" s="1"/>
  <c r="AJ93" i="10"/>
  <c r="AK93" i="10" s="1"/>
  <c r="AJ97" i="10"/>
  <c r="AJ101" i="10"/>
  <c r="AL101" i="10" s="1"/>
  <c r="AJ105" i="10"/>
  <c r="AL105" i="10" s="1"/>
  <c r="AJ109" i="10"/>
  <c r="AK109" i="10" s="1"/>
  <c r="AJ113" i="10"/>
  <c r="AK113" i="10" s="1"/>
  <c r="AJ117" i="10"/>
  <c r="AK117" i="10" s="1"/>
  <c r="AJ121" i="10"/>
  <c r="AL121" i="10" s="1"/>
  <c r="AJ125" i="10"/>
  <c r="AL125" i="10" s="1"/>
  <c r="AJ129" i="10"/>
  <c r="AK129" i="10" s="1"/>
  <c r="AJ133" i="10"/>
  <c r="AL133" i="10" s="1"/>
  <c r="AJ137" i="10"/>
  <c r="AL137" i="10" s="1"/>
  <c r="AJ141" i="10"/>
  <c r="AL141" i="10" s="1"/>
  <c r="AJ145" i="10"/>
  <c r="AJ149" i="10"/>
  <c r="AL149" i="10" s="1"/>
  <c r="AJ153" i="10"/>
  <c r="AL153" i="10" s="1"/>
  <c r="AJ157" i="10"/>
  <c r="AK157" i="10" s="1"/>
  <c r="AJ161" i="10"/>
  <c r="AK161" i="10" s="1"/>
  <c r="AJ165" i="10"/>
  <c r="AJ169" i="10"/>
  <c r="AK169" i="10" s="1"/>
  <c r="AJ173" i="10"/>
  <c r="AK173" i="10" s="1"/>
  <c r="AJ177" i="10"/>
  <c r="AK177" i="10" s="1"/>
  <c r="AJ181" i="10"/>
  <c r="AJ185" i="10"/>
  <c r="AK185" i="10" s="1"/>
  <c r="AJ189" i="10"/>
  <c r="AK189" i="10" s="1"/>
  <c r="AJ193" i="10"/>
  <c r="AJ197" i="10"/>
  <c r="AK197" i="10" s="1"/>
  <c r="AJ201" i="10"/>
  <c r="AL201" i="10" s="1"/>
  <c r="AJ205" i="10"/>
  <c r="AK205" i="10" s="1"/>
  <c r="AJ209" i="10"/>
  <c r="AK209" i="10" s="1"/>
  <c r="AJ213" i="10"/>
  <c r="AL213" i="10" s="1"/>
  <c r="AJ217" i="10"/>
  <c r="AJ221" i="10"/>
  <c r="AK221" i="10" s="1"/>
  <c r="AJ225" i="10"/>
  <c r="AL225" i="10" s="1"/>
  <c r="AJ229" i="10"/>
  <c r="AJ233" i="10"/>
  <c r="AL233" i="10" s="1"/>
  <c r="AJ237" i="10"/>
  <c r="AL237" i="10" s="1"/>
  <c r="AJ241" i="10"/>
  <c r="AL241" i="10" s="1"/>
  <c r="AJ245" i="10"/>
  <c r="AK245" i="10" s="1"/>
  <c r="AJ249" i="10"/>
  <c r="AL249" i="10" s="1"/>
  <c r="AJ253" i="10"/>
  <c r="AL253" i="10" s="1"/>
  <c r="AJ257" i="10"/>
  <c r="AL257" i="10" s="1"/>
  <c r="AJ261" i="10"/>
  <c r="AL261" i="10" s="1"/>
  <c r="AJ265" i="10"/>
  <c r="AK265" i="10" s="1"/>
  <c r="AJ269" i="10"/>
  <c r="AL269" i="10" s="1"/>
  <c r="AJ273" i="10"/>
  <c r="AL273" i="10" s="1"/>
  <c r="AJ277" i="10"/>
  <c r="AJ281" i="10"/>
  <c r="AL281" i="10" s="1"/>
  <c r="AJ285" i="10"/>
  <c r="AL285" i="10" s="1"/>
  <c r="AJ289" i="10"/>
  <c r="AJ293" i="10"/>
  <c r="AK293" i="10" s="1"/>
  <c r="AJ297" i="10"/>
  <c r="AJ301" i="10"/>
  <c r="AK301" i="10" s="1"/>
  <c r="AJ305" i="10"/>
  <c r="AJ309" i="10"/>
  <c r="AK309" i="10" s="1"/>
  <c r="AJ313" i="10"/>
  <c r="AL313" i="10" s="1"/>
  <c r="AJ20" i="10"/>
  <c r="AL20" i="10" s="1"/>
  <c r="AJ24" i="10"/>
  <c r="AL24" i="10" s="1"/>
  <c r="AJ28" i="10"/>
  <c r="AK28" i="10" s="1"/>
  <c r="AJ32" i="10"/>
  <c r="AK32" i="10" s="1"/>
  <c r="AJ36" i="10"/>
  <c r="AK36" i="10" s="1"/>
  <c r="AJ40" i="10"/>
  <c r="AL40" i="10" s="1"/>
  <c r="AJ44" i="10"/>
  <c r="AK44" i="10" s="1"/>
  <c r="AJ48" i="10"/>
  <c r="AL48" i="10" s="1"/>
  <c r="AJ52" i="10"/>
  <c r="AJ56" i="10"/>
  <c r="AJ60" i="10"/>
  <c r="AK60" i="10" s="1"/>
  <c r="AJ64" i="10"/>
  <c r="AL64" i="10" s="1"/>
  <c r="AJ68" i="10"/>
  <c r="AK68" i="10" s="1"/>
  <c r="AJ72" i="10"/>
  <c r="AJ76" i="10"/>
  <c r="AJ80" i="10"/>
  <c r="AK80" i="10" s="1"/>
  <c r="AJ84" i="10"/>
  <c r="AL84" i="10" s="1"/>
  <c r="AJ88" i="10"/>
  <c r="AK88" i="10" s="1"/>
  <c r="AJ92" i="10"/>
  <c r="AL92" i="10" s="1"/>
  <c r="AJ96" i="10"/>
  <c r="AL96" i="10" s="1"/>
  <c r="AJ100" i="10"/>
  <c r="AK100" i="10" s="1"/>
  <c r="AJ104" i="10"/>
  <c r="AJ108" i="10"/>
  <c r="AK108" i="10" s="1"/>
  <c r="AJ112" i="10"/>
  <c r="AK112" i="10" s="1"/>
  <c r="AJ116" i="10"/>
  <c r="AK116" i="10" s="1"/>
  <c r="AJ120" i="10"/>
  <c r="AJ124" i="10"/>
  <c r="AK124" i="10" s="1"/>
  <c r="AJ128" i="10"/>
  <c r="AJ132" i="10"/>
  <c r="AL132" i="10" s="1"/>
  <c r="AJ136" i="10"/>
  <c r="AJ140" i="10"/>
  <c r="AL140" i="10" s="1"/>
  <c r="AJ144" i="10"/>
  <c r="AK144" i="10" s="1"/>
  <c r="AJ148" i="10"/>
  <c r="AK148" i="10" s="1"/>
  <c r="AJ152" i="10"/>
  <c r="AK152" i="10" s="1"/>
  <c r="AJ156" i="10"/>
  <c r="AL156" i="10" s="1"/>
  <c r="AJ160" i="10"/>
  <c r="AL160" i="10" s="1"/>
  <c r="AJ164" i="10"/>
  <c r="AK164" i="10" s="1"/>
  <c r="AJ168" i="10"/>
  <c r="AJ172" i="10"/>
  <c r="AK172" i="10" s="1"/>
  <c r="AJ176" i="10"/>
  <c r="AJ180" i="10"/>
  <c r="AL180" i="10" s="1"/>
  <c r="AJ184" i="10"/>
  <c r="AJ188" i="10"/>
  <c r="AL188" i="10" s="1"/>
  <c r="AJ192" i="10"/>
  <c r="AK192" i="10" s="1"/>
  <c r="AJ196" i="10"/>
  <c r="AK196" i="10" s="1"/>
  <c r="AJ200" i="10"/>
  <c r="AJ204" i="10"/>
  <c r="AK204" i="10" s="1"/>
  <c r="AJ208" i="10"/>
  <c r="AJ212" i="10"/>
  <c r="AL212" i="10" s="1"/>
  <c r="AJ216" i="10"/>
  <c r="AL216" i="10" s="1"/>
  <c r="AJ220" i="10"/>
  <c r="AJ224" i="10"/>
  <c r="AK224" i="10" s="1"/>
  <c r="AJ228" i="10"/>
  <c r="AL228" i="10" s="1"/>
  <c r="AJ232" i="10"/>
  <c r="AJ236" i="10"/>
  <c r="AK236" i="10" s="1"/>
  <c r="AJ240" i="10"/>
  <c r="AJ244" i="10"/>
  <c r="AL244" i="10" s="1"/>
  <c r="AJ248" i="10"/>
  <c r="AJ252" i="10"/>
  <c r="AL252" i="10" s="1"/>
  <c r="AJ256" i="10"/>
  <c r="AL256" i="10" s="1"/>
  <c r="AJ260" i="10"/>
  <c r="AL260" i="10" s="1"/>
  <c r="AJ264" i="10"/>
  <c r="AJ268" i="10"/>
  <c r="AL268" i="10" s="1"/>
  <c r="AJ272" i="10"/>
  <c r="AJ276" i="10"/>
  <c r="AL276" i="10" s="1"/>
  <c r="AJ280" i="10"/>
  <c r="AL280" i="10" s="1"/>
  <c r="AJ284" i="10"/>
  <c r="AK284" i="10" s="1"/>
  <c r="AJ288" i="10"/>
  <c r="AK288" i="10" s="1"/>
  <c r="AJ292" i="10"/>
  <c r="AK292" i="10" s="1"/>
  <c r="AJ296" i="10"/>
  <c r="AJ23" i="10"/>
  <c r="AL23" i="10" s="1"/>
  <c r="AJ31" i="10"/>
  <c r="AK31" i="10" s="1"/>
  <c r="AJ39" i="10"/>
  <c r="AK39" i="10" s="1"/>
  <c r="AJ47" i="10"/>
  <c r="AL47" i="10" s="1"/>
  <c r="AJ55" i="10"/>
  <c r="AK55" i="10" s="1"/>
  <c r="AJ63" i="10"/>
  <c r="AJ71" i="10"/>
  <c r="AK71" i="10" s="1"/>
  <c r="AJ79" i="10"/>
  <c r="AK79" i="10" s="1"/>
  <c r="AJ87" i="10"/>
  <c r="AJ95" i="10"/>
  <c r="AK95" i="10" s="1"/>
  <c r="AJ103" i="10"/>
  <c r="AK103" i="10" s="1"/>
  <c r="AJ111" i="10"/>
  <c r="AK111" i="10" s="1"/>
  <c r="AJ119" i="10"/>
  <c r="AK119" i="10" s="1"/>
  <c r="AJ127" i="10"/>
  <c r="AK127" i="10" s="1"/>
  <c r="AJ135" i="10"/>
  <c r="AL135" i="10" s="1"/>
  <c r="AJ143" i="10"/>
  <c r="AK143" i="10" s="1"/>
  <c r="AJ151" i="10"/>
  <c r="AJ159" i="10"/>
  <c r="AK159" i="10" s="1"/>
  <c r="AJ167" i="10"/>
  <c r="AJ175" i="10"/>
  <c r="AL175" i="10" s="1"/>
  <c r="AJ183" i="10"/>
  <c r="AK183" i="10" s="1"/>
  <c r="AJ191" i="10"/>
  <c r="AJ199" i="10"/>
  <c r="AK199" i="10" s="1"/>
  <c r="AJ207" i="10"/>
  <c r="AL207" i="10" s="1"/>
  <c r="AJ215" i="10"/>
  <c r="AL215" i="10" s="1"/>
  <c r="AJ223" i="10"/>
  <c r="AL223" i="10" s="1"/>
  <c r="AJ231" i="10"/>
  <c r="AK231" i="10" s="1"/>
  <c r="AJ239" i="10"/>
  <c r="AJ247" i="10"/>
  <c r="AK247" i="10" s="1"/>
  <c r="AJ255" i="10"/>
  <c r="AL255" i="10" s="1"/>
  <c r="AJ263" i="10"/>
  <c r="AK263" i="10" s="1"/>
  <c r="AJ271" i="10"/>
  <c r="AL271" i="10" s="1"/>
  <c r="AJ279" i="10"/>
  <c r="AL279" i="10" s="1"/>
  <c r="AJ287" i="10"/>
  <c r="AL287" i="10" s="1"/>
  <c r="AJ295" i="10"/>
  <c r="AJ302" i="10"/>
  <c r="AJ307" i="10"/>
  <c r="AK307" i="10" s="1"/>
  <c r="AJ312" i="10"/>
  <c r="AJ317" i="10"/>
  <c r="AL317" i="10" s="1"/>
  <c r="AJ321" i="10"/>
  <c r="AJ325" i="10"/>
  <c r="AJ329" i="10"/>
  <c r="AL329" i="10" s="1"/>
  <c r="AJ333" i="10"/>
  <c r="AL333" i="10" s="1"/>
  <c r="AJ337" i="10"/>
  <c r="AJ341" i="10"/>
  <c r="AK341" i="10" s="1"/>
  <c r="AJ345" i="10"/>
  <c r="AK345" i="10" s="1"/>
  <c r="AJ349" i="10"/>
  <c r="AL349" i="10" s="1"/>
  <c r="AJ353" i="10"/>
  <c r="AK353" i="10" s="1"/>
  <c r="AJ357" i="10"/>
  <c r="AL357" i="10" s="1"/>
  <c r="AJ361" i="10"/>
  <c r="AK361" i="10" s="1"/>
  <c r="AJ365" i="10"/>
  <c r="AK365" i="10" s="1"/>
  <c r="AJ369" i="10"/>
  <c r="AJ373" i="10"/>
  <c r="AL373" i="10" s="1"/>
  <c r="AJ377" i="10"/>
  <c r="AL377" i="10" s="1"/>
  <c r="AJ381" i="10"/>
  <c r="AK381" i="10" s="1"/>
  <c r="AJ385" i="10"/>
  <c r="AJ389" i="10"/>
  <c r="AL389" i="10" s="1"/>
  <c r="AJ393" i="10"/>
  <c r="AL393" i="10" s="1"/>
  <c r="AJ397" i="10"/>
  <c r="AL397" i="10" s="1"/>
  <c r="AJ401" i="10"/>
  <c r="AJ405" i="10"/>
  <c r="AL405" i="10" s="1"/>
  <c r="AJ409" i="10"/>
  <c r="AK409" i="10" s="1"/>
  <c r="AJ413" i="10"/>
  <c r="AK413" i="10" s="1"/>
  <c r="AJ417" i="10"/>
  <c r="AK417" i="10" s="1"/>
  <c r="AJ421" i="10"/>
  <c r="AL421" i="10" s="1"/>
  <c r="AJ425" i="10"/>
  <c r="AL425" i="10" s="1"/>
  <c r="AJ429" i="10"/>
  <c r="AL429" i="10" s="1"/>
  <c r="AJ433" i="10"/>
  <c r="AK433" i="10" s="1"/>
  <c r="AJ437" i="10"/>
  <c r="AJ441" i="10"/>
  <c r="AK441" i="10" s="1"/>
  <c r="AJ445" i="10"/>
  <c r="AK445" i="10" s="1"/>
  <c r="AJ449" i="10"/>
  <c r="AJ453" i="10"/>
  <c r="AL453" i="10" s="1"/>
  <c r="AJ457" i="10"/>
  <c r="AL457" i="10" s="1"/>
  <c r="AJ461" i="10"/>
  <c r="AL461" i="10" s="1"/>
  <c r="AJ465" i="10"/>
  <c r="AK465" i="10" s="1"/>
  <c r="AJ469" i="10"/>
  <c r="AJ473" i="10"/>
  <c r="AK473" i="10" s="1"/>
  <c r="AJ477" i="10"/>
  <c r="AL477" i="10" s="1"/>
  <c r="AJ481" i="10"/>
  <c r="AL481" i="10" s="1"/>
  <c r="AJ30" i="10"/>
  <c r="AK30" i="10" s="1"/>
  <c r="AJ42" i="10"/>
  <c r="AK42" i="10" s="1"/>
  <c r="AJ51" i="10"/>
  <c r="AK51" i="10" s="1"/>
  <c r="AJ62" i="10"/>
  <c r="AJ74" i="10"/>
  <c r="AL74" i="10" s="1"/>
  <c r="AJ83" i="10"/>
  <c r="AL83" i="10" s="1"/>
  <c r="AJ94" i="10"/>
  <c r="AL94" i="10" s="1"/>
  <c r="AJ106" i="10"/>
  <c r="AJ115" i="10"/>
  <c r="AJ126" i="10"/>
  <c r="AJ138" i="10"/>
  <c r="AK138" i="10" s="1"/>
  <c r="AJ147" i="10"/>
  <c r="AL147" i="10" s="1"/>
  <c r="AJ158" i="10"/>
  <c r="AK158" i="10" s="1"/>
  <c r="AJ170" i="10"/>
  <c r="AJ179" i="10"/>
  <c r="AL179" i="10" s="1"/>
  <c r="AJ190" i="10"/>
  <c r="AL190" i="10" s="1"/>
  <c r="AJ202" i="10"/>
  <c r="AL202" i="10" s="1"/>
  <c r="AJ211" i="10"/>
  <c r="AK211" i="10" s="1"/>
  <c r="AJ222" i="10"/>
  <c r="AK222" i="10" s="1"/>
  <c r="AJ234" i="10"/>
  <c r="AK234" i="10" s="1"/>
  <c r="AJ243" i="10"/>
  <c r="AK243" i="10" s="1"/>
  <c r="AJ254" i="10"/>
  <c r="AJ266" i="10"/>
  <c r="AK266" i="10" s="1"/>
  <c r="AJ275" i="10"/>
  <c r="AL275" i="10" s="1"/>
  <c r="AJ286" i="10"/>
  <c r="AK286" i="10" s="1"/>
  <c r="AJ298" i="10"/>
  <c r="AL298" i="10" s="1"/>
  <c r="AJ304" i="10"/>
  <c r="AL304" i="10" s="1"/>
  <c r="AJ311" i="10"/>
  <c r="AK311" i="10" s="1"/>
  <c r="AJ318" i="10"/>
  <c r="AK318" i="10" s="1"/>
  <c r="AJ323" i="10"/>
  <c r="AK323" i="10" s="1"/>
  <c r="AJ328" i="10"/>
  <c r="AL328" i="10" s="1"/>
  <c r="AJ334" i="10"/>
  <c r="AL334" i="10" s="1"/>
  <c r="AJ339" i="10"/>
  <c r="AL339" i="10" s="1"/>
  <c r="AJ344" i="10"/>
  <c r="AL344" i="10" s="1"/>
  <c r="AJ350" i="10"/>
  <c r="AK350" i="10" s="1"/>
  <c r="AJ355" i="10"/>
  <c r="AK355" i="10" s="1"/>
  <c r="AJ360" i="10"/>
  <c r="AL360" i="10" s="1"/>
  <c r="AJ366" i="10"/>
  <c r="AL366" i="10" s="1"/>
  <c r="AJ371" i="10"/>
  <c r="AK371" i="10" s="1"/>
  <c r="AJ376" i="10"/>
  <c r="AK376" i="10" s="1"/>
  <c r="AJ382" i="10"/>
  <c r="AL382" i="10" s="1"/>
  <c r="AJ387" i="10"/>
  <c r="AJ392" i="10"/>
  <c r="AL392" i="10" s="1"/>
  <c r="AJ398" i="10"/>
  <c r="AL398" i="10" s="1"/>
  <c r="AJ403" i="10"/>
  <c r="AJ408" i="10"/>
  <c r="AJ414" i="10"/>
  <c r="AK414" i="10" s="1"/>
  <c r="AJ419" i="10"/>
  <c r="AJ424" i="10"/>
  <c r="AK424" i="10" s="1"/>
  <c r="AJ430" i="10"/>
  <c r="AL430" i="10" s="1"/>
  <c r="AJ435" i="10"/>
  <c r="AK435" i="10" s="1"/>
  <c r="AJ440" i="10"/>
  <c r="AL440" i="10" s="1"/>
  <c r="AJ446" i="10"/>
  <c r="AK446" i="10" s="1"/>
  <c r="AJ451" i="10"/>
  <c r="AL451" i="10" s="1"/>
  <c r="AJ456" i="10"/>
  <c r="AL456" i="10" s="1"/>
  <c r="AJ462" i="10"/>
  <c r="AL462" i="10" s="1"/>
  <c r="AJ467" i="10"/>
  <c r="AK467" i="10" s="1"/>
  <c r="AJ472" i="10"/>
  <c r="AK472" i="10" s="1"/>
  <c r="AJ478" i="10"/>
  <c r="AJ483" i="10"/>
  <c r="AJ487" i="10"/>
  <c r="AL487" i="10" s="1"/>
  <c r="AJ491" i="10"/>
  <c r="AL491" i="10" s="1"/>
  <c r="AJ495" i="10"/>
  <c r="AK495" i="10" s="1"/>
  <c r="AJ499" i="10"/>
  <c r="AJ503" i="10"/>
  <c r="AK503" i="10" s="1"/>
  <c r="AJ507" i="10"/>
  <c r="AL507" i="10" s="1"/>
  <c r="AJ511" i="10"/>
  <c r="AK511" i="10" s="1"/>
  <c r="AJ515" i="10"/>
  <c r="AJ519" i="10"/>
  <c r="AK519" i="10" s="1"/>
  <c r="AJ523" i="10"/>
  <c r="AL523" i="10" s="1"/>
  <c r="AJ527" i="10"/>
  <c r="AL527" i="10" s="1"/>
  <c r="AJ531" i="10"/>
  <c r="AJ535" i="10"/>
  <c r="AK535" i="10" s="1"/>
  <c r="AJ539" i="10"/>
  <c r="AL539" i="10" s="1"/>
  <c r="AJ543" i="10"/>
  <c r="AK543" i="10" s="1"/>
  <c r="AJ547" i="10"/>
  <c r="AJ551" i="10"/>
  <c r="AL551" i="10" s="1"/>
  <c r="AJ555" i="10"/>
  <c r="AJ559" i="10"/>
  <c r="AL559" i="10" s="1"/>
  <c r="AJ27" i="10"/>
  <c r="AK27" i="10" s="1"/>
  <c r="AJ38" i="10"/>
  <c r="AK38" i="10" s="1"/>
  <c r="AJ50" i="10"/>
  <c r="AL50" i="10" s="1"/>
  <c r="AJ59" i="10"/>
  <c r="AL59" i="10" s="1"/>
  <c r="AJ70" i="10"/>
  <c r="AL70" i="10" s="1"/>
  <c r="AJ82" i="10"/>
  <c r="AK82" i="10" s="1"/>
  <c r="AJ91" i="10"/>
  <c r="AL91" i="10" s="1"/>
  <c r="AJ102" i="10"/>
  <c r="AK102" i="10" s="1"/>
  <c r="AJ114" i="10"/>
  <c r="AL114" i="10" s="1"/>
  <c r="AJ123" i="10"/>
  <c r="AK123" i="10" s="1"/>
  <c r="AJ134" i="10"/>
  <c r="AJ146" i="10"/>
  <c r="AJ155" i="10"/>
  <c r="AJ166" i="10"/>
  <c r="AL166" i="10" s="1"/>
  <c r="AJ178" i="10"/>
  <c r="AK178" i="10" s="1"/>
  <c r="AJ187" i="10"/>
  <c r="AJ198" i="10"/>
  <c r="AL198" i="10" s="1"/>
  <c r="AJ210" i="10"/>
  <c r="AL210" i="10" s="1"/>
  <c r="AJ219" i="10"/>
  <c r="AJ230" i="10"/>
  <c r="AK230" i="10" s="1"/>
  <c r="AJ242" i="10"/>
  <c r="AJ251" i="10"/>
  <c r="AL251" i="10" s="1"/>
  <c r="AJ262" i="10"/>
  <c r="AL262" i="10" s="1"/>
  <c r="AJ274" i="10"/>
  <c r="AJ283" i="10"/>
  <c r="AK283" i="10" s="1"/>
  <c r="AJ294" i="10"/>
  <c r="AL294" i="10" s="1"/>
  <c r="AJ303" i="10"/>
  <c r="AK303" i="10" s="1"/>
  <c r="AJ310" i="10"/>
  <c r="AK310" i="10" s="1"/>
  <c r="AJ316" i="10"/>
  <c r="AL316" i="10" s="1"/>
  <c r="AJ322" i="10"/>
  <c r="AL322" i="10" s="1"/>
  <c r="AJ327" i="10"/>
  <c r="AL327" i="10" s="1"/>
  <c r="AJ332" i="10"/>
  <c r="AJ338" i="10"/>
  <c r="AK338" i="10" s="1"/>
  <c r="AJ343" i="10"/>
  <c r="AK343" i="10" s="1"/>
  <c r="AJ348" i="10"/>
  <c r="AK348" i="10" s="1"/>
  <c r="AJ354" i="10"/>
  <c r="AK354" i="10" s="1"/>
  <c r="AJ359" i="10"/>
  <c r="AK359" i="10" s="1"/>
  <c r="AJ364" i="10"/>
  <c r="AL364" i="10" s="1"/>
  <c r="AJ370" i="10"/>
  <c r="AK370" i="10" s="1"/>
  <c r="AJ375" i="10"/>
  <c r="AK375" i="10" s="1"/>
  <c r="AJ380" i="10"/>
  <c r="AL380" i="10" s="1"/>
  <c r="AJ386" i="10"/>
  <c r="AJ391" i="10"/>
  <c r="AJ396" i="10"/>
  <c r="AL396" i="10" s="1"/>
  <c r="AJ402" i="10"/>
  <c r="AK402" i="10" s="1"/>
  <c r="AJ407" i="10"/>
  <c r="AK407" i="10" s="1"/>
  <c r="AJ412" i="10"/>
  <c r="AL412" i="10" s="1"/>
  <c r="AJ418" i="10"/>
  <c r="AK418" i="10" s="1"/>
  <c r="AJ423" i="10"/>
  <c r="AK423" i="10" s="1"/>
  <c r="AJ428" i="10"/>
  <c r="AJ434" i="10"/>
  <c r="AJ439" i="10"/>
  <c r="AK439" i="10" s="1"/>
  <c r="AJ444" i="10"/>
  <c r="AJ450" i="10"/>
  <c r="AJ455" i="10"/>
  <c r="AK455" i="10" s="1"/>
  <c r="AJ460" i="10"/>
  <c r="AL460" i="10" s="1"/>
  <c r="AJ466" i="10"/>
  <c r="AJ471" i="10"/>
  <c r="AK471" i="10" s="1"/>
  <c r="AJ476" i="10"/>
  <c r="AJ482" i="10"/>
  <c r="AK482" i="10" s="1"/>
  <c r="AJ486" i="10"/>
  <c r="AL486" i="10" s="1"/>
  <c r="AJ490" i="10"/>
  <c r="AL490" i="10" s="1"/>
  <c r="AJ494" i="10"/>
  <c r="AL494" i="10" s="1"/>
  <c r="AJ498" i="10"/>
  <c r="AJ502" i="10"/>
  <c r="AL502" i="10" s="1"/>
  <c r="AJ506" i="10"/>
  <c r="AL506" i="10" s="1"/>
  <c r="AJ510" i="10"/>
  <c r="AJ514" i="10"/>
  <c r="AL514" i="10" s="1"/>
  <c r="AJ518" i="10"/>
  <c r="AL518" i="10" s="1"/>
  <c r="AJ522" i="10"/>
  <c r="AK522" i="10" s="1"/>
  <c r="AJ526" i="10"/>
  <c r="AJ530" i="10"/>
  <c r="AK530" i="10" s="1"/>
  <c r="AJ534" i="10"/>
  <c r="AL534" i="10" s="1"/>
  <c r="AJ538" i="10"/>
  <c r="AL538" i="10" s="1"/>
  <c r="AJ542" i="10"/>
  <c r="AJ546" i="10"/>
  <c r="AK546" i="10" s="1"/>
  <c r="AJ550" i="10"/>
  <c r="AK550" i="10" s="1"/>
  <c r="AJ554" i="10"/>
  <c r="AK554" i="10" s="1"/>
  <c r="AJ558" i="10"/>
  <c r="AL558" i="10" s="1"/>
  <c r="AJ22" i="10"/>
  <c r="AL22" i="10" s="1"/>
  <c r="AJ43" i="10"/>
  <c r="AK43" i="10" s="1"/>
  <c r="AJ66" i="10"/>
  <c r="AK66" i="10" s="1"/>
  <c r="AJ86" i="10"/>
  <c r="AL86" i="10" s="1"/>
  <c r="AJ107" i="10"/>
  <c r="AJ130" i="10"/>
  <c r="AL130" i="10" s="1"/>
  <c r="AJ150" i="10"/>
  <c r="AL150" i="10" s="1"/>
  <c r="AJ171" i="10"/>
  <c r="AK171" i="10" s="1"/>
  <c r="AJ194" i="10"/>
  <c r="AL194" i="10" s="1"/>
  <c r="AJ214" i="10"/>
  <c r="AK214" i="10" s="1"/>
  <c r="AJ235" i="10"/>
  <c r="AL235" i="10" s="1"/>
  <c r="AJ258" i="10"/>
  <c r="AK258" i="10" s="1"/>
  <c r="AJ278" i="10"/>
  <c r="AK278" i="10" s="1"/>
  <c r="AJ299" i="10"/>
  <c r="AK299" i="10" s="1"/>
  <c r="AJ314" i="10"/>
  <c r="AJ324" i="10"/>
  <c r="AK324" i="10" s="1"/>
  <c r="AJ335" i="10"/>
  <c r="AK335" i="10" s="1"/>
  <c r="AJ346" i="10"/>
  <c r="AK346" i="10" s="1"/>
  <c r="AJ356" i="10"/>
  <c r="AK356" i="10" s="1"/>
  <c r="AJ367" i="10"/>
  <c r="AL367" i="10" s="1"/>
  <c r="AJ378" i="10"/>
  <c r="AL378" i="10" s="1"/>
  <c r="AJ388" i="10"/>
  <c r="AJ399" i="10"/>
  <c r="AL399" i="10" s="1"/>
  <c r="AJ410" i="10"/>
  <c r="AK410" i="10" s="1"/>
  <c r="AJ420" i="10"/>
  <c r="AL420" i="10" s="1"/>
  <c r="AJ431" i="10"/>
  <c r="AJ442" i="10"/>
  <c r="AK442" i="10" s="1"/>
  <c r="AJ452" i="10"/>
  <c r="AJ463" i="10"/>
  <c r="AK463" i="10" s="1"/>
  <c r="AJ474" i="10"/>
  <c r="AK474" i="10" s="1"/>
  <c r="AJ484" i="10"/>
  <c r="AK484" i="10" s="1"/>
  <c r="AJ492" i="10"/>
  <c r="AJ500" i="10"/>
  <c r="AK500" i="10" s="1"/>
  <c r="AJ508" i="10"/>
  <c r="AJ516" i="10"/>
  <c r="AK516" i="10" s="1"/>
  <c r="AJ524" i="10"/>
  <c r="AL524" i="10" s="1"/>
  <c r="AJ532" i="10"/>
  <c r="AL532" i="10" s="1"/>
  <c r="AJ540" i="10"/>
  <c r="AJ548" i="10"/>
  <c r="AJ556" i="10"/>
  <c r="AK556" i="10" s="1"/>
  <c r="AJ35" i="10"/>
  <c r="AL35" i="10" s="1"/>
  <c r="AJ58" i="10"/>
  <c r="AK58" i="10" s="1"/>
  <c r="AJ78" i="10"/>
  <c r="AL78" i="10" s="1"/>
  <c r="AJ99" i="10"/>
  <c r="AK99" i="10" s="1"/>
  <c r="AJ122" i="10"/>
  <c r="AK122" i="10" s="1"/>
  <c r="AJ142" i="10"/>
  <c r="AL142" i="10" s="1"/>
  <c r="AJ163" i="10"/>
  <c r="AL163" i="10" s="1"/>
  <c r="AJ186" i="10"/>
  <c r="AK186" i="10" s="1"/>
  <c r="AJ206" i="10"/>
  <c r="AK206" i="10" s="1"/>
  <c r="AJ227" i="10"/>
  <c r="AL227" i="10" s="1"/>
  <c r="AJ250" i="10"/>
  <c r="AK250" i="10" s="1"/>
  <c r="AJ270" i="10"/>
  <c r="AK270" i="10" s="1"/>
  <c r="AJ291" i="10"/>
  <c r="AK291" i="10" s="1"/>
  <c r="AJ308" i="10"/>
  <c r="AL308" i="10" s="1"/>
  <c r="AJ320" i="10"/>
  <c r="AK320" i="10" s="1"/>
  <c r="AJ331" i="10"/>
  <c r="AL331" i="10" s="1"/>
  <c r="AJ342" i="10"/>
  <c r="AL342" i="10" s="1"/>
  <c r="AJ352" i="10"/>
  <c r="AJ363" i="10"/>
  <c r="AK363" i="10" s="1"/>
  <c r="AJ374" i="10"/>
  <c r="AL374" i="10" s="1"/>
  <c r="AJ384" i="10"/>
  <c r="AK384" i="10" s="1"/>
  <c r="AJ395" i="10"/>
  <c r="AJ406" i="10"/>
  <c r="AK406" i="10" s="1"/>
  <c r="AJ416" i="10"/>
  <c r="AL416" i="10" s="1"/>
  <c r="AJ427" i="10"/>
  <c r="AK427" i="10" s="1"/>
  <c r="AJ438" i="10"/>
  <c r="AL438" i="10" s="1"/>
  <c r="AJ448" i="10"/>
  <c r="AL448" i="10" s="1"/>
  <c r="AJ459" i="10"/>
  <c r="AK459" i="10" s="1"/>
  <c r="AJ470" i="10"/>
  <c r="AK470" i="10" s="1"/>
  <c r="AJ480" i="10"/>
  <c r="AJ489" i="10"/>
  <c r="AL489" i="10" s="1"/>
  <c r="AJ497" i="10"/>
  <c r="AK497" i="10" s="1"/>
  <c r="AJ505" i="10"/>
  <c r="AL505" i="10" s="1"/>
  <c r="AJ513" i="10"/>
  <c r="AJ521" i="10"/>
  <c r="AL521" i="10" s="1"/>
  <c r="AJ529" i="10"/>
  <c r="AL529" i="10" s="1"/>
  <c r="AJ537" i="10"/>
  <c r="AL537" i="10" s="1"/>
  <c r="AJ545" i="10"/>
  <c r="AJ553" i="10"/>
  <c r="AJ19" i="10"/>
  <c r="AS19" i="10" s="1"/>
  <c r="AJ26" i="10"/>
  <c r="AL26" i="10" s="1"/>
  <c r="AJ67" i="10"/>
  <c r="AJ110" i="10"/>
  <c r="AL110" i="10" s="1"/>
  <c r="AJ154" i="10"/>
  <c r="AL154" i="10" s="1"/>
  <c r="AJ195" i="10"/>
  <c r="AL195" i="10" s="1"/>
  <c r="AJ238" i="10"/>
  <c r="AK238" i="10" s="1"/>
  <c r="AJ282" i="10"/>
  <c r="AK282" i="10" s="1"/>
  <c r="AJ315" i="10"/>
  <c r="AL315" i="10" s="1"/>
  <c r="AJ336" i="10"/>
  <c r="AK336" i="10" s="1"/>
  <c r="AJ358" i="10"/>
  <c r="AJ379" i="10"/>
  <c r="AK379" i="10" s="1"/>
  <c r="AJ400" i="10"/>
  <c r="AL400" i="10" s="1"/>
  <c r="AJ422" i="10"/>
  <c r="AL422" i="10" s="1"/>
  <c r="AJ443" i="10"/>
  <c r="AJ464" i="10"/>
  <c r="AL464" i="10" s="1"/>
  <c r="AJ485" i="10"/>
  <c r="AL485" i="10" s="1"/>
  <c r="AJ501" i="10"/>
  <c r="AK501" i="10" s="1"/>
  <c r="AJ517" i="10"/>
  <c r="AL517" i="10" s="1"/>
  <c r="AJ533" i="10"/>
  <c r="AJ549" i="10"/>
  <c r="AL549" i="10" s="1"/>
  <c r="AJ34" i="10"/>
  <c r="AK34" i="10" s="1"/>
  <c r="AJ75" i="10"/>
  <c r="AJ118" i="10"/>
  <c r="AL118" i="10" s="1"/>
  <c r="AJ162" i="10"/>
  <c r="AK162" i="10" s="1"/>
  <c r="AJ203" i="10"/>
  <c r="AL203" i="10" s="1"/>
  <c r="AJ246" i="10"/>
  <c r="AJ290" i="10"/>
  <c r="AK290" i="10" s="1"/>
  <c r="AJ319" i="10"/>
  <c r="AK319" i="10" s="1"/>
  <c r="AJ340" i="10"/>
  <c r="AL340" i="10" s="1"/>
  <c r="AJ362" i="10"/>
  <c r="AL362" i="10" s="1"/>
  <c r="AJ383" i="10"/>
  <c r="AL383" i="10" s="1"/>
  <c r="AJ404" i="10"/>
  <c r="AL404" i="10" s="1"/>
  <c r="AJ426" i="10"/>
  <c r="AK426" i="10" s="1"/>
  <c r="AJ447" i="10"/>
  <c r="AK447" i="10" s="1"/>
  <c r="AJ468" i="10"/>
  <c r="AL468" i="10" s="1"/>
  <c r="AJ488" i="10"/>
  <c r="AK488" i="10" s="1"/>
  <c r="AJ504" i="10"/>
  <c r="AL504" i="10" s="1"/>
  <c r="AJ520" i="10"/>
  <c r="AJ536" i="10"/>
  <c r="AK536" i="10" s="1"/>
  <c r="AJ552" i="10"/>
  <c r="AJ54" i="10"/>
  <c r="AK54" i="10" s="1"/>
  <c r="AJ98" i="10"/>
  <c r="AL98" i="10" s="1"/>
  <c r="AJ139" i="10"/>
  <c r="AJ182" i="10"/>
  <c r="AL182" i="10" s="1"/>
  <c r="AJ226" i="10"/>
  <c r="AL226" i="10" s="1"/>
  <c r="AJ267" i="10"/>
  <c r="AJ306" i="10"/>
  <c r="AK306" i="10" s="1"/>
  <c r="AJ330" i="10"/>
  <c r="AL330" i="10" s="1"/>
  <c r="AJ351" i="10"/>
  <c r="AK351" i="10" s="1"/>
  <c r="AJ372" i="10"/>
  <c r="AK372" i="10" s="1"/>
  <c r="AJ394" i="10"/>
  <c r="AL394" i="10" s="1"/>
  <c r="AJ415" i="10"/>
  <c r="AK415" i="10" s="1"/>
  <c r="AJ436" i="10"/>
  <c r="AK436" i="10" s="1"/>
  <c r="AJ458" i="10"/>
  <c r="AK458" i="10" s="1"/>
  <c r="AJ479" i="10"/>
  <c r="AL479" i="10" s="1"/>
  <c r="AJ496" i="10"/>
  <c r="AK496" i="10" s="1"/>
  <c r="AJ512" i="10"/>
  <c r="AK512" i="10" s="1"/>
  <c r="AJ528" i="10"/>
  <c r="AL528" i="10" s="1"/>
  <c r="AJ544" i="10"/>
  <c r="AK544" i="10" s="1"/>
  <c r="AJ560" i="10"/>
  <c r="AL560" i="10" s="1"/>
  <c r="AJ174" i="10"/>
  <c r="AL174" i="10" s="1"/>
  <c r="AJ326" i="10"/>
  <c r="AJ411" i="10"/>
  <c r="AK411" i="10" s="1"/>
  <c r="AJ493" i="10"/>
  <c r="AL493" i="10" s="1"/>
  <c r="AJ557" i="10"/>
  <c r="AL557" i="10" s="1"/>
  <c r="AJ46" i="10"/>
  <c r="AK46" i="10" s="1"/>
  <c r="AJ218" i="10"/>
  <c r="AK218" i="10" s="1"/>
  <c r="AJ347" i="10"/>
  <c r="AL347" i="10" s="1"/>
  <c r="AJ432" i="10"/>
  <c r="AL432" i="10" s="1"/>
  <c r="AJ509" i="10"/>
  <c r="AL509" i="10" s="1"/>
  <c r="AJ131" i="10"/>
  <c r="AL131" i="10" s="1"/>
  <c r="AJ300" i="10"/>
  <c r="AL300" i="10" s="1"/>
  <c r="AJ390" i="10"/>
  <c r="AK390" i="10" s="1"/>
  <c r="AJ475" i="10"/>
  <c r="AJ541" i="10"/>
  <c r="AL541" i="10" s="1"/>
  <c r="AJ90" i="10"/>
  <c r="AL90" i="10" s="1"/>
  <c r="AJ525" i="10"/>
  <c r="AL525" i="10" s="1"/>
  <c r="AJ259" i="10"/>
  <c r="AL259" i="10" s="1"/>
  <c r="AJ454" i="10"/>
  <c r="AK454" i="10" s="1"/>
  <c r="AJ368" i="10"/>
  <c r="AK368" i="10" s="1"/>
  <c r="AO19" i="10"/>
  <c r="AN19" i="10"/>
  <c r="AM24" i="10"/>
  <c r="AM29" i="10"/>
  <c r="AM31" i="10"/>
  <c r="AM34" i="10"/>
  <c r="AM40" i="10"/>
  <c r="AM45" i="10"/>
  <c r="AM47" i="10"/>
  <c r="AM50" i="10"/>
  <c r="AM56" i="10"/>
  <c r="AM61" i="10"/>
  <c r="AM63" i="10"/>
  <c r="AM66" i="10"/>
  <c r="AM72" i="10"/>
  <c r="AM77" i="10"/>
  <c r="AM79" i="10"/>
  <c r="AM82" i="10"/>
  <c r="AM21" i="10"/>
  <c r="AM30" i="10"/>
  <c r="AM33" i="10"/>
  <c r="AM42" i="10"/>
  <c r="AM52" i="10"/>
  <c r="AM26" i="10"/>
  <c r="AM36" i="10"/>
  <c r="AM38" i="10"/>
  <c r="AM23" i="10"/>
  <c r="AM25" i="10"/>
  <c r="AM28" i="10"/>
  <c r="AM35" i="10"/>
  <c r="AM37" i="10"/>
  <c r="AM46" i="10"/>
  <c r="AM49" i="10"/>
  <c r="AM58" i="10"/>
  <c r="AM68" i="10"/>
  <c r="AM70" i="10"/>
  <c r="AM75" i="10"/>
  <c r="AM80" i="10"/>
  <c r="AM88" i="10"/>
  <c r="AM93" i="10"/>
  <c r="AM95" i="10"/>
  <c r="AM98" i="10"/>
  <c r="AM112" i="10"/>
  <c r="AM114" i="10"/>
  <c r="AM120" i="10"/>
  <c r="AM122" i="10"/>
  <c r="AM27" i="10"/>
  <c r="AM43" i="10"/>
  <c r="AM48" i="10"/>
  <c r="AM59" i="10"/>
  <c r="AM65" i="10"/>
  <c r="AM74" i="10"/>
  <c r="AM81" i="10"/>
  <c r="AM84" i="10"/>
  <c r="AM86" i="10"/>
  <c r="AM91" i="10"/>
  <c r="AM96" i="10"/>
  <c r="AM103" i="10"/>
  <c r="AM111" i="10"/>
  <c r="AM119" i="10"/>
  <c r="AM128" i="10"/>
  <c r="AM130" i="10"/>
  <c r="AM136" i="10"/>
  <c r="AM138" i="10"/>
  <c r="AM144" i="10"/>
  <c r="AM146" i="10"/>
  <c r="AM152" i="10"/>
  <c r="AM154" i="10"/>
  <c r="AM160" i="10"/>
  <c r="AM162" i="10"/>
  <c r="AM168" i="10"/>
  <c r="AM170" i="10"/>
  <c r="AM176" i="10"/>
  <c r="AM178" i="10"/>
  <c r="AM184" i="10"/>
  <c r="AM188" i="10"/>
  <c r="AM198" i="10"/>
  <c r="AM201" i="10"/>
  <c r="AM203" i="10"/>
  <c r="AM208" i="10"/>
  <c r="AM213" i="10"/>
  <c r="AM219" i="10"/>
  <c r="AM221" i="10"/>
  <c r="AM223" i="10"/>
  <c r="AM226" i="10"/>
  <c r="AM228" i="10"/>
  <c r="AM230" i="10"/>
  <c r="AM235" i="10"/>
  <c r="AM241" i="10"/>
  <c r="AM244" i="10"/>
  <c r="AM246" i="10"/>
  <c r="AM251" i="10"/>
  <c r="AM257" i="10"/>
  <c r="AM260" i="10"/>
  <c r="AM262" i="10"/>
  <c r="AM267" i="10"/>
  <c r="AM273" i="10"/>
  <c r="AM276" i="10"/>
  <c r="AM278" i="10"/>
  <c r="AM283" i="10"/>
  <c r="AM289" i="10"/>
  <c r="AM292" i="10"/>
  <c r="AM294" i="10"/>
  <c r="AM297" i="10"/>
  <c r="AM301" i="10"/>
  <c r="AM305" i="10"/>
  <c r="AM309" i="10"/>
  <c r="AM313" i="10"/>
  <c r="AM317" i="10"/>
  <c r="AM321" i="10"/>
  <c r="AM325" i="10"/>
  <c r="AM329" i="10"/>
  <c r="AM333" i="10"/>
  <c r="AM337" i="10"/>
  <c r="AM341" i="10"/>
  <c r="AM345" i="10"/>
  <c r="AM349" i="10"/>
  <c r="AM353" i="10"/>
  <c r="AM357" i="10"/>
  <c r="AM361" i="10"/>
  <c r="AM365" i="10"/>
  <c r="AM369" i="10"/>
  <c r="AM20" i="10"/>
  <c r="AM39" i="10"/>
  <c r="AM44" i="10"/>
  <c r="AM53" i="10"/>
  <c r="AM60" i="10"/>
  <c r="AM62" i="10"/>
  <c r="AM69" i="10"/>
  <c r="AM76" i="10"/>
  <c r="AM78" i="10"/>
  <c r="AM87" i="10"/>
  <c r="AM89" i="10"/>
  <c r="AM92" i="10"/>
  <c r="AM99" i="10"/>
  <c r="AM101" i="10"/>
  <c r="AM104" i="10"/>
  <c r="AM106" i="10"/>
  <c r="AM109" i="10"/>
  <c r="AM117" i="10"/>
  <c r="AM126" i="10"/>
  <c r="AM129" i="10"/>
  <c r="AM134" i="10"/>
  <c r="AM137" i="10"/>
  <c r="AM142" i="10"/>
  <c r="AM145" i="10"/>
  <c r="AM150" i="10"/>
  <c r="AM153" i="10"/>
  <c r="AM158" i="10"/>
  <c r="AM161" i="10"/>
  <c r="AM166" i="10"/>
  <c r="AM169" i="10"/>
  <c r="AM174" i="10"/>
  <c r="AM177" i="10"/>
  <c r="AM182" i="10"/>
  <c r="AM186" i="10"/>
  <c r="AM193" i="10"/>
  <c r="AM195" i="10"/>
  <c r="AM200" i="10"/>
  <c r="AM205" i="10"/>
  <c r="AM207" i="10"/>
  <c r="AM210" i="10"/>
  <c r="AM212" i="10"/>
  <c r="AM217" i="10"/>
  <c r="AM220" i="10"/>
  <c r="AM231" i="10"/>
  <c r="AM237" i="10"/>
  <c r="AM240" i="10"/>
  <c r="AM242" i="10"/>
  <c r="AM247" i="10"/>
  <c r="AM253" i="10"/>
  <c r="AM256" i="10"/>
  <c r="AM258" i="10"/>
  <c r="AM263" i="10"/>
  <c r="AM269" i="10"/>
  <c r="AM272" i="10"/>
  <c r="AM274" i="10"/>
  <c r="AM279" i="10"/>
  <c r="AM285" i="10"/>
  <c r="AM288" i="10"/>
  <c r="AM290" i="10"/>
  <c r="AM295" i="10"/>
  <c r="AM299" i="10"/>
  <c r="AM303" i="10"/>
  <c r="AM307" i="10"/>
  <c r="AM311" i="10"/>
  <c r="AM315" i="10"/>
  <c r="AM319" i="10"/>
  <c r="AM323" i="10"/>
  <c r="AM327" i="10"/>
  <c r="AM331" i="10"/>
  <c r="AM335" i="10"/>
  <c r="AM339" i="10"/>
  <c r="AM343" i="10"/>
  <c r="AM347" i="10"/>
  <c r="AM351" i="10"/>
  <c r="AM355" i="10"/>
  <c r="AM359" i="10"/>
  <c r="AM363" i="10"/>
  <c r="AM367" i="10"/>
  <c r="AM41" i="10"/>
  <c r="AM51" i="10"/>
  <c r="AM55" i="10"/>
  <c r="AM71" i="10"/>
  <c r="AM90" i="10"/>
  <c r="AM100" i="10"/>
  <c r="AM102" i="10"/>
  <c r="AM105" i="10"/>
  <c r="AM108" i="10"/>
  <c r="AM110" i="10"/>
  <c r="AM116" i="10"/>
  <c r="AM118" i="10"/>
  <c r="AM124" i="10"/>
  <c r="AM132" i="10"/>
  <c r="AM140" i="10"/>
  <c r="AM148" i="10"/>
  <c r="AM156" i="10"/>
  <c r="AM164" i="10"/>
  <c r="AM172" i="10"/>
  <c r="AM180" i="10"/>
  <c r="AM187" i="10"/>
  <c r="AM189" i="10"/>
  <c r="AM191" i="10"/>
  <c r="AM194" i="10"/>
  <c r="AM196" i="10"/>
  <c r="AM206" i="10"/>
  <c r="AM209" i="10"/>
  <c r="AM211" i="10"/>
  <c r="AM215" i="10"/>
  <c r="AM224" i="10"/>
  <c r="AM229" i="10"/>
  <c r="AM232" i="10"/>
  <c r="AM234" i="10"/>
  <c r="AM239" i="10"/>
  <c r="AM245" i="10"/>
  <c r="AM248" i="10"/>
  <c r="AM250" i="10"/>
  <c r="AM255" i="10"/>
  <c r="AM261" i="10"/>
  <c r="AM264" i="10"/>
  <c r="AM266" i="10"/>
  <c r="AM271" i="10"/>
  <c r="AM277" i="10"/>
  <c r="AM280" i="10"/>
  <c r="AM282" i="10"/>
  <c r="AM287" i="10"/>
  <c r="AM293" i="10"/>
  <c r="AM296" i="10"/>
  <c r="AM300" i="10"/>
  <c r="AM304" i="10"/>
  <c r="AM308" i="10"/>
  <c r="AM312" i="10"/>
  <c r="AM316" i="10"/>
  <c r="AM320" i="10"/>
  <c r="AM324" i="10"/>
  <c r="AM332" i="10"/>
  <c r="AM340" i="10"/>
  <c r="AM348" i="10"/>
  <c r="AM356" i="10"/>
  <c r="AM364" i="10"/>
  <c r="AM372" i="10"/>
  <c r="AM380" i="10"/>
  <c r="AM388" i="10"/>
  <c r="AM396" i="10"/>
  <c r="AM404" i="10"/>
  <c r="AM410" i="10"/>
  <c r="AM414" i="10"/>
  <c r="AM418" i="10"/>
  <c r="AM422" i="10"/>
  <c r="AM426" i="10"/>
  <c r="AM430" i="10"/>
  <c r="AM434" i="10"/>
  <c r="AM438" i="10"/>
  <c r="AM442" i="10"/>
  <c r="AM446" i="10"/>
  <c r="AM22" i="10"/>
  <c r="AM64" i="10"/>
  <c r="AM97" i="10"/>
  <c r="AM107" i="10"/>
  <c r="AM127" i="10"/>
  <c r="AM135" i="10"/>
  <c r="AM143" i="10"/>
  <c r="AM151" i="10"/>
  <c r="AM159" i="10"/>
  <c r="AM167" i="10"/>
  <c r="AM175" i="10"/>
  <c r="AM183" i="10"/>
  <c r="AM190" i="10"/>
  <c r="AM197" i="10"/>
  <c r="AM204" i="10"/>
  <c r="AM218" i="10"/>
  <c r="AM225" i="10"/>
  <c r="AM233" i="10"/>
  <c r="AM243" i="10"/>
  <c r="AM252" i="10"/>
  <c r="AM270" i="10"/>
  <c r="AM298" i="10"/>
  <c r="AM306" i="10"/>
  <c r="AM314" i="10"/>
  <c r="AM322" i="10"/>
  <c r="AM330" i="10"/>
  <c r="AM338" i="10"/>
  <c r="AM346" i="10"/>
  <c r="AM354" i="10"/>
  <c r="AM362" i="10"/>
  <c r="AM412" i="10"/>
  <c r="AM420" i="10"/>
  <c r="AM428" i="10"/>
  <c r="AM436" i="10"/>
  <c r="AM444" i="10"/>
  <c r="AM451" i="10"/>
  <c r="AM455" i="10"/>
  <c r="AM459" i="10"/>
  <c r="AM463" i="10"/>
  <c r="AM467" i="10"/>
  <c r="AM471" i="10"/>
  <c r="AM475" i="10"/>
  <c r="AM479" i="10"/>
  <c r="AM483" i="10"/>
  <c r="AM487" i="10"/>
  <c r="AM491" i="10"/>
  <c r="AM495" i="10"/>
  <c r="AM499" i="10"/>
  <c r="AM503" i="10"/>
  <c r="AM507" i="10"/>
  <c r="AM511" i="10"/>
  <c r="AM515" i="10"/>
  <c r="AM519" i="10"/>
  <c r="AM523" i="10"/>
  <c r="AM527" i="10"/>
  <c r="AM531" i="10"/>
  <c r="AM535" i="10"/>
  <c r="AM539" i="10"/>
  <c r="AM543" i="10"/>
  <c r="AM547" i="10"/>
  <c r="AM551" i="10"/>
  <c r="AM559" i="10"/>
  <c r="AM57" i="10"/>
  <c r="AM123" i="10"/>
  <c r="AM163" i="10"/>
  <c r="AM179" i="10"/>
  <c r="AM238" i="10"/>
  <c r="AM284" i="10"/>
  <c r="AM318" i="10"/>
  <c r="AM342" i="10"/>
  <c r="AM366" i="10"/>
  <c r="AM400" i="10"/>
  <c r="AM432" i="10"/>
  <c r="AM448" i="10"/>
  <c r="AM458" i="10"/>
  <c r="AM470" i="10"/>
  <c r="AM482" i="10"/>
  <c r="AM490" i="10"/>
  <c r="AM506" i="10"/>
  <c r="AM522" i="10"/>
  <c r="AM534" i="10"/>
  <c r="AM546" i="10"/>
  <c r="AM558" i="10"/>
  <c r="AM32" i="10"/>
  <c r="AM54" i="10"/>
  <c r="AM67" i="10"/>
  <c r="AM121" i="10"/>
  <c r="AM185" i="10"/>
  <c r="AM192" i="10"/>
  <c r="AM199" i="10"/>
  <c r="AM227" i="10"/>
  <c r="AM236" i="10"/>
  <c r="AM254" i="10"/>
  <c r="AM281" i="10"/>
  <c r="AM291" i="10"/>
  <c r="AM370" i="10"/>
  <c r="AM373" i="10"/>
  <c r="AM375" i="10"/>
  <c r="AM378" i="10"/>
  <c r="AM381" i="10"/>
  <c r="AM383" i="10"/>
  <c r="AM386" i="10"/>
  <c r="AM389" i="10"/>
  <c r="AM391" i="10"/>
  <c r="AM394" i="10"/>
  <c r="AM397" i="10"/>
  <c r="AM399" i="10"/>
  <c r="AM402" i="10"/>
  <c r="AM405" i="10"/>
  <c r="AM407" i="10"/>
  <c r="AM413" i="10"/>
  <c r="AM415" i="10"/>
  <c r="AM421" i="10"/>
  <c r="AM423" i="10"/>
  <c r="AM429" i="10"/>
  <c r="AM431" i="10"/>
  <c r="AM437" i="10"/>
  <c r="AM439" i="10"/>
  <c r="AM445" i="10"/>
  <c r="AM447" i="10"/>
  <c r="AM452" i="10"/>
  <c r="AM456" i="10"/>
  <c r="AM460" i="10"/>
  <c r="AM464" i="10"/>
  <c r="AM468" i="10"/>
  <c r="AM472" i="10"/>
  <c r="AM476" i="10"/>
  <c r="AM480" i="10"/>
  <c r="AM484" i="10"/>
  <c r="AM488" i="10"/>
  <c r="AM492" i="10"/>
  <c r="AM496" i="10"/>
  <c r="AM500" i="10"/>
  <c r="AM504" i="10"/>
  <c r="AM508" i="10"/>
  <c r="AM512" i="10"/>
  <c r="AM516" i="10"/>
  <c r="AM520" i="10"/>
  <c r="AM524" i="10"/>
  <c r="AM528" i="10"/>
  <c r="AM532" i="10"/>
  <c r="AM536" i="10"/>
  <c r="AM540" i="10"/>
  <c r="AM544" i="10"/>
  <c r="AM548" i="10"/>
  <c r="AM552" i="10"/>
  <c r="AM556" i="10"/>
  <c r="AM83" i="10"/>
  <c r="AM131" i="10"/>
  <c r="AM155" i="10"/>
  <c r="AM222" i="10"/>
  <c r="AM275" i="10"/>
  <c r="AM310" i="10"/>
  <c r="AM334" i="10"/>
  <c r="AM358" i="10"/>
  <c r="AM384" i="10"/>
  <c r="AM408" i="10"/>
  <c r="AM424" i="10"/>
  <c r="AM440" i="10"/>
  <c r="AM454" i="10"/>
  <c r="AM466" i="10"/>
  <c r="AM478" i="10"/>
  <c r="AM494" i="10"/>
  <c r="AM502" i="10"/>
  <c r="AM514" i="10"/>
  <c r="AM530" i="10"/>
  <c r="AM538" i="10"/>
  <c r="AM554" i="10"/>
  <c r="AM73" i="10"/>
  <c r="AM85" i="10"/>
  <c r="AM94" i="10"/>
  <c r="AM115" i="10"/>
  <c r="AM125" i="10"/>
  <c r="AM133" i="10"/>
  <c r="AM141" i="10"/>
  <c r="AM149" i="10"/>
  <c r="AM157" i="10"/>
  <c r="AM165" i="10"/>
  <c r="AM173" i="10"/>
  <c r="AM181" i="10"/>
  <c r="AM202" i="10"/>
  <c r="AM216" i="10"/>
  <c r="AM249" i="10"/>
  <c r="AM259" i="10"/>
  <c r="AM268" i="10"/>
  <c r="AM286" i="10"/>
  <c r="AM328" i="10"/>
  <c r="AM336" i="10"/>
  <c r="AM344" i="10"/>
  <c r="AM352" i="10"/>
  <c r="AM360" i="10"/>
  <c r="AM368" i="10"/>
  <c r="AM371" i="10"/>
  <c r="AM374" i="10"/>
  <c r="AM377" i="10"/>
  <c r="AM379" i="10"/>
  <c r="AM382" i="10"/>
  <c r="AM385" i="10"/>
  <c r="AM387" i="10"/>
  <c r="AM390" i="10"/>
  <c r="AM393" i="10"/>
  <c r="AM395" i="10"/>
  <c r="AM398" i="10"/>
  <c r="AM401" i="10"/>
  <c r="AM403" i="10"/>
  <c r="AM406" i="10"/>
  <c r="AM409" i="10"/>
  <c r="AM411" i="10"/>
  <c r="AM417" i="10"/>
  <c r="AM419" i="10"/>
  <c r="AM425" i="10"/>
  <c r="AM427" i="10"/>
  <c r="AM433" i="10"/>
  <c r="AM435" i="10"/>
  <c r="AM441" i="10"/>
  <c r="AM443" i="10"/>
  <c r="AM449" i="10"/>
  <c r="AM453" i="10"/>
  <c r="AM457" i="10"/>
  <c r="AM461" i="10"/>
  <c r="AM465" i="10"/>
  <c r="AM469" i="10"/>
  <c r="AM473" i="10"/>
  <c r="AM477" i="10"/>
  <c r="AM481" i="10"/>
  <c r="AM485" i="10"/>
  <c r="AM489" i="10"/>
  <c r="AM493" i="10"/>
  <c r="AM497" i="10"/>
  <c r="AM501" i="10"/>
  <c r="AM505" i="10"/>
  <c r="AM509" i="10"/>
  <c r="AM513" i="10"/>
  <c r="AM517" i="10"/>
  <c r="AM521" i="10"/>
  <c r="AM525" i="10"/>
  <c r="AM529" i="10"/>
  <c r="AM533" i="10"/>
  <c r="AM537" i="10"/>
  <c r="AM541" i="10"/>
  <c r="AM545" i="10"/>
  <c r="AM549" i="10"/>
  <c r="AM553" i="10"/>
  <c r="AM557" i="10"/>
  <c r="AM555" i="10"/>
  <c r="AM560" i="10"/>
  <c r="AM113" i="10"/>
  <c r="AM139" i="10"/>
  <c r="AM147" i="10"/>
  <c r="AM171" i="10"/>
  <c r="AM214" i="10"/>
  <c r="AM265" i="10"/>
  <c r="AM302" i="10"/>
  <c r="AM326" i="10"/>
  <c r="AM350" i="10"/>
  <c r="AM376" i="10"/>
  <c r="AM392" i="10"/>
  <c r="AM416" i="10"/>
  <c r="AM450" i="10"/>
  <c r="AM462" i="10"/>
  <c r="AM474" i="10"/>
  <c r="AM486" i="10"/>
  <c r="AM498" i="10"/>
  <c r="AM510" i="10"/>
  <c r="AM518" i="10"/>
  <c r="AM526" i="10"/>
  <c r="AM542" i="10"/>
  <c r="AM550" i="10"/>
  <c r="AL288" i="10"/>
  <c r="AK105" i="10" l="1"/>
  <c r="AL473" i="10"/>
  <c r="AL152" i="10"/>
  <c r="AL353" i="10"/>
  <c r="AL465" i="10"/>
  <c r="AL209" i="10"/>
  <c r="AL458" i="10"/>
  <c r="AK490" i="10"/>
  <c r="AL79" i="10"/>
  <c r="AL341" i="10"/>
  <c r="AL309" i="10"/>
  <c r="AK551" i="10"/>
  <c r="AL119" i="10"/>
  <c r="AK453" i="10"/>
  <c r="AK294" i="10"/>
  <c r="AK399" i="10"/>
  <c r="AK210" i="10"/>
  <c r="AL379" i="10"/>
  <c r="AK188" i="10"/>
  <c r="AK357" i="10"/>
  <c r="AK53" i="10"/>
  <c r="AL124" i="10"/>
  <c r="AL69" i="10"/>
  <c r="AL183" i="10"/>
  <c r="AL471" i="10"/>
  <c r="AK149" i="10"/>
  <c r="AL284" i="10"/>
  <c r="AL442" i="10"/>
  <c r="AL554" i="10"/>
  <c r="AL243" i="10"/>
  <c r="AK101" i="10"/>
  <c r="AK360" i="10"/>
  <c r="AL28" i="10"/>
  <c r="AK268" i="10"/>
  <c r="AL516" i="10"/>
  <c r="AK405" i="10"/>
  <c r="AL318" i="10"/>
  <c r="AL535" i="10"/>
  <c r="AL172" i="10"/>
  <c r="AL44" i="10"/>
  <c r="AK322" i="10"/>
  <c r="AK506" i="10"/>
  <c r="AL123" i="10"/>
  <c r="AL411" i="10"/>
  <c r="AL236" i="10"/>
  <c r="AK150" i="10"/>
  <c r="AL85" i="10"/>
  <c r="AK215" i="10"/>
  <c r="AL66" i="10"/>
  <c r="AL158" i="10"/>
  <c r="AK21" i="10"/>
  <c r="AL343" i="10"/>
  <c r="AL55" i="10"/>
  <c r="AK202" i="10"/>
  <c r="AK23" i="10"/>
  <c r="AK251" i="10"/>
  <c r="AK389" i="10"/>
  <c r="AK92" i="10"/>
  <c r="AL484" i="10"/>
  <c r="AK510" i="10"/>
  <c r="AL510" i="10"/>
  <c r="AK126" i="10"/>
  <c r="AL126" i="10"/>
  <c r="AK191" i="10"/>
  <c r="AL191" i="10"/>
  <c r="AL128" i="10"/>
  <c r="AK128" i="10"/>
  <c r="AL57" i="10"/>
  <c r="AK57" i="10"/>
  <c r="AL139" i="10"/>
  <c r="AK139" i="10"/>
  <c r="AL533" i="10"/>
  <c r="AK533" i="10"/>
  <c r="AL553" i="10"/>
  <c r="AK553" i="10"/>
  <c r="AK548" i="10"/>
  <c r="AL548" i="10"/>
  <c r="AK314" i="10"/>
  <c r="AL314" i="10"/>
  <c r="AK450" i="10"/>
  <c r="AL450" i="10"/>
  <c r="AL428" i="10"/>
  <c r="AK428" i="10"/>
  <c r="AK386" i="10"/>
  <c r="AL386" i="10"/>
  <c r="AK403" i="10"/>
  <c r="AL403" i="10"/>
  <c r="AK115" i="10"/>
  <c r="AL115" i="10"/>
  <c r="AL469" i="10"/>
  <c r="AK469" i="10"/>
  <c r="AL437" i="10"/>
  <c r="AK437" i="10"/>
  <c r="AL325" i="10"/>
  <c r="AK325" i="10"/>
  <c r="AL151" i="10"/>
  <c r="AK151" i="10"/>
  <c r="AK87" i="10"/>
  <c r="AL87" i="10"/>
  <c r="AL220" i="10"/>
  <c r="AK220" i="10"/>
  <c r="AK76" i="10"/>
  <c r="AL76" i="10"/>
  <c r="AL277" i="10"/>
  <c r="AK277" i="10"/>
  <c r="AL229" i="10"/>
  <c r="AK229" i="10"/>
  <c r="AK181" i="10"/>
  <c r="AL181" i="10"/>
  <c r="AK165" i="10"/>
  <c r="AL165" i="10"/>
  <c r="AK37" i="10"/>
  <c r="AL37" i="10"/>
  <c r="AK487" i="10"/>
  <c r="AK133" i="10"/>
  <c r="AK252" i="10"/>
  <c r="AK78" i="10"/>
  <c r="AK166" i="10"/>
  <c r="AK382" i="10"/>
  <c r="AL197" i="10"/>
  <c r="AL247" i="10"/>
  <c r="AL407" i="10"/>
  <c r="AK373" i="10"/>
  <c r="AL108" i="10"/>
  <c r="AL117" i="10"/>
  <c r="AK74" i="10"/>
  <c r="AL290" i="10"/>
  <c r="AL522" i="10"/>
  <c r="AK213" i="10"/>
  <c r="AL307" i="10"/>
  <c r="AL467" i="10"/>
  <c r="AL424" i="10"/>
  <c r="AK421" i="10"/>
  <c r="AL38" i="10"/>
  <c r="AK156" i="10"/>
  <c r="AL356" i="10"/>
  <c r="AL503" i="10"/>
  <c r="AK261" i="10"/>
  <c r="AK110" i="10"/>
  <c r="AL286" i="10"/>
  <c r="AL446" i="10"/>
  <c r="AK279" i="10"/>
  <c r="AL519" i="10"/>
  <c r="AL30" i="10"/>
  <c r="AK140" i="10"/>
  <c r="AL245" i="10"/>
  <c r="AL497" i="10"/>
  <c r="AL82" i="10"/>
  <c r="AK538" i="10"/>
  <c r="AL293" i="10"/>
  <c r="AK235" i="10"/>
  <c r="AK339" i="10"/>
  <c r="AL536" i="10"/>
  <c r="AL60" i="10"/>
  <c r="AL204" i="10"/>
  <c r="AK364" i="10"/>
  <c r="AL185" i="10"/>
  <c r="AK48" i="10"/>
  <c r="AK430" i="10"/>
  <c r="AK377" i="10"/>
  <c r="AK366" i="10"/>
  <c r="AK153" i="10"/>
  <c r="AK281" i="10"/>
  <c r="AK91" i="10"/>
  <c r="AK262" i="10"/>
  <c r="AK137" i="10"/>
  <c r="AL89" i="10"/>
  <c r="AL409" i="10"/>
  <c r="AK523" i="10"/>
  <c r="AK121" i="10"/>
  <c r="AK64" i="10"/>
  <c r="AL224" i="10"/>
  <c r="AL73" i="10"/>
  <c r="AK41" i="10"/>
  <c r="AL323" i="10"/>
  <c r="AK160" i="10"/>
  <c r="AL492" i="10"/>
  <c r="AK492" i="10"/>
  <c r="AK542" i="10"/>
  <c r="AL542" i="10"/>
  <c r="AL391" i="10"/>
  <c r="AK391" i="10"/>
  <c r="AL219" i="10"/>
  <c r="AK219" i="10"/>
  <c r="AK134" i="10"/>
  <c r="AL134" i="10"/>
  <c r="AK555" i="10"/>
  <c r="AL555" i="10"/>
  <c r="AL408" i="10"/>
  <c r="AK408" i="10"/>
  <c r="AL240" i="10"/>
  <c r="AK240" i="10"/>
  <c r="AK494" i="10"/>
  <c r="AK223" i="10"/>
  <c r="AL169" i="10"/>
  <c r="AL258" i="10"/>
  <c r="AL265" i="10"/>
  <c r="AK393" i="10"/>
  <c r="AK457" i="10"/>
  <c r="AL95" i="10"/>
  <c r="AK315" i="10"/>
  <c r="AK451" i="10"/>
  <c r="AK507" i="10"/>
  <c r="AK201" i="10"/>
  <c r="AL361" i="10"/>
  <c r="AK50" i="10"/>
  <c r="AL112" i="10"/>
  <c r="AK416" i="10"/>
  <c r="AL488" i="10"/>
  <c r="AL452" i="10"/>
  <c r="AK452" i="10"/>
  <c r="AK254" i="10"/>
  <c r="AL254" i="10"/>
  <c r="AK170" i="10"/>
  <c r="AL170" i="10"/>
  <c r="AL312" i="10"/>
  <c r="AK312" i="10"/>
  <c r="AK63" i="10"/>
  <c r="AL63" i="10"/>
  <c r="AL272" i="10"/>
  <c r="AK272" i="10"/>
  <c r="AK208" i="10"/>
  <c r="AL208" i="10"/>
  <c r="AL217" i="10"/>
  <c r="AK217" i="10"/>
  <c r="AK552" i="10"/>
  <c r="AL552" i="10"/>
  <c r="AL526" i="10"/>
  <c r="AK526" i="10"/>
  <c r="AL476" i="10"/>
  <c r="AK476" i="10"/>
  <c r="AK434" i="10"/>
  <c r="AL434" i="10"/>
  <c r="AK387" i="10"/>
  <c r="AL387" i="10"/>
  <c r="AK176" i="10"/>
  <c r="AL176" i="10"/>
  <c r="AL297" i="10"/>
  <c r="AK297" i="10"/>
  <c r="AL455" i="10"/>
  <c r="AK233" i="10"/>
  <c r="AK313" i="10"/>
  <c r="AK558" i="10"/>
  <c r="AK249" i="10"/>
  <c r="AL159" i="10"/>
  <c r="AK287" i="10"/>
  <c r="AK367" i="10"/>
  <c r="AL162" i="10"/>
  <c r="AK298" i="10"/>
  <c r="AL410" i="10"/>
  <c r="AK425" i="10"/>
  <c r="AL32" i="10"/>
  <c r="AL171" i="10"/>
  <c r="AK539" i="10"/>
  <c r="AL25" i="10"/>
  <c r="AL80" i="10"/>
  <c r="AL144" i="10"/>
  <c r="AL192" i="10"/>
  <c r="AK256" i="10"/>
  <c r="AK344" i="10"/>
  <c r="AL368" i="10"/>
  <c r="AL31" i="10"/>
  <c r="AK86" i="10"/>
  <c r="AL127" i="10"/>
  <c r="AK255" i="10"/>
  <c r="AL303" i="10"/>
  <c r="AK329" i="10"/>
  <c r="AL178" i="10"/>
  <c r="AL370" i="10"/>
  <c r="AL345" i="10"/>
  <c r="AL441" i="10"/>
  <c r="AK83" i="10"/>
  <c r="AL211" i="10"/>
  <c r="AK491" i="10"/>
  <c r="AL42" i="10"/>
  <c r="AK96" i="10"/>
  <c r="AK400" i="10"/>
  <c r="AL472" i="10"/>
  <c r="AK412" i="10"/>
  <c r="AK142" i="10"/>
  <c r="AK528" i="10"/>
  <c r="AL556" i="10"/>
  <c r="AK331" i="10"/>
  <c r="AK19" i="10"/>
  <c r="AL324" i="10"/>
  <c r="AL348" i="10"/>
  <c r="AK374" i="10"/>
  <c r="AK327" i="10"/>
  <c r="AK404" i="10"/>
  <c r="AK347" i="10"/>
  <c r="AL19" i="10"/>
  <c r="AK276" i="10"/>
  <c r="AK182" i="10"/>
  <c r="AK90" i="10"/>
  <c r="AK521" i="10"/>
  <c r="AL415" i="10"/>
  <c r="AK524" i="10"/>
  <c r="AL306" i="10"/>
  <c r="AK237" i="10"/>
  <c r="AL496" i="10"/>
  <c r="AK560" i="10"/>
  <c r="AL109" i="10"/>
  <c r="AK349" i="10"/>
  <c r="AL546" i="10"/>
  <c r="AL99" i="10"/>
  <c r="AK493" i="10"/>
  <c r="AL270" i="10"/>
  <c r="AK549" i="10"/>
  <c r="AL319" i="10"/>
  <c r="AL375" i="10"/>
  <c r="AK485" i="10"/>
  <c r="AK529" i="10"/>
  <c r="AL186" i="10"/>
  <c r="AL459" i="10"/>
  <c r="AK300" i="10"/>
  <c r="AK285" i="10"/>
  <c r="AK154" i="10"/>
  <c r="AK330" i="10"/>
  <c r="AL206" i="10"/>
  <c r="AL54" i="10"/>
  <c r="AK94" i="10"/>
  <c r="AL77" i="10"/>
  <c r="AL414" i="10"/>
  <c r="AK125" i="10"/>
  <c r="AK541" i="10"/>
  <c r="AL363" i="10"/>
  <c r="AK141" i="10"/>
  <c r="AL100" i="10"/>
  <c r="AL103" i="10"/>
  <c r="AL196" i="10"/>
  <c r="AK45" i="10"/>
  <c r="AL427" i="10"/>
  <c r="AK537" i="10"/>
  <c r="AL500" i="10"/>
  <c r="AK226" i="10"/>
  <c r="AK525" i="10"/>
  <c r="AK35" i="10"/>
  <c r="AL384" i="10"/>
  <c r="AL164" i="10"/>
  <c r="AL71" i="10"/>
  <c r="AL439" i="10"/>
  <c r="AL68" i="10"/>
  <c r="AK260" i="10"/>
  <c r="AL530" i="10"/>
  <c r="AK174" i="10"/>
  <c r="AK342" i="10"/>
  <c r="AL470" i="10"/>
  <c r="AL231" i="10"/>
  <c r="AL301" i="10"/>
  <c r="AK559" i="10"/>
  <c r="AL436" i="10"/>
  <c r="AL221" i="10"/>
  <c r="AL418" i="10"/>
  <c r="AL482" i="10"/>
  <c r="AK195" i="10"/>
  <c r="AL512" i="10"/>
  <c r="AL46" i="10"/>
  <c r="AK502" i="10"/>
  <c r="AK259" i="10"/>
  <c r="AL27" i="10"/>
  <c r="AK308" i="10"/>
  <c r="AK271" i="10"/>
  <c r="AK40" i="10"/>
  <c r="AL49" i="10"/>
  <c r="AK114" i="10"/>
  <c r="AL346" i="10"/>
  <c r="AK227" i="10"/>
  <c r="AL355" i="10"/>
  <c r="AL43" i="10"/>
  <c r="AK334" i="10"/>
  <c r="AK398" i="10"/>
  <c r="AK438" i="10"/>
  <c r="AK175" i="10"/>
  <c r="AK557" i="10"/>
  <c r="AL326" i="10"/>
  <c r="AK326" i="10"/>
  <c r="AK267" i="10"/>
  <c r="AL267" i="10"/>
  <c r="AL520" i="10"/>
  <c r="AK520" i="10"/>
  <c r="AK75" i="10"/>
  <c r="AL75" i="10"/>
  <c r="AL443" i="10"/>
  <c r="AK443" i="10"/>
  <c r="AK67" i="10"/>
  <c r="AL67" i="10"/>
  <c r="AL513" i="10"/>
  <c r="AK513" i="10"/>
  <c r="AK352" i="10"/>
  <c r="AL352" i="10"/>
  <c r="AL508" i="10"/>
  <c r="AK508" i="10"/>
  <c r="AK388" i="10"/>
  <c r="AL388" i="10"/>
  <c r="AK444" i="10"/>
  <c r="AL444" i="10"/>
  <c r="AL242" i="10"/>
  <c r="AK242" i="10"/>
  <c r="AK531" i="10"/>
  <c r="AL531" i="10"/>
  <c r="AL499" i="10"/>
  <c r="AK499" i="10"/>
  <c r="AL62" i="10"/>
  <c r="AK62" i="10"/>
  <c r="AK401" i="10"/>
  <c r="AL401" i="10"/>
  <c r="AL369" i="10"/>
  <c r="AK369" i="10"/>
  <c r="AL321" i="10"/>
  <c r="AK321" i="10"/>
  <c r="AL296" i="10"/>
  <c r="AK296" i="10"/>
  <c r="AL264" i="10"/>
  <c r="AK264" i="10"/>
  <c r="AL232" i="10"/>
  <c r="AK232" i="10"/>
  <c r="AK200" i="10"/>
  <c r="AL200" i="10"/>
  <c r="AK184" i="10"/>
  <c r="AL184" i="10"/>
  <c r="AK168" i="10"/>
  <c r="AL168" i="10"/>
  <c r="AK136" i="10"/>
  <c r="AL136" i="10"/>
  <c r="AK120" i="10"/>
  <c r="AL120" i="10"/>
  <c r="AK104" i="10"/>
  <c r="AL104" i="10"/>
  <c r="AK72" i="10"/>
  <c r="AL72" i="10"/>
  <c r="AK56" i="10"/>
  <c r="AL56" i="10"/>
  <c r="AL305" i="10"/>
  <c r="AK305" i="10"/>
  <c r="AL289" i="10"/>
  <c r="AK289" i="10"/>
  <c r="AK193" i="10"/>
  <c r="AL193" i="10"/>
  <c r="AK145" i="10"/>
  <c r="AL145" i="10"/>
  <c r="AK97" i="10"/>
  <c r="AL97" i="10"/>
  <c r="AK33" i="10"/>
  <c r="AL33" i="10"/>
  <c r="AL475" i="10"/>
  <c r="AK475" i="10"/>
  <c r="AK246" i="10"/>
  <c r="AL246" i="10"/>
  <c r="AK358" i="10"/>
  <c r="AL358" i="10"/>
  <c r="AL545" i="10"/>
  <c r="AK545" i="10"/>
  <c r="AK480" i="10"/>
  <c r="AL480" i="10"/>
  <c r="AK395" i="10"/>
  <c r="AL395" i="10"/>
  <c r="AK540" i="10"/>
  <c r="AL540" i="10"/>
  <c r="AL431" i="10"/>
  <c r="AK431" i="10"/>
  <c r="AK466" i="10"/>
  <c r="AL466" i="10"/>
  <c r="AK155" i="10"/>
  <c r="AL155" i="10"/>
  <c r="AK547" i="10"/>
  <c r="AL547" i="10"/>
  <c r="AK515" i="10"/>
  <c r="AL515" i="10"/>
  <c r="AK483" i="10"/>
  <c r="AL483" i="10"/>
  <c r="AL419" i="10"/>
  <c r="AK419" i="10"/>
  <c r="AK106" i="10"/>
  <c r="AL106" i="10"/>
  <c r="AL449" i="10"/>
  <c r="AK449" i="10"/>
  <c r="AL385" i="10"/>
  <c r="AK385" i="10"/>
  <c r="AK337" i="10"/>
  <c r="AL337" i="10"/>
  <c r="AK302" i="10"/>
  <c r="AL302" i="10"/>
  <c r="AK239" i="10"/>
  <c r="AL239" i="10"/>
  <c r="AL248" i="10"/>
  <c r="AK248" i="10"/>
  <c r="AK70" i="10"/>
  <c r="AL214" i="10"/>
  <c r="AK486" i="10"/>
  <c r="AL550" i="10"/>
  <c r="AK481" i="10"/>
  <c r="AK207" i="10"/>
  <c r="AL447" i="10"/>
  <c r="AK316" i="10"/>
  <c r="AK362" i="10"/>
  <c r="AL474" i="10"/>
  <c r="AK275" i="10"/>
  <c r="AK216" i="10"/>
  <c r="AL376" i="10"/>
  <c r="AK190" i="10"/>
  <c r="AL238" i="10"/>
  <c r="AK534" i="10"/>
  <c r="AL417" i="10"/>
  <c r="AK517" i="10"/>
  <c r="AL111" i="10"/>
  <c r="AL359" i="10"/>
  <c r="AL58" i="10"/>
  <c r="AK130" i="10"/>
  <c r="AL234" i="10"/>
  <c r="AL402" i="10"/>
  <c r="AK24" i="10"/>
  <c r="AK147" i="10"/>
  <c r="AL283" i="10"/>
  <c r="AK280" i="10"/>
  <c r="AK380" i="10"/>
  <c r="AL129" i="10"/>
  <c r="AK198" i="10"/>
  <c r="AK462" i="10"/>
  <c r="AK518" i="10"/>
  <c r="AL433" i="10"/>
  <c r="AL143" i="10"/>
  <c r="AL311" i="10"/>
  <c r="AL423" i="10"/>
  <c r="AK47" i="10"/>
  <c r="AL372" i="10"/>
  <c r="AK98" i="10"/>
  <c r="AL338" i="10"/>
  <c r="AK509" i="10"/>
  <c r="AL299" i="10"/>
  <c r="AK257" i="10"/>
  <c r="AL88" i="10"/>
  <c r="AK440" i="10"/>
  <c r="AK498" i="10"/>
  <c r="AL498" i="10"/>
  <c r="AL332" i="10"/>
  <c r="AK332" i="10"/>
  <c r="AK274" i="10"/>
  <c r="AL274" i="10"/>
  <c r="AL187" i="10"/>
  <c r="AK187" i="10"/>
  <c r="AK295" i="10"/>
  <c r="AL295" i="10"/>
  <c r="AL167" i="10"/>
  <c r="AK167" i="10"/>
  <c r="AK52" i="10"/>
  <c r="AL52" i="10"/>
  <c r="AL543" i="10"/>
  <c r="AK269" i="10"/>
  <c r="AK460" i="10"/>
  <c r="AL157" i="10"/>
  <c r="AL205" i="10"/>
  <c r="AK429" i="10"/>
  <c r="AK505" i="10"/>
  <c r="AL350" i="10"/>
  <c r="AL390" i="10"/>
  <c r="AK422" i="10"/>
  <c r="AK135" i="10"/>
  <c r="AL463" i="10"/>
  <c r="AL93" i="10"/>
  <c r="AL189" i="10"/>
  <c r="AK22" i="10"/>
  <c r="AK340" i="10"/>
  <c r="AK61" i="10"/>
  <c r="AL122" i="10"/>
  <c r="AL426" i="10"/>
  <c r="AK514" i="10"/>
  <c r="AL291" i="10"/>
  <c r="AL34" i="10"/>
  <c r="AK328" i="10"/>
  <c r="AK392" i="10"/>
  <c r="AK456" i="10"/>
  <c r="AL173" i="10"/>
  <c r="AK253" i="10"/>
  <c r="AK26" i="10"/>
  <c r="AK107" i="10"/>
  <c r="AL107" i="10"/>
  <c r="AK146" i="10"/>
  <c r="AL146" i="10"/>
  <c r="AK478" i="10"/>
  <c r="AL478" i="10"/>
  <c r="AK396" i="10"/>
  <c r="AK461" i="10"/>
  <c r="AL222" i="10"/>
  <c r="AL501" i="10"/>
  <c r="AL199" i="10"/>
  <c r="AL263" i="10"/>
  <c r="AL351" i="10"/>
  <c r="AL495" i="10"/>
  <c r="AK397" i="10"/>
  <c r="AL51" i="10"/>
  <c r="AK194" i="10"/>
  <c r="AL354" i="10"/>
  <c r="AK203" i="10"/>
  <c r="AK29" i="10"/>
  <c r="AL336" i="10"/>
  <c r="AK432" i="10"/>
  <c r="AK504" i="10"/>
  <c r="AN498" i="10"/>
  <c r="AO498" i="10"/>
  <c r="AO214" i="10"/>
  <c r="AN214" i="10"/>
  <c r="AO113" i="10"/>
  <c r="AN113" i="10"/>
  <c r="AN521" i="10"/>
  <c r="AO521" i="10"/>
  <c r="AN473" i="10"/>
  <c r="AO473" i="10"/>
  <c r="AN457" i="10"/>
  <c r="AO457" i="10"/>
  <c r="AN409" i="10"/>
  <c r="AO409" i="10"/>
  <c r="AN398" i="10"/>
  <c r="AO398" i="10"/>
  <c r="AO360" i="10"/>
  <c r="AN360" i="10"/>
  <c r="AO173" i="10"/>
  <c r="AN173" i="10"/>
  <c r="AO141" i="10"/>
  <c r="AN141" i="10"/>
  <c r="AN494" i="10"/>
  <c r="AO494" i="10"/>
  <c r="AO440" i="10"/>
  <c r="AN440" i="10"/>
  <c r="AO556" i="10"/>
  <c r="AN556" i="10"/>
  <c r="AO508" i="10"/>
  <c r="AN508" i="10"/>
  <c r="AO492" i="10"/>
  <c r="AN492" i="10"/>
  <c r="AO445" i="10"/>
  <c r="AN445" i="10"/>
  <c r="AO413" i="10"/>
  <c r="AN413" i="10"/>
  <c r="AO389" i="10"/>
  <c r="AN389" i="10"/>
  <c r="AO227" i="10"/>
  <c r="AN227" i="10"/>
  <c r="AO121" i="10"/>
  <c r="AN121" i="10"/>
  <c r="AN458" i="10"/>
  <c r="AO458" i="10"/>
  <c r="AO238" i="10"/>
  <c r="AN238" i="10"/>
  <c r="AN543" i="10"/>
  <c r="AO543" i="10"/>
  <c r="AN495" i="10"/>
  <c r="AO495" i="10"/>
  <c r="AN463" i="10"/>
  <c r="AO463" i="10"/>
  <c r="AO412" i="10"/>
  <c r="AN412" i="10"/>
  <c r="AO243" i="10"/>
  <c r="AN243" i="10"/>
  <c r="AO175" i="10"/>
  <c r="AN175" i="10"/>
  <c r="AO97" i="10"/>
  <c r="AN97" i="10"/>
  <c r="AN426" i="10"/>
  <c r="AO426" i="10"/>
  <c r="AO348" i="10"/>
  <c r="AN348" i="10"/>
  <c r="AN304" i="10"/>
  <c r="AO304" i="10"/>
  <c r="AN271" i="10"/>
  <c r="AO271" i="10"/>
  <c r="AN239" i="10"/>
  <c r="AO239" i="10"/>
  <c r="AN189" i="10"/>
  <c r="AO189" i="10"/>
  <c r="AN132" i="10"/>
  <c r="AO132" i="10"/>
  <c r="AN100" i="10"/>
  <c r="AO100" i="10"/>
  <c r="AN359" i="10"/>
  <c r="AO359" i="10"/>
  <c r="AN311" i="10"/>
  <c r="AO311" i="10"/>
  <c r="AN279" i="10"/>
  <c r="AO279" i="10"/>
  <c r="AN247" i="10"/>
  <c r="AO247" i="10"/>
  <c r="AO210" i="10"/>
  <c r="AN210" i="10"/>
  <c r="AO177" i="10"/>
  <c r="AN177" i="10"/>
  <c r="AO129" i="10"/>
  <c r="AN129" i="10"/>
  <c r="AO92" i="10"/>
  <c r="AN92" i="10"/>
  <c r="AO53" i="10"/>
  <c r="AN53" i="10"/>
  <c r="AN353" i="10"/>
  <c r="AO353" i="10"/>
  <c r="AO305" i="10"/>
  <c r="AN305" i="10"/>
  <c r="AN276" i="10"/>
  <c r="AO276" i="10"/>
  <c r="AN244" i="10"/>
  <c r="AO244" i="10"/>
  <c r="AO219" i="10"/>
  <c r="AN219" i="10"/>
  <c r="AN178" i="10"/>
  <c r="AO178" i="10"/>
  <c r="AN130" i="10"/>
  <c r="AO130" i="10"/>
  <c r="AN84" i="10"/>
  <c r="AO84" i="10"/>
  <c r="AN122" i="10"/>
  <c r="AO122" i="10"/>
  <c r="AO80" i="10"/>
  <c r="AN80" i="10"/>
  <c r="AN38" i="10"/>
  <c r="AO38" i="10"/>
  <c r="AO82" i="10"/>
  <c r="AN82" i="10"/>
  <c r="AN50" i="10"/>
  <c r="AO50" i="10"/>
  <c r="AN526" i="10"/>
  <c r="AO526" i="10"/>
  <c r="AO326" i="10"/>
  <c r="AN326" i="10"/>
  <c r="AO560" i="10"/>
  <c r="AN560" i="10"/>
  <c r="AN533" i="10"/>
  <c r="AO533" i="10"/>
  <c r="AN485" i="10"/>
  <c r="AO485" i="10"/>
  <c r="AN453" i="10"/>
  <c r="AO453" i="10"/>
  <c r="AN419" i="10"/>
  <c r="AO419" i="10"/>
  <c r="AN395" i="10"/>
  <c r="AO395" i="10"/>
  <c r="AN374" i="10"/>
  <c r="AO374" i="10"/>
  <c r="AO216" i="10"/>
  <c r="AN216" i="10"/>
  <c r="AO133" i="10"/>
  <c r="AN133" i="10"/>
  <c r="AN530" i="10"/>
  <c r="AO530" i="10"/>
  <c r="AO334" i="10"/>
  <c r="AN334" i="10"/>
  <c r="AO520" i="10"/>
  <c r="AN520" i="10"/>
  <c r="AL36" i="10"/>
  <c r="AK477" i="10"/>
  <c r="AK118" i="10"/>
  <c r="AL230" i="10"/>
  <c r="AL278" i="10"/>
  <c r="AL310" i="10"/>
  <c r="AL406" i="10"/>
  <c r="AL454" i="10"/>
  <c r="AL113" i="10"/>
  <c r="AK225" i="10"/>
  <c r="AK333" i="10"/>
  <c r="AL335" i="10"/>
  <c r="AL511" i="10"/>
  <c r="AL39" i="10"/>
  <c r="AK228" i="10"/>
  <c r="AK468" i="10"/>
  <c r="AK273" i="10"/>
  <c r="AL138" i="10"/>
  <c r="AL218" i="10"/>
  <c r="AL250" i="10"/>
  <c r="AL266" i="10"/>
  <c r="AL282" i="10"/>
  <c r="AL177" i="10"/>
  <c r="AK489" i="10"/>
  <c r="AK131" i="10"/>
  <c r="AK163" i="10"/>
  <c r="AK179" i="10"/>
  <c r="AL371" i="10"/>
  <c r="AL435" i="10"/>
  <c r="AL81" i="10"/>
  <c r="AL161" i="10"/>
  <c r="AK241" i="10"/>
  <c r="AK317" i="10"/>
  <c r="AK304" i="10"/>
  <c r="AK448" i="10"/>
  <c r="AK464" i="10"/>
  <c r="AL544" i="10"/>
  <c r="AL116" i="10"/>
  <c r="AL148" i="10"/>
  <c r="AK212" i="10"/>
  <c r="AK244" i="10"/>
  <c r="AK420" i="10"/>
  <c r="AN518" i="10"/>
  <c r="AO518" i="10"/>
  <c r="AN474" i="10"/>
  <c r="AO474" i="10"/>
  <c r="AO302" i="10"/>
  <c r="AN302" i="10"/>
  <c r="AO147" i="10"/>
  <c r="AN147" i="10"/>
  <c r="AN545" i="10"/>
  <c r="AO545" i="10"/>
  <c r="AN513" i="10"/>
  <c r="AO513" i="10"/>
  <c r="AN497" i="10"/>
  <c r="AO497" i="10"/>
  <c r="AN465" i="10"/>
  <c r="AO465" i="10"/>
  <c r="AN449" i="10"/>
  <c r="AO449" i="10"/>
  <c r="AN417" i="10"/>
  <c r="AO417" i="10"/>
  <c r="AN393" i="10"/>
  <c r="AO393" i="10"/>
  <c r="AN382" i="10"/>
  <c r="AO382" i="10"/>
  <c r="AO344" i="10"/>
  <c r="AN344" i="10"/>
  <c r="AO268" i="10"/>
  <c r="AN268" i="10"/>
  <c r="AO157" i="10"/>
  <c r="AN157" i="10"/>
  <c r="AO125" i="10"/>
  <c r="AN125" i="10"/>
  <c r="AN514" i="10"/>
  <c r="AO514" i="10"/>
  <c r="AO408" i="10"/>
  <c r="AN408" i="10"/>
  <c r="AO310" i="10"/>
  <c r="AN310" i="10"/>
  <c r="AO548" i="10"/>
  <c r="AN548" i="10"/>
  <c r="AO532" i="10"/>
  <c r="AN532" i="10"/>
  <c r="AO500" i="10"/>
  <c r="AN500" i="10"/>
  <c r="AO468" i="10"/>
  <c r="AN468" i="10"/>
  <c r="AO452" i="10"/>
  <c r="AN452" i="10"/>
  <c r="AN421" i="10"/>
  <c r="AO421" i="10"/>
  <c r="AO405" i="10"/>
  <c r="AN405" i="10"/>
  <c r="AN383" i="10"/>
  <c r="AO383" i="10"/>
  <c r="AO254" i="10"/>
  <c r="AN254" i="10"/>
  <c r="AO192" i="10"/>
  <c r="AN192" i="10"/>
  <c r="AN534" i="10"/>
  <c r="AO534" i="10"/>
  <c r="AN482" i="10"/>
  <c r="AO482" i="10"/>
  <c r="AO318" i="10"/>
  <c r="AN318" i="10"/>
  <c r="AN551" i="10"/>
  <c r="AO551" i="10"/>
  <c r="AN535" i="10"/>
  <c r="AO535" i="10"/>
  <c r="AN503" i="10"/>
  <c r="AO503" i="10"/>
  <c r="AN487" i="10"/>
  <c r="AO487" i="10"/>
  <c r="AN455" i="10"/>
  <c r="AO455" i="10"/>
  <c r="AO354" i="10"/>
  <c r="AN354" i="10"/>
  <c r="AO322" i="10"/>
  <c r="AN322" i="10"/>
  <c r="AN225" i="10"/>
  <c r="AO225" i="10"/>
  <c r="AO190" i="10"/>
  <c r="AN190" i="10"/>
  <c r="AO127" i="10"/>
  <c r="AN127" i="10"/>
  <c r="AN434" i="10"/>
  <c r="AO434" i="10"/>
  <c r="AN418" i="10"/>
  <c r="AO418" i="10"/>
  <c r="AO364" i="10"/>
  <c r="AN364" i="10"/>
  <c r="AO332" i="10"/>
  <c r="AN332" i="10"/>
  <c r="AN296" i="10"/>
  <c r="AO296" i="10"/>
  <c r="AN264" i="10"/>
  <c r="AO264" i="10"/>
  <c r="AN248" i="10"/>
  <c r="AO248" i="10"/>
  <c r="AO211" i="10"/>
  <c r="AN211" i="10"/>
  <c r="AO194" i="10"/>
  <c r="AN194" i="10"/>
  <c r="AN148" i="10"/>
  <c r="AO148" i="10"/>
  <c r="AO105" i="10"/>
  <c r="AN105" i="10"/>
  <c r="AO71" i="10"/>
  <c r="AN71" i="10"/>
  <c r="AN351" i="10"/>
  <c r="AO351" i="10"/>
  <c r="AN335" i="10"/>
  <c r="AO335" i="10"/>
  <c r="AO256" i="10"/>
  <c r="AN256" i="10"/>
  <c r="AK527" i="10"/>
  <c r="AK132" i="10"/>
  <c r="AL365" i="10"/>
  <c r="AL445" i="10"/>
  <c r="AL102" i="10"/>
  <c r="AK65" i="10"/>
  <c r="AL381" i="10"/>
  <c r="AK383" i="10"/>
  <c r="AK479" i="10"/>
  <c r="AL413" i="10"/>
  <c r="AK378" i="10"/>
  <c r="AK394" i="10"/>
  <c r="AK59" i="10"/>
  <c r="AK20" i="10"/>
  <c r="AL320" i="10"/>
  <c r="AK84" i="10"/>
  <c r="AK180" i="10"/>
  <c r="AL292" i="10"/>
  <c r="AK532" i="10"/>
  <c r="AN550" i="10"/>
  <c r="AO550" i="10"/>
  <c r="AN510" i="10"/>
  <c r="AO510" i="10"/>
  <c r="AN462" i="10"/>
  <c r="AO462" i="10"/>
  <c r="AO376" i="10"/>
  <c r="AN376" i="10"/>
  <c r="AN265" i="10"/>
  <c r="AO265" i="10"/>
  <c r="AO139" i="10"/>
  <c r="AN139" i="10"/>
  <c r="AN557" i="10"/>
  <c r="AO557" i="10"/>
  <c r="AN541" i="10"/>
  <c r="AO541" i="10"/>
  <c r="AN525" i="10"/>
  <c r="AO525" i="10"/>
  <c r="AN509" i="10"/>
  <c r="AO509" i="10"/>
  <c r="AN493" i="10"/>
  <c r="AO493" i="10"/>
  <c r="AN477" i="10"/>
  <c r="AO477" i="10"/>
  <c r="AN461" i="10"/>
  <c r="AO461" i="10"/>
  <c r="AN443" i="10"/>
  <c r="AO443" i="10"/>
  <c r="AN427" i="10"/>
  <c r="AO427" i="10"/>
  <c r="AN411" i="10"/>
  <c r="AO411" i="10"/>
  <c r="AN401" i="10"/>
  <c r="AO401" i="10"/>
  <c r="AN390" i="10"/>
  <c r="AO390" i="10"/>
  <c r="AN379" i="10"/>
  <c r="AO379" i="10"/>
  <c r="AO368" i="10"/>
  <c r="AN368" i="10"/>
  <c r="AO336" i="10"/>
  <c r="AN336" i="10"/>
  <c r="AO259" i="10"/>
  <c r="AN259" i="10"/>
  <c r="AO181" i="10"/>
  <c r="AN181" i="10"/>
  <c r="AO149" i="10"/>
  <c r="AN149" i="10"/>
  <c r="AO115" i="10"/>
  <c r="AN115" i="10"/>
  <c r="AN554" i="10"/>
  <c r="AO554" i="10"/>
  <c r="AN502" i="10"/>
  <c r="AO502" i="10"/>
  <c r="AN454" i="10"/>
  <c r="AO454" i="10"/>
  <c r="AO384" i="10"/>
  <c r="AN384" i="10"/>
  <c r="AO275" i="10"/>
  <c r="AN275" i="10"/>
  <c r="AO83" i="10"/>
  <c r="AN83" i="10"/>
  <c r="AO544" i="10"/>
  <c r="AN544" i="10"/>
  <c r="AO528" i="10"/>
  <c r="AN528" i="10"/>
  <c r="AO512" i="10"/>
  <c r="AN512" i="10"/>
  <c r="AO496" i="10"/>
  <c r="AN496" i="10"/>
  <c r="AO480" i="10"/>
  <c r="AN480" i="10"/>
  <c r="AO464" i="10"/>
  <c r="AN464" i="10"/>
  <c r="AN447" i="10"/>
  <c r="AO447" i="10"/>
  <c r="AN431" i="10"/>
  <c r="AO431" i="10"/>
  <c r="AN415" i="10"/>
  <c r="AO415" i="10"/>
  <c r="AN402" i="10"/>
  <c r="AO402" i="10"/>
  <c r="AN391" i="10"/>
  <c r="AO391" i="10"/>
  <c r="AO381" i="10"/>
  <c r="AN381" i="10"/>
  <c r="AN370" i="10"/>
  <c r="AO370" i="10"/>
  <c r="AO236" i="10"/>
  <c r="AN236" i="10"/>
  <c r="AO185" i="10"/>
  <c r="AN185" i="10"/>
  <c r="AO32" i="10"/>
  <c r="AN32" i="10"/>
  <c r="AN522" i="10"/>
  <c r="AO522" i="10"/>
  <c r="AN470" i="10"/>
  <c r="AO470" i="10"/>
  <c r="AO400" i="10"/>
  <c r="AN400" i="10"/>
  <c r="AO284" i="10"/>
  <c r="AN284" i="10"/>
  <c r="AN123" i="10"/>
  <c r="AO123" i="10"/>
  <c r="AN547" i="10"/>
  <c r="AO547" i="10"/>
  <c r="AN531" i="10"/>
  <c r="AO531" i="10"/>
  <c r="AN515" i="10"/>
  <c r="AO515" i="10"/>
  <c r="AN499" i="10"/>
  <c r="AO499" i="10"/>
  <c r="AN483" i="10"/>
  <c r="AO483" i="10"/>
  <c r="AN467" i="10"/>
  <c r="AO467" i="10"/>
  <c r="AN451" i="10"/>
  <c r="AO451" i="10"/>
  <c r="AO420" i="10"/>
  <c r="AN420" i="10"/>
  <c r="AO346" i="10"/>
  <c r="AN346" i="10"/>
  <c r="AO314" i="10"/>
  <c r="AN314" i="10"/>
  <c r="AO252" i="10"/>
  <c r="AN252" i="10"/>
  <c r="AO218" i="10"/>
  <c r="AN218" i="10"/>
  <c r="AO183" i="10"/>
  <c r="AN183" i="10"/>
  <c r="AO151" i="10"/>
  <c r="AN151" i="10"/>
  <c r="AO107" i="10"/>
  <c r="AN107" i="10"/>
  <c r="AN446" i="10"/>
  <c r="AO446" i="10"/>
  <c r="AN430" i="10"/>
  <c r="AO430" i="10"/>
  <c r="AN414" i="10"/>
  <c r="AO414" i="10"/>
  <c r="AO388" i="10"/>
  <c r="AN388" i="10"/>
  <c r="AO356" i="10"/>
  <c r="AN356" i="10"/>
  <c r="AO324" i="10"/>
  <c r="AN324" i="10"/>
  <c r="AN308" i="10"/>
  <c r="AO308" i="10"/>
  <c r="AN293" i="10"/>
  <c r="AO293" i="10"/>
  <c r="AN277" i="10"/>
  <c r="AO277" i="10"/>
  <c r="AN261" i="10"/>
  <c r="AO261" i="10"/>
  <c r="AN245" i="10"/>
  <c r="AO245" i="10"/>
  <c r="AN229" i="10"/>
  <c r="AO229" i="10"/>
  <c r="AN209" i="10"/>
  <c r="AO209" i="10"/>
  <c r="AN191" i="10"/>
  <c r="AO191" i="10"/>
  <c r="AN172" i="10"/>
  <c r="AO172" i="10"/>
  <c r="AN140" i="10"/>
  <c r="AO140" i="10"/>
  <c r="AN116" i="10"/>
  <c r="AO116" i="10"/>
  <c r="AN102" i="10"/>
  <c r="AO102" i="10"/>
  <c r="AO55" i="10"/>
  <c r="AN55" i="10"/>
  <c r="AN363" i="10"/>
  <c r="AO363" i="10"/>
  <c r="AN347" i="10"/>
  <c r="AO347" i="10"/>
  <c r="AN331" i="10"/>
  <c r="AO331" i="10"/>
  <c r="AN315" i="10"/>
  <c r="AO315" i="10"/>
  <c r="AN299" i="10"/>
  <c r="AO299" i="10"/>
  <c r="AN285" i="10"/>
  <c r="AO285" i="10"/>
  <c r="AN269" i="10"/>
  <c r="AO269" i="10"/>
  <c r="AN253" i="10"/>
  <c r="AO253" i="10"/>
  <c r="AN237" i="10"/>
  <c r="AO237" i="10"/>
  <c r="AO212" i="10"/>
  <c r="AN212" i="10"/>
  <c r="AO200" i="10"/>
  <c r="AN200" i="10"/>
  <c r="AO182" i="10"/>
  <c r="AN182" i="10"/>
  <c r="AO166" i="10"/>
  <c r="AN166" i="10"/>
  <c r="AO150" i="10"/>
  <c r="AN150" i="10"/>
  <c r="AO134" i="10"/>
  <c r="AN134" i="10"/>
  <c r="AO109" i="10"/>
  <c r="AN109" i="10"/>
  <c r="AO99" i="10"/>
  <c r="AN99" i="10"/>
  <c r="AO78" i="10"/>
  <c r="AN78" i="10"/>
  <c r="AO60" i="10"/>
  <c r="AN60" i="10"/>
  <c r="AN20" i="10"/>
  <c r="AO20" i="10"/>
  <c r="AO357" i="10"/>
  <c r="AN357" i="10"/>
  <c r="AO341" i="10"/>
  <c r="AN341" i="10"/>
  <c r="AO325" i="10"/>
  <c r="AN325" i="10"/>
  <c r="AO309" i="10"/>
  <c r="AN309" i="10"/>
  <c r="AO294" i="10"/>
  <c r="AN294" i="10"/>
  <c r="AO278" i="10"/>
  <c r="AN278" i="10"/>
  <c r="AO262" i="10"/>
  <c r="AN262" i="10"/>
  <c r="AO246" i="10"/>
  <c r="AN246" i="10"/>
  <c r="AO230" i="10"/>
  <c r="AN230" i="10"/>
  <c r="AN221" i="10"/>
  <c r="AO221" i="10"/>
  <c r="AO203" i="10"/>
  <c r="AN203" i="10"/>
  <c r="AN184" i="10"/>
  <c r="AO184" i="10"/>
  <c r="AN168" i="10"/>
  <c r="AO168" i="10"/>
  <c r="AN152" i="10"/>
  <c r="AO152" i="10"/>
  <c r="AN136" i="10"/>
  <c r="AO136" i="10"/>
  <c r="AO111" i="10"/>
  <c r="AN111" i="10"/>
  <c r="AO86" i="10"/>
  <c r="AN86" i="10"/>
  <c r="AN65" i="10"/>
  <c r="AO65" i="10"/>
  <c r="AO27" i="10"/>
  <c r="AN27" i="10"/>
  <c r="AN112" i="10"/>
  <c r="AO112" i="10"/>
  <c r="AO88" i="10"/>
  <c r="AN88" i="10"/>
  <c r="AN68" i="10"/>
  <c r="AO68" i="10"/>
  <c r="AO37" i="10"/>
  <c r="AN37" i="10"/>
  <c r="AO23" i="10"/>
  <c r="AN23" i="10"/>
  <c r="AN52" i="10"/>
  <c r="AO52" i="10"/>
  <c r="AO21" i="10"/>
  <c r="AN21" i="10"/>
  <c r="AO72" i="10"/>
  <c r="AN72" i="10"/>
  <c r="AN56" i="10"/>
  <c r="AO56" i="10"/>
  <c r="AN40" i="10"/>
  <c r="AO40" i="10"/>
  <c r="AN24" i="10"/>
  <c r="AO24" i="10"/>
  <c r="AN450" i="10"/>
  <c r="AO450" i="10"/>
  <c r="AO553" i="10"/>
  <c r="AN553" i="10"/>
  <c r="AN489" i="10"/>
  <c r="AO489" i="10"/>
  <c r="AN441" i="10"/>
  <c r="AO441" i="10"/>
  <c r="AN377" i="10"/>
  <c r="AO377" i="10"/>
  <c r="AN249" i="10"/>
  <c r="AO249" i="10"/>
  <c r="AN538" i="10"/>
  <c r="AO538" i="10"/>
  <c r="AO222" i="10"/>
  <c r="AN222" i="10"/>
  <c r="AO524" i="10"/>
  <c r="AN524" i="10"/>
  <c r="AO460" i="10"/>
  <c r="AN460" i="10"/>
  <c r="AN399" i="10"/>
  <c r="AO399" i="10"/>
  <c r="AO291" i="10"/>
  <c r="AN291" i="10"/>
  <c r="AN506" i="10"/>
  <c r="AO506" i="10"/>
  <c r="AN57" i="10"/>
  <c r="AO57" i="10"/>
  <c r="AN511" i="10"/>
  <c r="AO511" i="10"/>
  <c r="AO444" i="10"/>
  <c r="AN444" i="10"/>
  <c r="AO306" i="10"/>
  <c r="AN306" i="10"/>
  <c r="AO143" i="10"/>
  <c r="AN143" i="10"/>
  <c r="AN410" i="10"/>
  <c r="AO410" i="10"/>
  <c r="AN320" i="10"/>
  <c r="AO320" i="10"/>
  <c r="AN255" i="10"/>
  <c r="AO255" i="10"/>
  <c r="AO206" i="10"/>
  <c r="AN206" i="10"/>
  <c r="AO110" i="10"/>
  <c r="AN110" i="10"/>
  <c r="AN343" i="10"/>
  <c r="AO343" i="10"/>
  <c r="AN295" i="10"/>
  <c r="AO295" i="10"/>
  <c r="AN231" i="10"/>
  <c r="AO231" i="10"/>
  <c r="AO161" i="10"/>
  <c r="AN161" i="10"/>
  <c r="AO106" i="10"/>
  <c r="AN106" i="10"/>
  <c r="AN369" i="10"/>
  <c r="AO369" i="10"/>
  <c r="AO321" i="10"/>
  <c r="AN321" i="10"/>
  <c r="AN260" i="10"/>
  <c r="AO260" i="10"/>
  <c r="AN201" i="10"/>
  <c r="AO201" i="10"/>
  <c r="AN146" i="10"/>
  <c r="AO146" i="10"/>
  <c r="AO59" i="10"/>
  <c r="AN59" i="10"/>
  <c r="AO58" i="10"/>
  <c r="AN58" i="10"/>
  <c r="AN42" i="10"/>
  <c r="AO42" i="10"/>
  <c r="AO416" i="10"/>
  <c r="AN416" i="10"/>
  <c r="AN549" i="10"/>
  <c r="AO549" i="10"/>
  <c r="AN501" i="10"/>
  <c r="AO501" i="10"/>
  <c r="AN435" i="10"/>
  <c r="AO435" i="10"/>
  <c r="AN385" i="10"/>
  <c r="AO385" i="10"/>
  <c r="AO286" i="10"/>
  <c r="AN286" i="10"/>
  <c r="AO85" i="10"/>
  <c r="AN85" i="10"/>
  <c r="AO424" i="10"/>
  <c r="AN424" i="10"/>
  <c r="AN155" i="10"/>
  <c r="AO155" i="10"/>
  <c r="AO552" i="10"/>
  <c r="AN552" i="10"/>
  <c r="AO504" i="10"/>
  <c r="AN504" i="10"/>
  <c r="AO488" i="10"/>
  <c r="AN488" i="10"/>
  <c r="AO472" i="10"/>
  <c r="AN472" i="10"/>
  <c r="AO456" i="10"/>
  <c r="AN456" i="10"/>
  <c r="AN439" i="10"/>
  <c r="AO439" i="10"/>
  <c r="AN423" i="10"/>
  <c r="AO423" i="10"/>
  <c r="AN407" i="10"/>
  <c r="AO407" i="10"/>
  <c r="AO397" i="10"/>
  <c r="AN397" i="10"/>
  <c r="AN386" i="10"/>
  <c r="AO386" i="10"/>
  <c r="AN375" i="10"/>
  <c r="AO375" i="10"/>
  <c r="AN281" i="10"/>
  <c r="AO281" i="10"/>
  <c r="AO199" i="10"/>
  <c r="AN199" i="10"/>
  <c r="AO67" i="10"/>
  <c r="AN67" i="10"/>
  <c r="AN546" i="10"/>
  <c r="AO546" i="10"/>
  <c r="AN490" i="10"/>
  <c r="AO490" i="10"/>
  <c r="AO448" i="10"/>
  <c r="AN448" i="10"/>
  <c r="AO342" i="10"/>
  <c r="AN342" i="10"/>
  <c r="AO179" i="10"/>
  <c r="AN179" i="10"/>
  <c r="AN559" i="10"/>
  <c r="AO559" i="10"/>
  <c r="AN539" i="10"/>
  <c r="AO539" i="10"/>
  <c r="AN523" i="10"/>
  <c r="AO523" i="10"/>
  <c r="AN507" i="10"/>
  <c r="AO507" i="10"/>
  <c r="AN491" i="10"/>
  <c r="AO491" i="10"/>
  <c r="AN475" i="10"/>
  <c r="AO475" i="10"/>
  <c r="AN459" i="10"/>
  <c r="AO459" i="10"/>
  <c r="AO436" i="10"/>
  <c r="AN436" i="10"/>
  <c r="AO362" i="10"/>
  <c r="AN362" i="10"/>
  <c r="AO330" i="10"/>
  <c r="AN330" i="10"/>
  <c r="AO298" i="10"/>
  <c r="AN298" i="10"/>
  <c r="AN233" i="10"/>
  <c r="AO233" i="10"/>
  <c r="AN197" i="10"/>
  <c r="AO197" i="10"/>
  <c r="AO167" i="10"/>
  <c r="AN167" i="10"/>
  <c r="AO135" i="10"/>
  <c r="AN135" i="10"/>
  <c r="AO64" i="10"/>
  <c r="AN64" i="10"/>
  <c r="AN438" i="10"/>
  <c r="AO438" i="10"/>
  <c r="AN422" i="10"/>
  <c r="AO422" i="10"/>
  <c r="AO404" i="10"/>
  <c r="AN404" i="10"/>
  <c r="AO372" i="10"/>
  <c r="AN372" i="10"/>
  <c r="AO340" i="10"/>
  <c r="AN340" i="10"/>
  <c r="AO316" i="10"/>
  <c r="AN316" i="10"/>
  <c r="AN300" i="10"/>
  <c r="AO300" i="10"/>
  <c r="AO282" i="10"/>
  <c r="AN282" i="10"/>
  <c r="AO266" i="10"/>
  <c r="AN266" i="10"/>
  <c r="AO250" i="10"/>
  <c r="AN250" i="10"/>
  <c r="AO234" i="10"/>
  <c r="AN234" i="10"/>
  <c r="AN215" i="10"/>
  <c r="AO215" i="10"/>
  <c r="AN196" i="10"/>
  <c r="AO196" i="10"/>
  <c r="AO187" i="10"/>
  <c r="AN187" i="10"/>
  <c r="AN156" i="10"/>
  <c r="AO156" i="10"/>
  <c r="AN124" i="10"/>
  <c r="AO124" i="10"/>
  <c r="AN108" i="10"/>
  <c r="AO108" i="10"/>
  <c r="AO90" i="10"/>
  <c r="AN90" i="10"/>
  <c r="AN41" i="10"/>
  <c r="AO41" i="10"/>
  <c r="AN355" i="10"/>
  <c r="AO355" i="10"/>
  <c r="AN339" i="10"/>
  <c r="AO339" i="10"/>
  <c r="AN323" i="10"/>
  <c r="AO323" i="10"/>
  <c r="AN307" i="10"/>
  <c r="AO307" i="10"/>
  <c r="AO290" i="10"/>
  <c r="AN290" i="10"/>
  <c r="AO274" i="10"/>
  <c r="AN274" i="10"/>
  <c r="AO258" i="10"/>
  <c r="AN258" i="10"/>
  <c r="AO242" i="10"/>
  <c r="AN242" i="10"/>
  <c r="AO220" i="10"/>
  <c r="AN220" i="10"/>
  <c r="AO207" i="10"/>
  <c r="AN207" i="10"/>
  <c r="AN193" i="10"/>
  <c r="AO193" i="10"/>
  <c r="AN174" i="10"/>
  <c r="AO174" i="10"/>
  <c r="AN158" i="10"/>
  <c r="AO158" i="10"/>
  <c r="AN142" i="10"/>
  <c r="AO142" i="10"/>
  <c r="AO126" i="10"/>
  <c r="AN126" i="10"/>
  <c r="AN104" i="10"/>
  <c r="AO104" i="10"/>
  <c r="AN89" i="10"/>
  <c r="AO89" i="10"/>
  <c r="AO69" i="10"/>
  <c r="AN69" i="10"/>
  <c r="AO44" i="10"/>
  <c r="AN44" i="10"/>
  <c r="AO365" i="10"/>
  <c r="AN365" i="10"/>
  <c r="AO349" i="10"/>
  <c r="AN349" i="10"/>
  <c r="AO333" i="10"/>
  <c r="AN333" i="10"/>
  <c r="AO317" i="10"/>
  <c r="AN317" i="10"/>
  <c r="AO301" i="10"/>
  <c r="AN301" i="10"/>
  <c r="AN289" i="10"/>
  <c r="AO289" i="10"/>
  <c r="AN273" i="10"/>
  <c r="AO273" i="10"/>
  <c r="AN257" i="10"/>
  <c r="AO257" i="10"/>
  <c r="AN241" i="10"/>
  <c r="AO241" i="10"/>
  <c r="AO226" i="10"/>
  <c r="AN226" i="10"/>
  <c r="AN213" i="10"/>
  <c r="AO213" i="10"/>
  <c r="AO198" i="10"/>
  <c r="AN198" i="10"/>
  <c r="AO176" i="10"/>
  <c r="AN176" i="10"/>
  <c r="AN160" i="10"/>
  <c r="AO160" i="10"/>
  <c r="AN144" i="10"/>
  <c r="AO144" i="10"/>
  <c r="AO128" i="10"/>
  <c r="AN128" i="10"/>
  <c r="AO96" i="10"/>
  <c r="AN96" i="10"/>
  <c r="AO81" i="10"/>
  <c r="AN81" i="10"/>
  <c r="AO48" i="10"/>
  <c r="AN48" i="10"/>
  <c r="AN120" i="10"/>
  <c r="AO120" i="10"/>
  <c r="AO95" i="10"/>
  <c r="AN95" i="10"/>
  <c r="AO75" i="10"/>
  <c r="AN75" i="10"/>
  <c r="AN49" i="10"/>
  <c r="AO49" i="10"/>
  <c r="AN28" i="10"/>
  <c r="AO28" i="10"/>
  <c r="AN36" i="10"/>
  <c r="AO36" i="10"/>
  <c r="AN33" i="10"/>
  <c r="AO33" i="10"/>
  <c r="AO79" i="10"/>
  <c r="AN79" i="10"/>
  <c r="AO63" i="10"/>
  <c r="AN63" i="10"/>
  <c r="AO47" i="10"/>
  <c r="AN47" i="10"/>
  <c r="AO31" i="10"/>
  <c r="AN31" i="10"/>
  <c r="AN542" i="10"/>
  <c r="AO542" i="10"/>
  <c r="AO350" i="10"/>
  <c r="AN350" i="10"/>
  <c r="AN537" i="10"/>
  <c r="AO537" i="10"/>
  <c r="AN505" i="10"/>
  <c r="AO505" i="10"/>
  <c r="AN425" i="10"/>
  <c r="AO425" i="10"/>
  <c r="AN387" i="10"/>
  <c r="AO387" i="10"/>
  <c r="AO328" i="10"/>
  <c r="AN328" i="10"/>
  <c r="AN94" i="10"/>
  <c r="AO94" i="10"/>
  <c r="AO358" i="10"/>
  <c r="AN358" i="10"/>
  <c r="AO540" i="10"/>
  <c r="AN540" i="10"/>
  <c r="AO476" i="10"/>
  <c r="AN476" i="10"/>
  <c r="AN429" i="10"/>
  <c r="AO429" i="10"/>
  <c r="AN378" i="10"/>
  <c r="AO378" i="10"/>
  <c r="AN558" i="10"/>
  <c r="AO558" i="10"/>
  <c r="AO366" i="10"/>
  <c r="AN366" i="10"/>
  <c r="AN527" i="10"/>
  <c r="AO527" i="10"/>
  <c r="AN479" i="10"/>
  <c r="AO479" i="10"/>
  <c r="AO338" i="10"/>
  <c r="AN338" i="10"/>
  <c r="AO204" i="10"/>
  <c r="AN204" i="10"/>
  <c r="AN442" i="10"/>
  <c r="AO442" i="10"/>
  <c r="AO380" i="10"/>
  <c r="AN380" i="10"/>
  <c r="AN287" i="10"/>
  <c r="AO287" i="10"/>
  <c r="AN224" i="10"/>
  <c r="AO224" i="10"/>
  <c r="AN164" i="10"/>
  <c r="AO164" i="10"/>
  <c r="AO51" i="10"/>
  <c r="AN51" i="10"/>
  <c r="AN327" i="10"/>
  <c r="AO327" i="10"/>
  <c r="AN263" i="10"/>
  <c r="AO263" i="10"/>
  <c r="AO195" i="10"/>
  <c r="AN195" i="10"/>
  <c r="AO145" i="10"/>
  <c r="AN145" i="10"/>
  <c r="AO76" i="10"/>
  <c r="AN76" i="10"/>
  <c r="AN337" i="10"/>
  <c r="AO337" i="10"/>
  <c r="AN292" i="10"/>
  <c r="AO292" i="10"/>
  <c r="AN228" i="10"/>
  <c r="AO228" i="10"/>
  <c r="AN162" i="10"/>
  <c r="AO162" i="10"/>
  <c r="AO103" i="10"/>
  <c r="AN103" i="10"/>
  <c r="AN98" i="10"/>
  <c r="AO98" i="10"/>
  <c r="AO35" i="10"/>
  <c r="AN35" i="10"/>
  <c r="AN66" i="10"/>
  <c r="AO66" i="10"/>
  <c r="AN34" i="10"/>
  <c r="AO34" i="10"/>
  <c r="AN486" i="10"/>
  <c r="AO486" i="10"/>
  <c r="AO171" i="10"/>
  <c r="AN171" i="10"/>
  <c r="AN517" i="10"/>
  <c r="AO517" i="10"/>
  <c r="AN469" i="10"/>
  <c r="AO469" i="10"/>
  <c r="AN406" i="10"/>
  <c r="AO406" i="10"/>
  <c r="AO352" i="10"/>
  <c r="AN352" i="10"/>
  <c r="AO165" i="10"/>
  <c r="AN165" i="10"/>
  <c r="AN478" i="10"/>
  <c r="AO478" i="10"/>
  <c r="AO536" i="10"/>
  <c r="AN536" i="10"/>
  <c r="AO392" i="10"/>
  <c r="AN392" i="10"/>
  <c r="AN555" i="10"/>
  <c r="AO555" i="10"/>
  <c r="AN529" i="10"/>
  <c r="AO529" i="10"/>
  <c r="AN481" i="10"/>
  <c r="AO481" i="10"/>
  <c r="AN433" i="10"/>
  <c r="AO433" i="10"/>
  <c r="AN403" i="10"/>
  <c r="AO403" i="10"/>
  <c r="AN371" i="10"/>
  <c r="AO371" i="10"/>
  <c r="AO202" i="10"/>
  <c r="AN202" i="10"/>
  <c r="AN73" i="10"/>
  <c r="AO73" i="10"/>
  <c r="AN466" i="10"/>
  <c r="AO466" i="10"/>
  <c r="AO131" i="10"/>
  <c r="AN131" i="10"/>
  <c r="AO516" i="10"/>
  <c r="AN516" i="10"/>
  <c r="AO484" i="10"/>
  <c r="AN484" i="10"/>
  <c r="AO437" i="10"/>
  <c r="AN437" i="10"/>
  <c r="AN394" i="10"/>
  <c r="AO394" i="10"/>
  <c r="AO373" i="10"/>
  <c r="AN373" i="10"/>
  <c r="AO54" i="10"/>
  <c r="AN54" i="10"/>
  <c r="AO432" i="10"/>
  <c r="AN432" i="10"/>
  <c r="AN163" i="10"/>
  <c r="AO163" i="10"/>
  <c r="AN519" i="10"/>
  <c r="AO519" i="10"/>
  <c r="AN471" i="10"/>
  <c r="AO471" i="10"/>
  <c r="AO428" i="10"/>
  <c r="AN428" i="10"/>
  <c r="AO270" i="10"/>
  <c r="AN270" i="10"/>
  <c r="AO159" i="10"/>
  <c r="AN159" i="10"/>
  <c r="AN22" i="10"/>
  <c r="AO22" i="10"/>
  <c r="AO396" i="10"/>
  <c r="AN396" i="10"/>
  <c r="AN312" i="10"/>
  <c r="AO312" i="10"/>
  <c r="AN280" i="10"/>
  <c r="AO280" i="10"/>
  <c r="AN232" i="10"/>
  <c r="AO232" i="10"/>
  <c r="AN180" i="10"/>
  <c r="AO180" i="10"/>
  <c r="AO118" i="10"/>
  <c r="AN118" i="10"/>
  <c r="AN367" i="10"/>
  <c r="AO367" i="10"/>
  <c r="AN319" i="10"/>
  <c r="AO319" i="10"/>
  <c r="AN303" i="10"/>
  <c r="AO303" i="10"/>
  <c r="AO288" i="10"/>
  <c r="AN288" i="10"/>
  <c r="AO272" i="10"/>
  <c r="AN272" i="10"/>
  <c r="AO240" i="10"/>
  <c r="AN240" i="10"/>
  <c r="AN217" i="10"/>
  <c r="AO217" i="10"/>
  <c r="AN205" i="10"/>
  <c r="AO205" i="10"/>
  <c r="AN186" i="10"/>
  <c r="AO186" i="10"/>
  <c r="AO169" i="10"/>
  <c r="AN169" i="10"/>
  <c r="AO153" i="10"/>
  <c r="AN153" i="10"/>
  <c r="AO137" i="10"/>
  <c r="AN137" i="10"/>
  <c r="AO117" i="10"/>
  <c r="AN117" i="10"/>
  <c r="AO101" i="10"/>
  <c r="AN101" i="10"/>
  <c r="AO87" i="10"/>
  <c r="AN87" i="10"/>
  <c r="AN62" i="10"/>
  <c r="AO62" i="10"/>
  <c r="AO39" i="10"/>
  <c r="AN39" i="10"/>
  <c r="AN361" i="10"/>
  <c r="AO361" i="10"/>
  <c r="AN345" i="10"/>
  <c r="AO345" i="10"/>
  <c r="AN329" i="10"/>
  <c r="AO329" i="10"/>
  <c r="AO313" i="10"/>
  <c r="AN313" i="10"/>
  <c r="AO297" i="10"/>
  <c r="AN297" i="10"/>
  <c r="AO283" i="10"/>
  <c r="AN283" i="10"/>
  <c r="AO267" i="10"/>
  <c r="AN267" i="10"/>
  <c r="AO251" i="10"/>
  <c r="AN251" i="10"/>
  <c r="AO235" i="10"/>
  <c r="AN235" i="10"/>
  <c r="AN223" i="10"/>
  <c r="AO223" i="10"/>
  <c r="AN208" i="10"/>
  <c r="AO208" i="10"/>
  <c r="AN188" i="10"/>
  <c r="AO188" i="10"/>
  <c r="AN170" i="10"/>
  <c r="AO170" i="10"/>
  <c r="AN154" i="10"/>
  <c r="AO154" i="10"/>
  <c r="AN138" i="10"/>
  <c r="AO138" i="10"/>
  <c r="AO119" i="10"/>
  <c r="AN119" i="10"/>
  <c r="AO91" i="10"/>
  <c r="AN91" i="10"/>
  <c r="AN74" i="10"/>
  <c r="AO74" i="10"/>
  <c r="AO43" i="10"/>
  <c r="AN43" i="10"/>
  <c r="AN114" i="10"/>
  <c r="AO114" i="10"/>
  <c r="AN93" i="10"/>
  <c r="AO93" i="10"/>
  <c r="AN70" i="10"/>
  <c r="AO70" i="10"/>
  <c r="AO46" i="10"/>
  <c r="AN46" i="10"/>
  <c r="AN25" i="10"/>
  <c r="AO25" i="10"/>
  <c r="AO26" i="10"/>
  <c r="AN26" i="10"/>
  <c r="AN30" i="10"/>
  <c r="AO30" i="10"/>
  <c r="AN77" i="10"/>
  <c r="AO77" i="10"/>
  <c r="AO61" i="10"/>
  <c r="AN61" i="10"/>
  <c r="AO45" i="10"/>
  <c r="AN45" i="10"/>
  <c r="AO29" i="10"/>
  <c r="AN29" i="10"/>
  <c r="B69" i="2"/>
  <c r="B54" i="2"/>
  <c r="H231" i="2" s="1"/>
  <c r="B16" i="2"/>
  <c r="B127" i="2" s="1"/>
  <c r="B15" i="2"/>
  <c r="B52" i="2"/>
  <c r="B26" i="10" l="1"/>
  <c r="B37" i="2"/>
  <c r="B38" i="2"/>
  <c r="B71" i="2"/>
  <c r="B29" i="2"/>
  <c r="B66" i="2"/>
  <c r="B10" i="4"/>
  <c r="B11" i="4" s="1"/>
  <c r="B219" i="2"/>
  <c r="H78" i="1" s="1"/>
  <c r="B25" i="10"/>
  <c r="E222" i="2"/>
  <c r="B206" i="2"/>
  <c r="B34" i="2"/>
  <c r="B143" i="2" s="1"/>
  <c r="B147" i="2"/>
  <c r="B148" i="2" s="1"/>
  <c r="B146" i="2"/>
  <c r="B138" i="2"/>
  <c r="B139" i="2"/>
  <c r="B25" i="2"/>
  <c r="B135" i="2" s="1"/>
  <c r="B60" i="2"/>
  <c r="B70" i="2"/>
  <c r="B64" i="2"/>
  <c r="B33" i="2"/>
  <c r="BL27" i="4" s="1"/>
  <c r="B24" i="2"/>
  <c r="B140" i="2" l="1"/>
  <c r="K150" i="2"/>
  <c r="BL125" i="4"/>
  <c r="BL60" i="4"/>
  <c r="BL150" i="4"/>
  <c r="BL57" i="4"/>
  <c r="BL143" i="4"/>
  <c r="BL75" i="4"/>
  <c r="BL133" i="4"/>
  <c r="BL17" i="4"/>
  <c r="BL154" i="4"/>
  <c r="BL104" i="4"/>
  <c r="BL19" i="4"/>
  <c r="BL106" i="4"/>
  <c r="BL9" i="4"/>
  <c r="BL48" i="4"/>
  <c r="BL13" i="4"/>
  <c r="BL115" i="4"/>
  <c r="BL52" i="4"/>
  <c r="BL70" i="4"/>
  <c r="BL7" i="4"/>
  <c r="BL151" i="4"/>
  <c r="BL153" i="4"/>
  <c r="BL40" i="4"/>
  <c r="BL87" i="4"/>
  <c r="BL84" i="4"/>
  <c r="BL85" i="4"/>
  <c r="BL16" i="4"/>
  <c r="BL22" i="4"/>
  <c r="BL37" i="4"/>
  <c r="BL43" i="4"/>
  <c r="BL65" i="4"/>
  <c r="BL80" i="4"/>
  <c r="BL86" i="4"/>
  <c r="BL101" i="4"/>
  <c r="BL108" i="4"/>
  <c r="BL10" i="4"/>
  <c r="BL25" i="4"/>
  <c r="BL31" i="4"/>
  <c r="BL73" i="4"/>
  <c r="BL79" i="4"/>
  <c r="BL12" i="4"/>
  <c r="BL18" i="4"/>
  <c r="BL33" i="4"/>
  <c r="BL39" i="4"/>
  <c r="BL76" i="4"/>
  <c r="BL82" i="4"/>
  <c r="BL97" i="4"/>
  <c r="BL103" i="4"/>
  <c r="BL29" i="4"/>
  <c r="BL88" i="4"/>
  <c r="BL141" i="4"/>
  <c r="BL147" i="4"/>
  <c r="BL46" i="4"/>
  <c r="BL117" i="4"/>
  <c r="BL139" i="4"/>
  <c r="BL45" i="4"/>
  <c r="BL118" i="4"/>
  <c r="BL124" i="4"/>
  <c r="BL152" i="4"/>
  <c r="BL105" i="4"/>
  <c r="BL62" i="4"/>
  <c r="BL126" i="4"/>
  <c r="BL132" i="4"/>
  <c r="BL56" i="4"/>
  <c r="BL123" i="4"/>
  <c r="BL138" i="4"/>
  <c r="BL32" i="4"/>
  <c r="BL38" i="4"/>
  <c r="BL53" i="4"/>
  <c r="BL59" i="4"/>
  <c r="BL96" i="4"/>
  <c r="BL102" i="4"/>
  <c r="BL109" i="4"/>
  <c r="BL20" i="4"/>
  <c r="BL26" i="4"/>
  <c r="BL41" i="4"/>
  <c r="BL47" i="4"/>
  <c r="BL68" i="4"/>
  <c r="BL74" i="4"/>
  <c r="BL89" i="4"/>
  <c r="BL95" i="4"/>
  <c r="BL28" i="4"/>
  <c r="BL34" i="4"/>
  <c r="BL49" i="4"/>
  <c r="BL55" i="4"/>
  <c r="BL92" i="4"/>
  <c r="BL98" i="4"/>
  <c r="BL14" i="4"/>
  <c r="BL93" i="4"/>
  <c r="BL114" i="4"/>
  <c r="BL120" i="4"/>
  <c r="BL61" i="4"/>
  <c r="BL144" i="4"/>
  <c r="BL30" i="4"/>
  <c r="BL94" i="4"/>
  <c r="BL113" i="4"/>
  <c r="BL119" i="4"/>
  <c r="BL134" i="4"/>
  <c r="BL140" i="4"/>
  <c r="BL149" i="4"/>
  <c r="BL67" i="4"/>
  <c r="BL121" i="4"/>
  <c r="BL127" i="4"/>
  <c r="BL142" i="4"/>
  <c r="BL148" i="4"/>
  <c r="BL128" i="4"/>
  <c r="BL21" i="4"/>
  <c r="BL64" i="4"/>
  <c r="BL91" i="4"/>
  <c r="BL107" i="4"/>
  <c r="BL15" i="4"/>
  <c r="BL58" i="4"/>
  <c r="BL100" i="4"/>
  <c r="BL23" i="4"/>
  <c r="BL66" i="4"/>
  <c r="BL81" i="4"/>
  <c r="BL24" i="4"/>
  <c r="BL83" i="4"/>
  <c r="BL131" i="4"/>
  <c r="BL146" i="4"/>
  <c r="BL112" i="4"/>
  <c r="BL157" i="4"/>
  <c r="BL145" i="4"/>
  <c r="BL77" i="4"/>
  <c r="BL116" i="4"/>
  <c r="BL156" i="4"/>
  <c r="BL51" i="4"/>
  <c r="BL11" i="4"/>
  <c r="BL54" i="4"/>
  <c r="BL69" i="4"/>
  <c r="BL110" i="4"/>
  <c r="BL36" i="4"/>
  <c r="BL63" i="4"/>
  <c r="BL90" i="4"/>
  <c r="BL44" i="4"/>
  <c r="BL71" i="4"/>
  <c r="BL111" i="4"/>
  <c r="BL136" i="4"/>
  <c r="BL155" i="4"/>
  <c r="BL35" i="4"/>
  <c r="BL99" i="4"/>
  <c r="BL135" i="4"/>
  <c r="BL122" i="4"/>
  <c r="BL137" i="4"/>
  <c r="BL72" i="4"/>
  <c r="BL129" i="4"/>
  <c r="BL130" i="4"/>
  <c r="BL78" i="4"/>
  <c r="BL50" i="4"/>
  <c r="BL42" i="4"/>
  <c r="BL8" i="4"/>
  <c r="B18" i="4"/>
  <c r="BA8" i="4"/>
  <c r="BA12" i="4"/>
  <c r="BA15" i="4"/>
  <c r="BA18" i="4"/>
  <c r="BA22" i="4"/>
  <c r="BA25" i="4"/>
  <c r="BA29" i="4"/>
  <c r="BA33" i="4"/>
  <c r="BA37" i="4"/>
  <c r="BA40" i="4"/>
  <c r="BA7" i="4"/>
  <c r="BA10" i="4"/>
  <c r="BA13" i="4"/>
  <c r="BA16" i="4"/>
  <c r="BA19" i="4"/>
  <c r="BA23" i="4"/>
  <c r="BA27" i="4"/>
  <c r="BA30" i="4"/>
  <c r="BA34" i="4"/>
  <c r="BA38" i="4"/>
  <c r="BA42" i="4"/>
  <c r="B14" i="4"/>
  <c r="BA9" i="4"/>
  <c r="BA11" i="4"/>
  <c r="BA14" i="4"/>
  <c r="BA17" i="4"/>
  <c r="BA20" i="4"/>
  <c r="BA21" i="4"/>
  <c r="BA24" i="4"/>
  <c r="BA26" i="4"/>
  <c r="BA28" i="4"/>
  <c r="BA31" i="4"/>
  <c r="BA32" i="4"/>
  <c r="BA35" i="4"/>
  <c r="BA36" i="4"/>
  <c r="BA39" i="4"/>
  <c r="BA41" i="4"/>
  <c r="BA131" i="4"/>
  <c r="BA142" i="4"/>
  <c r="BA145" i="4"/>
  <c r="BA148" i="4"/>
  <c r="BA149" i="4"/>
  <c r="BA152" i="4"/>
  <c r="BA155" i="4"/>
  <c r="BA156" i="4"/>
  <c r="BA43" i="4"/>
  <c r="BA44" i="4"/>
  <c r="BA45" i="4"/>
  <c r="BA46" i="4"/>
  <c r="BA48" i="4"/>
  <c r="BA49" i="4"/>
  <c r="BA50" i="4"/>
  <c r="BA51" i="4"/>
  <c r="BA53" i="4"/>
  <c r="BA55" i="4"/>
  <c r="BA57" i="4"/>
  <c r="BA59" i="4"/>
  <c r="BA61" i="4"/>
  <c r="BA63" i="4"/>
  <c r="BA65" i="4"/>
  <c r="BA67" i="4"/>
  <c r="BA69" i="4"/>
  <c r="BA71" i="4"/>
  <c r="BA73" i="4"/>
  <c r="BA75" i="4"/>
  <c r="BA77" i="4"/>
  <c r="BA79" i="4"/>
  <c r="BA81" i="4"/>
  <c r="BA83" i="4"/>
  <c r="BA85" i="4"/>
  <c r="BA87" i="4"/>
  <c r="BA89" i="4"/>
  <c r="BA91" i="4"/>
  <c r="BA93" i="4"/>
  <c r="BA95" i="4"/>
  <c r="BA97" i="4"/>
  <c r="BA99" i="4"/>
  <c r="BA101" i="4"/>
  <c r="BA103" i="4"/>
  <c r="BA105" i="4"/>
  <c r="BA107" i="4"/>
  <c r="BA109" i="4"/>
  <c r="BA111" i="4"/>
  <c r="BA113" i="4"/>
  <c r="BA115" i="4"/>
  <c r="BA117" i="4"/>
  <c r="BA119" i="4"/>
  <c r="BA121" i="4"/>
  <c r="BA123" i="4"/>
  <c r="BA125" i="4"/>
  <c r="BA127" i="4"/>
  <c r="BA129" i="4"/>
  <c r="BA132" i="4"/>
  <c r="BA134" i="4"/>
  <c r="BA136" i="4"/>
  <c r="BA138" i="4"/>
  <c r="BA140" i="4"/>
  <c r="BA143" i="4"/>
  <c r="BA146" i="4"/>
  <c r="BA150" i="4"/>
  <c r="BA153" i="4"/>
  <c r="BA157" i="4"/>
  <c r="BA47" i="4"/>
  <c r="BA52" i="4"/>
  <c r="BA54" i="4"/>
  <c r="BA56" i="4"/>
  <c r="BA58" i="4"/>
  <c r="BA60" i="4"/>
  <c r="BA62" i="4"/>
  <c r="BA64" i="4"/>
  <c r="BA66" i="4"/>
  <c r="BA68" i="4"/>
  <c r="BA70" i="4"/>
  <c r="BA72" i="4"/>
  <c r="BA74" i="4"/>
  <c r="BA76" i="4"/>
  <c r="BA78" i="4"/>
  <c r="BA80" i="4"/>
  <c r="BA82" i="4"/>
  <c r="BA84" i="4"/>
  <c r="BA86" i="4"/>
  <c r="BA88" i="4"/>
  <c r="BA90" i="4"/>
  <c r="BA92" i="4"/>
  <c r="BA94" i="4"/>
  <c r="BA96" i="4"/>
  <c r="BA98" i="4"/>
  <c r="BA100" i="4"/>
  <c r="BA102" i="4"/>
  <c r="BA104" i="4"/>
  <c r="BA106" i="4"/>
  <c r="BA108" i="4"/>
  <c r="BA110" i="4"/>
  <c r="BA112" i="4"/>
  <c r="BA114" i="4"/>
  <c r="BA116" i="4"/>
  <c r="BA118" i="4"/>
  <c r="BA120" i="4"/>
  <c r="BA122" i="4"/>
  <c r="BA124" i="4"/>
  <c r="BA126" i="4"/>
  <c r="BA128" i="4"/>
  <c r="BA130" i="4"/>
  <c r="BA133" i="4"/>
  <c r="BA135" i="4"/>
  <c r="BA137" i="4"/>
  <c r="BA139" i="4"/>
  <c r="BA141" i="4"/>
  <c r="BA144" i="4"/>
  <c r="BA147" i="4"/>
  <c r="BA151" i="4"/>
  <c r="BA154" i="4"/>
  <c r="AK114" i="4"/>
  <c r="AK50" i="4"/>
  <c r="AK66" i="4"/>
  <c r="AK58" i="4"/>
  <c r="AK106" i="4"/>
  <c r="AK40" i="4"/>
  <c r="AK94" i="4"/>
  <c r="AK18" i="4"/>
  <c r="AK68" i="4"/>
  <c r="AK123" i="4"/>
  <c r="AK75" i="4"/>
  <c r="AK27" i="4"/>
  <c r="AK125" i="4"/>
  <c r="AK61" i="4"/>
  <c r="AK13" i="4"/>
  <c r="AK87" i="4"/>
  <c r="AK23" i="4"/>
  <c r="AK121" i="4"/>
  <c r="AK89" i="4"/>
  <c r="AK41" i="4"/>
  <c r="AK78" i="4"/>
  <c r="AK14" i="4"/>
  <c r="AK116" i="4"/>
  <c r="AK147" i="4"/>
  <c r="AK115" i="4"/>
  <c r="AK35" i="4"/>
  <c r="AK133" i="4"/>
  <c r="AK69" i="4"/>
  <c r="AK146" i="4"/>
  <c r="AK9" i="4"/>
  <c r="AK154" i="4"/>
  <c r="AK74" i="4"/>
  <c r="AK130" i="4"/>
  <c r="AK136" i="4"/>
  <c r="AK80" i="4"/>
  <c r="AK24" i="4"/>
  <c r="AK150" i="4"/>
  <c r="AK118" i="4"/>
  <c r="AK86" i="4"/>
  <c r="AK54" i="4"/>
  <c r="AK22" i="4"/>
  <c r="AK10" i="4"/>
  <c r="AK88" i="4"/>
  <c r="AK156" i="4"/>
  <c r="AK124" i="4"/>
  <c r="AK92" i="4"/>
  <c r="AK60" i="4"/>
  <c r="AK28" i="4"/>
  <c r="AK151" i="4"/>
  <c r="AK119" i="4"/>
  <c r="AK55" i="4"/>
  <c r="AK137" i="4"/>
  <c r="AK73" i="4"/>
  <c r="AK122" i="4"/>
  <c r="AK72" i="4"/>
  <c r="AK52" i="4"/>
  <c r="AK83" i="4"/>
  <c r="AK19" i="4"/>
  <c r="AK101" i="4"/>
  <c r="AK37" i="4"/>
  <c r="AK98" i="4"/>
  <c r="AK90" i="4"/>
  <c r="AK138" i="4"/>
  <c r="AK104" i="4"/>
  <c r="AK48" i="4"/>
  <c r="AK8" i="4"/>
  <c r="AK134" i="4"/>
  <c r="AK102" i="4"/>
  <c r="AK70" i="4"/>
  <c r="AK38" i="4"/>
  <c r="AK26" i="4"/>
  <c r="AK128" i="4"/>
  <c r="AK56" i="4"/>
  <c r="AK140" i="4"/>
  <c r="AK108" i="4"/>
  <c r="AK76" i="4"/>
  <c r="AK44" i="4"/>
  <c r="AK12" i="4"/>
  <c r="AK143" i="4"/>
  <c r="AK127" i="4"/>
  <c r="AK111" i="4"/>
  <c r="AK95" i="4"/>
  <c r="AK79" i="4"/>
  <c r="AK63" i="4"/>
  <c r="AK47" i="4"/>
  <c r="AK31" i="4"/>
  <c r="AK15" i="4"/>
  <c r="AK145" i="4"/>
  <c r="AK129" i="4"/>
  <c r="AK113" i="4"/>
  <c r="AK97" i="4"/>
  <c r="AK81" i="4"/>
  <c r="AK65" i="4"/>
  <c r="AK49" i="4"/>
  <c r="AK33" i="4"/>
  <c r="AK17" i="4"/>
  <c r="AK152" i="4"/>
  <c r="AK96" i="4"/>
  <c r="AK7" i="4"/>
  <c r="AK126" i="4"/>
  <c r="AK62" i="4"/>
  <c r="AK30" i="4"/>
  <c r="AK112" i="4"/>
  <c r="AK32" i="4"/>
  <c r="AK132" i="4"/>
  <c r="AK100" i="4"/>
  <c r="AK36" i="4"/>
  <c r="AK155" i="4"/>
  <c r="AK139" i="4"/>
  <c r="AK107" i="4"/>
  <c r="AK91" i="4"/>
  <c r="AK59" i="4"/>
  <c r="AK43" i="4"/>
  <c r="AK11" i="4"/>
  <c r="AK141" i="4"/>
  <c r="AK109" i="4"/>
  <c r="AK93" i="4"/>
  <c r="AK77" i="4"/>
  <c r="AK45" i="4"/>
  <c r="AK29" i="4"/>
  <c r="AK135" i="4"/>
  <c r="AK103" i="4"/>
  <c r="AK71" i="4"/>
  <c r="AK39" i="4"/>
  <c r="AK153" i="4"/>
  <c r="AK105" i="4"/>
  <c r="AK57" i="4"/>
  <c r="AK25" i="4"/>
  <c r="AK82" i="4"/>
  <c r="AK157" i="4"/>
  <c r="AK42" i="4"/>
  <c r="AK34" i="4"/>
  <c r="AK120" i="4"/>
  <c r="AK64" i="4"/>
  <c r="AK16" i="4"/>
  <c r="AK142" i="4"/>
  <c r="AK110" i="4"/>
  <c r="AK46" i="4"/>
  <c r="AK144" i="4"/>
  <c r="AK148" i="4"/>
  <c r="AK84" i="4"/>
  <c r="AK20" i="4"/>
  <c r="AK131" i="4"/>
  <c r="AK99" i="4"/>
  <c r="AK67" i="4"/>
  <c r="AK51" i="4"/>
  <c r="AK149" i="4"/>
  <c r="AK117" i="4"/>
  <c r="AK85" i="4"/>
  <c r="AK53" i="4"/>
  <c r="AK21" i="4"/>
  <c r="B27" i="2"/>
  <c r="B15" i="4" s="1"/>
  <c r="B65" i="2"/>
  <c r="N19" i="1" s="1"/>
  <c r="N27" i="1"/>
  <c r="B63" i="2"/>
  <c r="N16" i="1" s="1"/>
  <c r="B35" i="2"/>
  <c r="B68" i="2"/>
  <c r="N24" i="1" s="1"/>
  <c r="B26" i="2"/>
  <c r="B36" i="2"/>
  <c r="B19" i="4" s="1"/>
  <c r="BK9" i="4" l="1"/>
  <c r="BM9" i="4" s="1"/>
  <c r="BK31" i="4"/>
  <c r="BM31" i="4" s="1"/>
  <c r="BK52" i="4"/>
  <c r="BM52" i="4" s="1"/>
  <c r="BK58" i="4"/>
  <c r="BM58" i="4" s="1"/>
  <c r="BK73" i="4"/>
  <c r="BM73" i="4" s="1"/>
  <c r="BK95" i="4"/>
  <c r="BK19" i="4"/>
  <c r="BM19" i="4" s="1"/>
  <c r="BK40" i="4"/>
  <c r="BM40" i="4" s="1"/>
  <c r="BK46" i="4"/>
  <c r="BM46" i="4" s="1"/>
  <c r="BK61" i="4"/>
  <c r="BM61" i="4" s="1"/>
  <c r="BK67" i="4"/>
  <c r="BM67" i="4" s="1"/>
  <c r="BK88" i="4"/>
  <c r="BK94" i="4"/>
  <c r="BK27" i="4"/>
  <c r="BM27" i="4" s="1"/>
  <c r="BK48" i="4"/>
  <c r="BM48" i="4" s="1"/>
  <c r="BK54" i="4"/>
  <c r="BM54" i="4" s="1"/>
  <c r="BK69" i="4"/>
  <c r="BM69" i="4" s="1"/>
  <c r="BK91" i="4"/>
  <c r="BK109" i="4"/>
  <c r="BK49" i="4"/>
  <c r="BM49" i="4" s="1"/>
  <c r="BK113" i="4"/>
  <c r="BK119" i="4"/>
  <c r="BK134" i="4"/>
  <c r="BK112" i="4"/>
  <c r="BK133" i="4"/>
  <c r="BK139" i="4"/>
  <c r="BK132" i="4"/>
  <c r="BK23" i="4"/>
  <c r="BM23" i="4" s="1"/>
  <c r="BK82" i="4"/>
  <c r="BK111" i="4"/>
  <c r="BK120" i="4"/>
  <c r="BK141" i="4"/>
  <c r="BK147" i="4"/>
  <c r="BK153" i="4"/>
  <c r="BK157" i="4"/>
  <c r="BK10" i="4"/>
  <c r="BM10" i="4" s="1"/>
  <c r="BK25" i="4"/>
  <c r="BM25" i="4" s="1"/>
  <c r="BK47" i="4"/>
  <c r="BM47" i="4" s="1"/>
  <c r="BK68" i="4"/>
  <c r="BM68" i="4" s="1"/>
  <c r="BK74" i="4"/>
  <c r="BM74" i="4" s="1"/>
  <c r="BK89" i="4"/>
  <c r="BK13" i="4"/>
  <c r="BM13" i="4" s="1"/>
  <c r="BK35" i="4"/>
  <c r="BM35" i="4" s="1"/>
  <c r="BK56" i="4"/>
  <c r="BM56" i="4" s="1"/>
  <c r="BK62" i="4"/>
  <c r="BM62" i="4" s="1"/>
  <c r="BK83" i="4"/>
  <c r="BK104" i="4"/>
  <c r="BK21" i="4"/>
  <c r="BM21" i="4" s="1"/>
  <c r="BK43" i="4"/>
  <c r="BM43" i="4" s="1"/>
  <c r="BK64" i="4"/>
  <c r="BM64" i="4" s="1"/>
  <c r="BK70" i="4"/>
  <c r="BM70" i="4" s="1"/>
  <c r="BK85" i="4"/>
  <c r="BK110" i="4"/>
  <c r="BK34" i="4"/>
  <c r="BM34" i="4" s="1"/>
  <c r="BK129" i="4"/>
  <c r="BK135" i="4"/>
  <c r="BK152" i="4"/>
  <c r="BK121" i="4"/>
  <c r="BK50" i="4"/>
  <c r="BM50" i="4" s="1"/>
  <c r="BK128" i="4"/>
  <c r="BK149" i="4"/>
  <c r="BK28" i="4"/>
  <c r="BM28" i="4" s="1"/>
  <c r="BK87" i="4"/>
  <c r="BK114" i="4"/>
  <c r="BK136" i="4"/>
  <c r="BK154" i="4"/>
  <c r="BK8" i="4"/>
  <c r="BM8" i="4" s="1"/>
  <c r="BS8" i="4" s="1"/>
  <c r="BK12" i="4"/>
  <c r="BM12" i="4" s="1"/>
  <c r="BK71" i="4"/>
  <c r="BM71" i="4" s="1"/>
  <c r="BK142" i="4"/>
  <c r="BK36" i="4"/>
  <c r="BM36" i="4" s="1"/>
  <c r="BK79" i="4"/>
  <c r="BM79" i="4" s="1"/>
  <c r="BK30" i="4"/>
  <c r="BM30" i="4" s="1"/>
  <c r="BK45" i="4"/>
  <c r="BM45" i="4" s="1"/>
  <c r="BK72" i="4"/>
  <c r="BM72" i="4" s="1"/>
  <c r="BK11" i="4"/>
  <c r="BM11" i="4" s="1"/>
  <c r="BK38" i="4"/>
  <c r="BM38" i="4" s="1"/>
  <c r="BK53" i="4"/>
  <c r="BM53" i="4" s="1"/>
  <c r="BK96" i="4"/>
  <c r="BN96" i="4" s="1"/>
  <c r="BK108" i="4"/>
  <c r="BK118" i="4"/>
  <c r="BK60" i="4"/>
  <c r="BM60" i="4" s="1"/>
  <c r="BK117" i="4"/>
  <c r="BK66" i="4"/>
  <c r="BM66" i="4" s="1"/>
  <c r="BK18" i="4"/>
  <c r="BM18" i="4" s="1"/>
  <c r="BK131" i="4"/>
  <c r="BK146" i="4"/>
  <c r="BK156" i="4"/>
  <c r="BK26" i="4"/>
  <c r="BM26" i="4" s="1"/>
  <c r="BK41" i="4"/>
  <c r="BM41" i="4" s="1"/>
  <c r="BK84" i="4"/>
  <c r="BK51" i="4"/>
  <c r="BM51" i="4" s="1"/>
  <c r="BK77" i="4"/>
  <c r="BM77" i="4" s="1"/>
  <c r="BK105" i="4"/>
  <c r="BK16" i="4"/>
  <c r="BM16" i="4" s="1"/>
  <c r="BK59" i="4"/>
  <c r="BM59" i="4" s="1"/>
  <c r="BK86" i="4"/>
  <c r="BK101" i="4"/>
  <c r="BK39" i="4"/>
  <c r="BM39" i="4" s="1"/>
  <c r="BK98" i="4"/>
  <c r="BK124" i="4"/>
  <c r="BK126" i="4"/>
  <c r="BK122" i="4"/>
  <c r="BK150" i="4"/>
  <c r="BK33" i="4"/>
  <c r="BM33" i="4" s="1"/>
  <c r="BK92" i="4"/>
  <c r="BK151" i="4"/>
  <c r="BK63" i="4"/>
  <c r="BM63" i="4" s="1"/>
  <c r="BK90" i="4"/>
  <c r="BK14" i="4"/>
  <c r="BM14" i="4" s="1"/>
  <c r="BK99" i="4"/>
  <c r="BK22" i="4"/>
  <c r="BM22" i="4" s="1"/>
  <c r="BK80" i="4"/>
  <c r="BK107" i="4"/>
  <c r="BK81" i="4"/>
  <c r="BK55" i="4"/>
  <c r="BM55" i="4" s="1"/>
  <c r="BK125" i="4"/>
  <c r="BK143" i="4"/>
  <c r="BK15" i="4"/>
  <c r="BM15" i="4" s="1"/>
  <c r="BK42" i="4"/>
  <c r="BM42" i="4" s="1"/>
  <c r="BK100" i="4"/>
  <c r="BK24" i="4"/>
  <c r="BM24" i="4" s="1"/>
  <c r="BK78" i="4"/>
  <c r="BM78" i="4" s="1"/>
  <c r="BK32" i="4"/>
  <c r="BM32" i="4" s="1"/>
  <c r="BK103" i="4"/>
  <c r="BK140" i="4"/>
  <c r="BK137" i="4"/>
  <c r="BK138" i="4"/>
  <c r="BK127" i="4"/>
  <c r="BK97" i="4"/>
  <c r="BK130" i="4"/>
  <c r="BK155" i="4"/>
  <c r="BK76" i="4"/>
  <c r="BM76" i="4" s="1"/>
  <c r="BK20" i="4"/>
  <c r="BM20" i="4" s="1"/>
  <c r="BK106" i="4"/>
  <c r="BK29" i="4"/>
  <c r="BM29" i="4" s="1"/>
  <c r="BK37" i="4"/>
  <c r="BM37" i="4" s="1"/>
  <c r="BK65" i="4"/>
  <c r="BM65" i="4" s="1"/>
  <c r="BK145" i="4"/>
  <c r="BK148" i="4"/>
  <c r="BK144" i="4"/>
  <c r="BK115" i="4"/>
  <c r="BK116" i="4"/>
  <c r="BK57" i="4"/>
  <c r="BM57" i="4" s="1"/>
  <c r="BK93" i="4"/>
  <c r="BK75" i="4"/>
  <c r="BM75" i="4" s="1"/>
  <c r="BK102" i="4"/>
  <c r="BK44" i="4"/>
  <c r="BM44" i="4" s="1"/>
  <c r="BK17" i="4"/>
  <c r="BM17" i="4" s="1"/>
  <c r="BK123" i="4"/>
  <c r="BM96" i="4"/>
  <c r="BK7" i="4"/>
  <c r="BM7" i="4" s="1"/>
  <c r="AZ7" i="4"/>
  <c r="BB7" i="4" s="1"/>
  <c r="AZ31" i="4"/>
  <c r="AZ134" i="4"/>
  <c r="AZ130" i="4"/>
  <c r="AZ109" i="4"/>
  <c r="AZ95" i="4"/>
  <c r="AZ148" i="4"/>
  <c r="AZ132" i="4"/>
  <c r="AZ76" i="4"/>
  <c r="AZ8" i="4"/>
  <c r="BC8" i="4" s="1"/>
  <c r="AZ24" i="4"/>
  <c r="AZ40" i="4"/>
  <c r="AZ56" i="4"/>
  <c r="AZ72" i="4"/>
  <c r="AZ88" i="4"/>
  <c r="AZ102" i="4"/>
  <c r="AZ118" i="4"/>
  <c r="AZ22" i="4"/>
  <c r="AZ38" i="4"/>
  <c r="AZ54" i="4"/>
  <c r="AZ70" i="4"/>
  <c r="AZ86" i="4"/>
  <c r="AZ100" i="4"/>
  <c r="AZ116" i="4"/>
  <c r="AZ10" i="4"/>
  <c r="AZ26" i="4"/>
  <c r="AZ42" i="4"/>
  <c r="AZ58" i="4"/>
  <c r="AZ74" i="4"/>
  <c r="AZ90" i="4"/>
  <c r="AZ107" i="4"/>
  <c r="AZ123" i="4"/>
  <c r="AZ152" i="4"/>
  <c r="AZ136" i="4"/>
  <c r="AZ92" i="4"/>
  <c r="AZ28" i="4"/>
  <c r="AZ146" i="4"/>
  <c r="AZ68" i="4"/>
  <c r="AZ157" i="4"/>
  <c r="AZ156" i="4"/>
  <c r="AZ16" i="4"/>
  <c r="AZ80" i="4"/>
  <c r="AZ110" i="4"/>
  <c r="AZ78" i="4"/>
  <c r="AZ34" i="4"/>
  <c r="AZ131" i="4"/>
  <c r="AZ117" i="4"/>
  <c r="AZ36" i="4"/>
  <c r="AZ12" i="4"/>
  <c r="AZ145" i="4"/>
  <c r="AZ137" i="4"/>
  <c r="AZ154" i="4"/>
  <c r="AZ143" i="4"/>
  <c r="AZ126" i="4"/>
  <c r="AZ55" i="4"/>
  <c r="AZ11" i="4"/>
  <c r="AZ27" i="4"/>
  <c r="AZ43" i="4"/>
  <c r="AZ59" i="4"/>
  <c r="AZ75" i="4"/>
  <c r="AZ91" i="4"/>
  <c r="AZ105" i="4"/>
  <c r="AZ9" i="4"/>
  <c r="AZ25" i="4"/>
  <c r="AZ41" i="4"/>
  <c r="AZ57" i="4"/>
  <c r="AZ73" i="4"/>
  <c r="AZ89" i="4"/>
  <c r="AZ103" i="4"/>
  <c r="AZ119" i="4"/>
  <c r="AZ13" i="4"/>
  <c r="AZ29" i="4"/>
  <c r="AZ45" i="4"/>
  <c r="AZ61" i="4"/>
  <c r="AZ77" i="4"/>
  <c r="AZ93" i="4"/>
  <c r="AZ112" i="4"/>
  <c r="AZ128" i="4"/>
  <c r="AZ147" i="4"/>
  <c r="AZ125" i="4"/>
  <c r="AZ71" i="4"/>
  <c r="AZ141" i="4"/>
  <c r="AZ122" i="4"/>
  <c r="AZ47" i="4"/>
  <c r="AZ20" i="4"/>
  <c r="AZ101" i="4"/>
  <c r="AZ48" i="4"/>
  <c r="AZ96" i="4"/>
  <c r="AZ30" i="4"/>
  <c r="AZ46" i="4"/>
  <c r="AZ18" i="4"/>
  <c r="AZ82" i="4"/>
  <c r="AZ98" i="4"/>
  <c r="AZ115" i="4"/>
  <c r="AZ60" i="4"/>
  <c r="AZ114" i="4"/>
  <c r="AZ142" i="4"/>
  <c r="AZ84" i="4"/>
  <c r="AZ52" i="4"/>
  <c r="AZ150" i="4"/>
  <c r="AZ63" i="4"/>
  <c r="AZ151" i="4"/>
  <c r="AZ135" i="4"/>
  <c r="AZ87" i="4"/>
  <c r="AZ23" i="4"/>
  <c r="AZ19" i="4"/>
  <c r="AZ35" i="4"/>
  <c r="AZ51" i="4"/>
  <c r="AZ67" i="4"/>
  <c r="AZ83" i="4"/>
  <c r="AZ99" i="4"/>
  <c r="AZ113" i="4"/>
  <c r="AZ17" i="4"/>
  <c r="AZ33" i="4"/>
  <c r="AZ49" i="4"/>
  <c r="AZ65" i="4"/>
  <c r="AZ81" i="4"/>
  <c r="AZ97" i="4"/>
  <c r="AZ111" i="4"/>
  <c r="AZ127" i="4"/>
  <c r="AZ21" i="4"/>
  <c r="AZ37" i="4"/>
  <c r="AZ53" i="4"/>
  <c r="AZ69" i="4"/>
  <c r="AZ85" i="4"/>
  <c r="AZ104" i="4"/>
  <c r="AZ120" i="4"/>
  <c r="AZ155" i="4"/>
  <c r="AZ139" i="4"/>
  <c r="AZ106" i="4"/>
  <c r="AZ39" i="4"/>
  <c r="AZ149" i="4"/>
  <c r="AZ133" i="4"/>
  <c r="AZ79" i="4"/>
  <c r="AZ15" i="4"/>
  <c r="AZ129" i="4"/>
  <c r="AZ153" i="4"/>
  <c r="AZ121" i="4"/>
  <c r="AZ140" i="4"/>
  <c r="AZ44" i="4"/>
  <c r="AZ32" i="4"/>
  <c r="AZ64" i="4"/>
  <c r="AZ14" i="4"/>
  <c r="AZ62" i="4"/>
  <c r="AZ94" i="4"/>
  <c r="AZ108" i="4"/>
  <c r="AZ124" i="4"/>
  <c r="AZ50" i="4"/>
  <c r="AZ66" i="4"/>
  <c r="AZ144" i="4"/>
  <c r="AZ138" i="4"/>
  <c r="B56" i="3"/>
  <c r="R25" i="4" l="1"/>
  <c r="AF25" i="4" s="1"/>
  <c r="BB14" i="4"/>
  <c r="BH14" i="4" s="1"/>
  <c r="BC14" i="4"/>
  <c r="BB120" i="4"/>
  <c r="BH120" i="4" s="1"/>
  <c r="BC120" i="4"/>
  <c r="BB99" i="4"/>
  <c r="BH99" i="4" s="1"/>
  <c r="BC99" i="4"/>
  <c r="BB35" i="4"/>
  <c r="BH35" i="4" s="1"/>
  <c r="BC35" i="4"/>
  <c r="BB135" i="4"/>
  <c r="BH135" i="4" s="1"/>
  <c r="BC135" i="4"/>
  <c r="BB52" i="4"/>
  <c r="BH52" i="4" s="1"/>
  <c r="BC52" i="4"/>
  <c r="BC60" i="4"/>
  <c r="BB60" i="4"/>
  <c r="BH60" i="4" s="1"/>
  <c r="BB18" i="4"/>
  <c r="BH18" i="4" s="1"/>
  <c r="BC18" i="4"/>
  <c r="BC48" i="4"/>
  <c r="BB48" i="4"/>
  <c r="BH48" i="4" s="1"/>
  <c r="BB122" i="4"/>
  <c r="BH122" i="4" s="1"/>
  <c r="BC122" i="4"/>
  <c r="BC147" i="4"/>
  <c r="BB147" i="4"/>
  <c r="BH147" i="4" s="1"/>
  <c r="BC77" i="4"/>
  <c r="BB77" i="4"/>
  <c r="BH77" i="4" s="1"/>
  <c r="BC13" i="4"/>
  <c r="BB13" i="4"/>
  <c r="BH13" i="4" s="1"/>
  <c r="BC73" i="4"/>
  <c r="BB73" i="4"/>
  <c r="BH73" i="4" s="1"/>
  <c r="BB9" i="4"/>
  <c r="BH9" i="4" s="1"/>
  <c r="BC9" i="4"/>
  <c r="BC59" i="4"/>
  <c r="BB59" i="4"/>
  <c r="BH59" i="4" s="1"/>
  <c r="BB55" i="4"/>
  <c r="BH55" i="4" s="1"/>
  <c r="BC55" i="4"/>
  <c r="BC154" i="4"/>
  <c r="BB154" i="4"/>
  <c r="BH154" i="4" s="1"/>
  <c r="BB36" i="4"/>
  <c r="BH36" i="4" s="1"/>
  <c r="BC36" i="4"/>
  <c r="BB78" i="4"/>
  <c r="BH78" i="4" s="1"/>
  <c r="BC78" i="4"/>
  <c r="BB156" i="4"/>
  <c r="BH156" i="4" s="1"/>
  <c r="BC156" i="4"/>
  <c r="BB28" i="4"/>
  <c r="BH28" i="4" s="1"/>
  <c r="BC28" i="4"/>
  <c r="BC123" i="4"/>
  <c r="BB123" i="4"/>
  <c r="BH123" i="4" s="1"/>
  <c r="BB58" i="4"/>
  <c r="BH58" i="4" s="1"/>
  <c r="BC58" i="4"/>
  <c r="BB116" i="4"/>
  <c r="BH116" i="4" s="1"/>
  <c r="BC116" i="4"/>
  <c r="BB54" i="4"/>
  <c r="BH54" i="4" s="1"/>
  <c r="BC54" i="4"/>
  <c r="BB102" i="4"/>
  <c r="BH102" i="4" s="1"/>
  <c r="BC102" i="4"/>
  <c r="BC40" i="4"/>
  <c r="BB40" i="4"/>
  <c r="BH40" i="4" s="1"/>
  <c r="BB132" i="4"/>
  <c r="BH132" i="4" s="1"/>
  <c r="BC132" i="4"/>
  <c r="BB130" i="4"/>
  <c r="BH130" i="4" s="1"/>
  <c r="BC130" i="4"/>
  <c r="BM148" i="4"/>
  <c r="BS148" i="4" s="1"/>
  <c r="BN148" i="4"/>
  <c r="BM155" i="4"/>
  <c r="BS155" i="4" s="1"/>
  <c r="BN155" i="4"/>
  <c r="BM138" i="4"/>
  <c r="BN138" i="4"/>
  <c r="BM150" i="4"/>
  <c r="BS150" i="4" s="1"/>
  <c r="BN150" i="4"/>
  <c r="BM98" i="4"/>
  <c r="BS98" i="4" s="1"/>
  <c r="BN98" i="4"/>
  <c r="BM156" i="4"/>
  <c r="BP156" i="4" s="1"/>
  <c r="BQ156" i="4" s="1"/>
  <c r="BN156" i="4"/>
  <c r="BM108" i="4"/>
  <c r="BN108" i="4"/>
  <c r="BM114" i="4"/>
  <c r="BP114" i="4" s="1"/>
  <c r="BQ114" i="4" s="1"/>
  <c r="BN114" i="4"/>
  <c r="BM128" i="4"/>
  <c r="BP128" i="4" s="1"/>
  <c r="BQ128" i="4" s="1"/>
  <c r="BN128" i="4"/>
  <c r="BM135" i="4"/>
  <c r="BP135" i="4" s="1"/>
  <c r="BQ135" i="4" s="1"/>
  <c r="BN135" i="4"/>
  <c r="BM85" i="4"/>
  <c r="BS85" i="4" s="1"/>
  <c r="BN85" i="4"/>
  <c r="BM141" i="4"/>
  <c r="BS141" i="4" s="1"/>
  <c r="BN141" i="4"/>
  <c r="BM112" i="4"/>
  <c r="BS112" i="4" s="1"/>
  <c r="BN112" i="4"/>
  <c r="BM88" i="4"/>
  <c r="BS88" i="4" s="1"/>
  <c r="BN88" i="4"/>
  <c r="BB140" i="4"/>
  <c r="BH140" i="4" s="1"/>
  <c r="BC140" i="4"/>
  <c r="BC53" i="4"/>
  <c r="BB53" i="4"/>
  <c r="BH53" i="4" s="1"/>
  <c r="BB144" i="4"/>
  <c r="BH144" i="4" s="1"/>
  <c r="BC144" i="4"/>
  <c r="BB121" i="4"/>
  <c r="BH121" i="4" s="1"/>
  <c r="BC121" i="4"/>
  <c r="BB104" i="4"/>
  <c r="BH104" i="4" s="1"/>
  <c r="BC104" i="4"/>
  <c r="BB37" i="4"/>
  <c r="BH37" i="4" s="1"/>
  <c r="BC37" i="4"/>
  <c r="BC97" i="4"/>
  <c r="BB97" i="4"/>
  <c r="BH97" i="4" s="1"/>
  <c r="BB33" i="4"/>
  <c r="BH33" i="4" s="1"/>
  <c r="BC33" i="4"/>
  <c r="BC83" i="4"/>
  <c r="BB83" i="4"/>
  <c r="BH83" i="4" s="1"/>
  <c r="BC19" i="4"/>
  <c r="BB19" i="4"/>
  <c r="BH19" i="4" s="1"/>
  <c r="BB151" i="4"/>
  <c r="BH151" i="4" s="1"/>
  <c r="BC151" i="4"/>
  <c r="BC84" i="4"/>
  <c r="BB84" i="4"/>
  <c r="BH84" i="4" s="1"/>
  <c r="BB115" i="4"/>
  <c r="BH115" i="4" s="1"/>
  <c r="BC115" i="4"/>
  <c r="BC46" i="4"/>
  <c r="BB46" i="4"/>
  <c r="BH46" i="4" s="1"/>
  <c r="BC101" i="4"/>
  <c r="BB101" i="4"/>
  <c r="BH101" i="4" s="1"/>
  <c r="BB141" i="4"/>
  <c r="BH141" i="4" s="1"/>
  <c r="BC141" i="4"/>
  <c r="BB128" i="4"/>
  <c r="BH128" i="4" s="1"/>
  <c r="BC128" i="4"/>
  <c r="BB61" i="4"/>
  <c r="BH61" i="4" s="1"/>
  <c r="BC61" i="4"/>
  <c r="BB119" i="4"/>
  <c r="BH119" i="4" s="1"/>
  <c r="BC119" i="4"/>
  <c r="BB57" i="4"/>
  <c r="BH57" i="4" s="1"/>
  <c r="BC57" i="4"/>
  <c r="BB105" i="4"/>
  <c r="BH105" i="4" s="1"/>
  <c r="BC105" i="4"/>
  <c r="BC43" i="4"/>
  <c r="BB43" i="4"/>
  <c r="BH43" i="4" s="1"/>
  <c r="BB126" i="4"/>
  <c r="BH126" i="4" s="1"/>
  <c r="BC126" i="4"/>
  <c r="BB137" i="4"/>
  <c r="BH137" i="4" s="1"/>
  <c r="BC137" i="4"/>
  <c r="BB117" i="4"/>
  <c r="BH117" i="4" s="1"/>
  <c r="BC117" i="4"/>
  <c r="BB110" i="4"/>
  <c r="BH110" i="4" s="1"/>
  <c r="BC110" i="4"/>
  <c r="BC157" i="4"/>
  <c r="BB157" i="4"/>
  <c r="BH157" i="4" s="1"/>
  <c r="BC92" i="4"/>
  <c r="BB92" i="4"/>
  <c r="BH92" i="4" s="1"/>
  <c r="BB107" i="4"/>
  <c r="BH107" i="4" s="1"/>
  <c r="BC107" i="4"/>
  <c r="BB42" i="4"/>
  <c r="BH42" i="4" s="1"/>
  <c r="BC42" i="4"/>
  <c r="BB100" i="4"/>
  <c r="BH100" i="4" s="1"/>
  <c r="BC100" i="4"/>
  <c r="BB38" i="4"/>
  <c r="BH38" i="4" s="1"/>
  <c r="BC38" i="4"/>
  <c r="BB88" i="4"/>
  <c r="BH88" i="4" s="1"/>
  <c r="BC88" i="4"/>
  <c r="BC24" i="4"/>
  <c r="BB24" i="4"/>
  <c r="BH24" i="4" s="1"/>
  <c r="BB148" i="4"/>
  <c r="BH148" i="4" s="1"/>
  <c r="BC148" i="4"/>
  <c r="BB134" i="4"/>
  <c r="BH134" i="4" s="1"/>
  <c r="BC134" i="4"/>
  <c r="BM102" i="4"/>
  <c r="BS102" i="4" s="1"/>
  <c r="BN102" i="4"/>
  <c r="BM116" i="4"/>
  <c r="BS116" i="4" s="1"/>
  <c r="BN116" i="4"/>
  <c r="BM145" i="4"/>
  <c r="BP145" i="4" s="1"/>
  <c r="BQ145" i="4" s="1"/>
  <c r="BN145" i="4"/>
  <c r="BM106" i="4"/>
  <c r="BS106" i="4" s="1"/>
  <c r="BN106" i="4"/>
  <c r="BM130" i="4"/>
  <c r="BS130" i="4" s="1"/>
  <c r="BN130" i="4"/>
  <c r="BM137" i="4"/>
  <c r="BP137" i="4" s="1"/>
  <c r="BQ137" i="4" s="1"/>
  <c r="BN137" i="4"/>
  <c r="BM81" i="4"/>
  <c r="BP81" i="4" s="1"/>
  <c r="BQ81" i="4" s="1"/>
  <c r="BN81" i="4"/>
  <c r="BM99" i="4"/>
  <c r="BS99" i="4" s="1"/>
  <c r="BN99" i="4"/>
  <c r="BM151" i="4"/>
  <c r="BN151" i="4"/>
  <c r="BM122" i="4"/>
  <c r="BS122" i="4" s="1"/>
  <c r="BN122" i="4"/>
  <c r="BM84" i="4"/>
  <c r="BS84" i="4" s="1"/>
  <c r="BN84" i="4"/>
  <c r="BM146" i="4"/>
  <c r="BS146" i="4" s="1"/>
  <c r="BN146" i="4"/>
  <c r="BM117" i="4"/>
  <c r="BP117" i="4" s="1"/>
  <c r="BQ117" i="4" s="1"/>
  <c r="BN117" i="4"/>
  <c r="BM87" i="4"/>
  <c r="BP87" i="4" s="1"/>
  <c r="BQ87" i="4" s="1"/>
  <c r="BN87" i="4"/>
  <c r="BM129" i="4"/>
  <c r="BS129" i="4" s="1"/>
  <c r="BN129" i="4"/>
  <c r="BM104" i="4"/>
  <c r="BS104" i="4" s="1"/>
  <c r="BN104" i="4"/>
  <c r="BM157" i="4"/>
  <c r="BP157" i="4" s="1"/>
  <c r="BQ157" i="4" s="1"/>
  <c r="BN157" i="4"/>
  <c r="BM120" i="4"/>
  <c r="BP120" i="4" s="1"/>
  <c r="BQ120" i="4" s="1"/>
  <c r="BN120" i="4"/>
  <c r="BM132" i="4"/>
  <c r="BS132" i="4" s="1"/>
  <c r="BN132" i="4"/>
  <c r="BM134" i="4"/>
  <c r="BS134" i="4" s="1"/>
  <c r="BN134" i="4"/>
  <c r="BM109" i="4"/>
  <c r="BP109" i="4" s="1"/>
  <c r="BQ109" i="4" s="1"/>
  <c r="BN109" i="4"/>
  <c r="BB138" i="4"/>
  <c r="BH138" i="4" s="1"/>
  <c r="BC138" i="4"/>
  <c r="BB15" i="4"/>
  <c r="BH15" i="4" s="1"/>
  <c r="BC15" i="4"/>
  <c r="BC111" i="4"/>
  <c r="BB111" i="4"/>
  <c r="BH111" i="4" s="1"/>
  <c r="BB108" i="4"/>
  <c r="BH108" i="4" s="1"/>
  <c r="BC108" i="4"/>
  <c r="BC79" i="4"/>
  <c r="BB79" i="4"/>
  <c r="BH79" i="4" s="1"/>
  <c r="BB94" i="4"/>
  <c r="BH94" i="4" s="1"/>
  <c r="BC94" i="4"/>
  <c r="BC133" i="4"/>
  <c r="BB133" i="4"/>
  <c r="BH133" i="4" s="1"/>
  <c r="BB21" i="4"/>
  <c r="BH21" i="4" s="1"/>
  <c r="BC21" i="4"/>
  <c r="BC17" i="4"/>
  <c r="BB17" i="4"/>
  <c r="BH17" i="4" s="1"/>
  <c r="BB23" i="4"/>
  <c r="BH23" i="4" s="1"/>
  <c r="BC23" i="4"/>
  <c r="BB142" i="4"/>
  <c r="BH142" i="4" s="1"/>
  <c r="BC142" i="4"/>
  <c r="BB30" i="4"/>
  <c r="BH30" i="4" s="1"/>
  <c r="BC30" i="4"/>
  <c r="BB20" i="4"/>
  <c r="BH20" i="4" s="1"/>
  <c r="BC20" i="4"/>
  <c r="BC71" i="4"/>
  <c r="BB71" i="4"/>
  <c r="BH71" i="4" s="1"/>
  <c r="BB112" i="4"/>
  <c r="BH112" i="4" s="1"/>
  <c r="BC112" i="4"/>
  <c r="BC45" i="4"/>
  <c r="BB45" i="4"/>
  <c r="BH45" i="4" s="1"/>
  <c r="BB103" i="4"/>
  <c r="BH103" i="4" s="1"/>
  <c r="BC103" i="4"/>
  <c r="BB41" i="4"/>
  <c r="BH41" i="4" s="1"/>
  <c r="BC41" i="4"/>
  <c r="BB91" i="4"/>
  <c r="BH91" i="4" s="1"/>
  <c r="BC91" i="4"/>
  <c r="BC27" i="4"/>
  <c r="BB27" i="4"/>
  <c r="BH27" i="4" s="1"/>
  <c r="BC143" i="4"/>
  <c r="BB143" i="4"/>
  <c r="BH143" i="4" s="1"/>
  <c r="BB145" i="4"/>
  <c r="BH145" i="4" s="1"/>
  <c r="BC145" i="4"/>
  <c r="BB131" i="4"/>
  <c r="BH131" i="4" s="1"/>
  <c r="BC131" i="4"/>
  <c r="BB80" i="4"/>
  <c r="BH80" i="4" s="1"/>
  <c r="BC80" i="4"/>
  <c r="BC68" i="4"/>
  <c r="BB68" i="4"/>
  <c r="BH68" i="4" s="1"/>
  <c r="BB136" i="4"/>
  <c r="BH136" i="4" s="1"/>
  <c r="BC136" i="4"/>
  <c r="BB90" i="4"/>
  <c r="BH90" i="4" s="1"/>
  <c r="BC90" i="4"/>
  <c r="BB26" i="4"/>
  <c r="BH26" i="4" s="1"/>
  <c r="BC26" i="4"/>
  <c r="BB86" i="4"/>
  <c r="BH86" i="4" s="1"/>
  <c r="BC86" i="4"/>
  <c r="BB22" i="4"/>
  <c r="BH22" i="4" s="1"/>
  <c r="BC22" i="4"/>
  <c r="BB72" i="4"/>
  <c r="BH72" i="4" s="1"/>
  <c r="BC72" i="4"/>
  <c r="BC95" i="4"/>
  <c r="BB95" i="4"/>
  <c r="BH95" i="4" s="1"/>
  <c r="BB31" i="4"/>
  <c r="BH31" i="4" s="1"/>
  <c r="BC31" i="4"/>
  <c r="BM123" i="4"/>
  <c r="BP123" i="4" s="1"/>
  <c r="BQ123" i="4" s="1"/>
  <c r="BN123" i="4"/>
  <c r="BM115" i="4"/>
  <c r="BS115" i="4" s="1"/>
  <c r="BN115" i="4"/>
  <c r="BM97" i="4"/>
  <c r="BS97" i="4" s="1"/>
  <c r="BN97" i="4"/>
  <c r="BM140" i="4"/>
  <c r="BS140" i="4" s="1"/>
  <c r="BN140" i="4"/>
  <c r="BM143" i="4"/>
  <c r="BP143" i="4" s="1"/>
  <c r="BQ143" i="4" s="1"/>
  <c r="BN143" i="4"/>
  <c r="BM107" i="4"/>
  <c r="BS107" i="4" s="1"/>
  <c r="BN107" i="4"/>
  <c r="BM92" i="4"/>
  <c r="BS92" i="4" s="1"/>
  <c r="BN92" i="4"/>
  <c r="BM126" i="4"/>
  <c r="BP126" i="4" s="1"/>
  <c r="BQ126" i="4" s="1"/>
  <c r="BN126" i="4"/>
  <c r="BM101" i="4"/>
  <c r="BS101" i="4" s="1"/>
  <c r="BN101" i="4"/>
  <c r="BM105" i="4"/>
  <c r="BP105" i="4" s="1"/>
  <c r="BQ105" i="4" s="1"/>
  <c r="BN105" i="4"/>
  <c r="BM131" i="4"/>
  <c r="BP131" i="4" s="1"/>
  <c r="BQ131" i="4" s="1"/>
  <c r="BN131" i="4"/>
  <c r="BM142" i="4"/>
  <c r="BS142" i="4" s="1"/>
  <c r="BN142" i="4"/>
  <c r="BM154" i="4"/>
  <c r="BP154" i="4" s="1"/>
  <c r="BQ154" i="4" s="1"/>
  <c r="BN154" i="4"/>
  <c r="BM121" i="4"/>
  <c r="BS121" i="4" s="1"/>
  <c r="BN121" i="4"/>
  <c r="BM83" i="4"/>
  <c r="BS83" i="4" s="1"/>
  <c r="BN83" i="4"/>
  <c r="BM153" i="4"/>
  <c r="BS153" i="4" s="1"/>
  <c r="BN153" i="4"/>
  <c r="BM111" i="4"/>
  <c r="BP111" i="4" s="1"/>
  <c r="BQ111" i="4" s="1"/>
  <c r="BN111" i="4"/>
  <c r="BM139" i="4"/>
  <c r="BP139" i="4" s="1"/>
  <c r="BQ139" i="4" s="1"/>
  <c r="BN139" i="4"/>
  <c r="BM119" i="4"/>
  <c r="BS119" i="4" s="1"/>
  <c r="BN119" i="4"/>
  <c r="BM91" i="4"/>
  <c r="BP91" i="4" s="1"/>
  <c r="BQ91" i="4" s="1"/>
  <c r="BN91" i="4"/>
  <c r="BM95" i="4"/>
  <c r="BP95" i="4" s="1"/>
  <c r="BQ95" i="4" s="1"/>
  <c r="BN95" i="4"/>
  <c r="BB124" i="4"/>
  <c r="BH124" i="4" s="1"/>
  <c r="BC124" i="4"/>
  <c r="BB39" i="4"/>
  <c r="BH39" i="4" s="1"/>
  <c r="BC39" i="4"/>
  <c r="BB49" i="4"/>
  <c r="BH49" i="4" s="1"/>
  <c r="BC49" i="4"/>
  <c r="BB64" i="4"/>
  <c r="BH64" i="4" s="1"/>
  <c r="BC64" i="4"/>
  <c r="BB106" i="4"/>
  <c r="BH106" i="4" s="1"/>
  <c r="BC106" i="4"/>
  <c r="BC66" i="4"/>
  <c r="BB66" i="4"/>
  <c r="BH66" i="4" s="1"/>
  <c r="BC32" i="4"/>
  <c r="BB32" i="4"/>
  <c r="BH32" i="4" s="1"/>
  <c r="BC153" i="4"/>
  <c r="BB153" i="4"/>
  <c r="BH153" i="4" s="1"/>
  <c r="BB139" i="4"/>
  <c r="BH139" i="4" s="1"/>
  <c r="BC139" i="4"/>
  <c r="BC85" i="4"/>
  <c r="BB85" i="4"/>
  <c r="BH85" i="4" s="1"/>
  <c r="BB81" i="4"/>
  <c r="BH81" i="4" s="1"/>
  <c r="BC81" i="4"/>
  <c r="BC67" i="4"/>
  <c r="BB67" i="4"/>
  <c r="BH67" i="4" s="1"/>
  <c r="BB63" i="4"/>
  <c r="BH63" i="4" s="1"/>
  <c r="BC63" i="4"/>
  <c r="BB98" i="4"/>
  <c r="BH98" i="4" s="1"/>
  <c r="BC98" i="4"/>
  <c r="BB50" i="4"/>
  <c r="BH50" i="4" s="1"/>
  <c r="BC50" i="4"/>
  <c r="BC62" i="4"/>
  <c r="BB62" i="4"/>
  <c r="BH62" i="4" s="1"/>
  <c r="BC44" i="4"/>
  <c r="BB44" i="4"/>
  <c r="BH44" i="4" s="1"/>
  <c r="BC129" i="4"/>
  <c r="BB129" i="4"/>
  <c r="BH129" i="4" s="1"/>
  <c r="BC149" i="4"/>
  <c r="BB149" i="4"/>
  <c r="BH149" i="4" s="1"/>
  <c r="BB155" i="4"/>
  <c r="BH155" i="4" s="1"/>
  <c r="BC155" i="4"/>
  <c r="BC69" i="4"/>
  <c r="BB69" i="4"/>
  <c r="BH69" i="4" s="1"/>
  <c r="BB127" i="4"/>
  <c r="BH127" i="4" s="1"/>
  <c r="BC127" i="4"/>
  <c r="BB65" i="4"/>
  <c r="BH65" i="4" s="1"/>
  <c r="BC65" i="4"/>
  <c r="BB113" i="4"/>
  <c r="BH113" i="4" s="1"/>
  <c r="BC113" i="4"/>
  <c r="BB51" i="4"/>
  <c r="BH51" i="4" s="1"/>
  <c r="BC51" i="4"/>
  <c r="BC87" i="4"/>
  <c r="BB87" i="4"/>
  <c r="BH87" i="4" s="1"/>
  <c r="BB150" i="4"/>
  <c r="BH150" i="4" s="1"/>
  <c r="BC150" i="4"/>
  <c r="BB114" i="4"/>
  <c r="BH114" i="4" s="1"/>
  <c r="BC114" i="4"/>
  <c r="BC82" i="4"/>
  <c r="BB82" i="4"/>
  <c r="BH82" i="4" s="1"/>
  <c r="BB96" i="4"/>
  <c r="BH96" i="4" s="1"/>
  <c r="BC96" i="4"/>
  <c r="BB47" i="4"/>
  <c r="BH47" i="4" s="1"/>
  <c r="BC47" i="4"/>
  <c r="BC125" i="4"/>
  <c r="BB125" i="4"/>
  <c r="BH125" i="4" s="1"/>
  <c r="BC93" i="4"/>
  <c r="BB93" i="4"/>
  <c r="BH93" i="4" s="1"/>
  <c r="BC29" i="4"/>
  <c r="BB29" i="4"/>
  <c r="BH29" i="4" s="1"/>
  <c r="BC89" i="4"/>
  <c r="BB89" i="4"/>
  <c r="BH89" i="4" s="1"/>
  <c r="BB25" i="4"/>
  <c r="BH25" i="4" s="1"/>
  <c r="BC25" i="4"/>
  <c r="BC75" i="4"/>
  <c r="BB75" i="4"/>
  <c r="BH75" i="4" s="1"/>
  <c r="BB11" i="4"/>
  <c r="BH11" i="4" s="1"/>
  <c r="BC11" i="4"/>
  <c r="BB12" i="4"/>
  <c r="BH12" i="4" s="1"/>
  <c r="BC12" i="4"/>
  <c r="BB34" i="4"/>
  <c r="BH34" i="4" s="1"/>
  <c r="BC34" i="4"/>
  <c r="BC16" i="4"/>
  <c r="BB16" i="4"/>
  <c r="BH16" i="4" s="1"/>
  <c r="BB146" i="4"/>
  <c r="BH146" i="4" s="1"/>
  <c r="BC146" i="4"/>
  <c r="BB152" i="4"/>
  <c r="BH152" i="4" s="1"/>
  <c r="BC152" i="4"/>
  <c r="BC74" i="4"/>
  <c r="BB74" i="4"/>
  <c r="BH74" i="4" s="1"/>
  <c r="BB10" i="4"/>
  <c r="BH10" i="4" s="1"/>
  <c r="BC10" i="4"/>
  <c r="BC70" i="4"/>
  <c r="BB70" i="4"/>
  <c r="BH70" i="4" s="1"/>
  <c r="BB118" i="4"/>
  <c r="BH118" i="4" s="1"/>
  <c r="BC118" i="4"/>
  <c r="BB56" i="4"/>
  <c r="BH56" i="4" s="1"/>
  <c r="BC56" i="4"/>
  <c r="BC76" i="4"/>
  <c r="BB76" i="4"/>
  <c r="BH76" i="4" s="1"/>
  <c r="BB109" i="4"/>
  <c r="BH109" i="4" s="1"/>
  <c r="BC109" i="4"/>
  <c r="BM93" i="4"/>
  <c r="BP93" i="4" s="1"/>
  <c r="BQ93" i="4" s="1"/>
  <c r="BN93" i="4"/>
  <c r="BM144" i="4"/>
  <c r="BS144" i="4" s="1"/>
  <c r="BN144" i="4"/>
  <c r="BM127" i="4"/>
  <c r="BP127" i="4" s="1"/>
  <c r="BQ127" i="4" s="1"/>
  <c r="BN127" i="4"/>
  <c r="BM103" i="4"/>
  <c r="BP103" i="4" s="1"/>
  <c r="BQ103" i="4" s="1"/>
  <c r="BN103" i="4"/>
  <c r="BM100" i="4"/>
  <c r="BS100" i="4" s="1"/>
  <c r="BN100" i="4"/>
  <c r="BM125" i="4"/>
  <c r="BS125" i="4" s="1"/>
  <c r="BN125" i="4"/>
  <c r="BM80" i="4"/>
  <c r="BS80" i="4" s="1"/>
  <c r="BN80" i="4"/>
  <c r="BM90" i="4"/>
  <c r="BS90" i="4" s="1"/>
  <c r="BN90" i="4"/>
  <c r="BM124" i="4"/>
  <c r="BP124" i="4" s="1"/>
  <c r="BQ124" i="4" s="1"/>
  <c r="BN124" i="4"/>
  <c r="BM86" i="4"/>
  <c r="BS86" i="4" s="1"/>
  <c r="BN86" i="4"/>
  <c r="BM118" i="4"/>
  <c r="BP118" i="4" s="1"/>
  <c r="BQ118" i="4" s="1"/>
  <c r="BN118" i="4"/>
  <c r="BM136" i="4"/>
  <c r="BS136" i="4" s="1"/>
  <c r="BN136" i="4"/>
  <c r="BM149" i="4"/>
  <c r="BP149" i="4" s="1"/>
  <c r="BQ149" i="4" s="1"/>
  <c r="BN149" i="4"/>
  <c r="BM152" i="4"/>
  <c r="BP152" i="4" s="1"/>
  <c r="BQ152" i="4" s="1"/>
  <c r="BN152" i="4"/>
  <c r="BM110" i="4"/>
  <c r="BS110" i="4" s="1"/>
  <c r="BN110" i="4"/>
  <c r="BM89" i="4"/>
  <c r="BS89" i="4" s="1"/>
  <c r="BN89" i="4"/>
  <c r="BM147" i="4"/>
  <c r="BP147" i="4" s="1"/>
  <c r="BQ147" i="4" s="1"/>
  <c r="BN147" i="4"/>
  <c r="BM82" i="4"/>
  <c r="BP82" i="4" s="1"/>
  <c r="BQ82" i="4" s="1"/>
  <c r="BN82" i="4"/>
  <c r="BM133" i="4"/>
  <c r="BS133" i="4" s="1"/>
  <c r="BN133" i="4"/>
  <c r="BM113" i="4"/>
  <c r="BS113" i="4" s="1"/>
  <c r="BN113" i="4"/>
  <c r="BM94" i="4"/>
  <c r="BP94" i="4" s="1"/>
  <c r="BQ94" i="4" s="1"/>
  <c r="BN94" i="4"/>
  <c r="R17" i="4"/>
  <c r="AF17" i="4" s="1"/>
  <c r="BP24" i="4"/>
  <c r="BQ24" i="4" s="1"/>
  <c r="BS24" i="4"/>
  <c r="BS44" i="4"/>
  <c r="BP44" i="4"/>
  <c r="BQ44" i="4" s="1"/>
  <c r="BS32" i="4"/>
  <c r="BP32" i="4"/>
  <c r="BQ32" i="4" s="1"/>
  <c r="BS56" i="4"/>
  <c r="BP56" i="4"/>
  <c r="BQ56" i="4" s="1"/>
  <c r="BP72" i="4"/>
  <c r="BQ72" i="4" s="1"/>
  <c r="BS72" i="4"/>
  <c r="BS96" i="4"/>
  <c r="BP96" i="4"/>
  <c r="BQ96" i="4" s="1"/>
  <c r="BP42" i="4"/>
  <c r="BQ42" i="4" s="1"/>
  <c r="BS42" i="4"/>
  <c r="BP22" i="4"/>
  <c r="BQ22" i="4" s="1"/>
  <c r="BS22" i="4"/>
  <c r="BS59" i="4"/>
  <c r="BP59" i="4"/>
  <c r="BQ59" i="4" s="1"/>
  <c r="BP11" i="4"/>
  <c r="BQ11" i="4" s="1"/>
  <c r="BS11" i="4"/>
  <c r="BP12" i="4"/>
  <c r="BQ12" i="4" s="1"/>
  <c r="BS12" i="4"/>
  <c r="BP85" i="4"/>
  <c r="BQ85" i="4" s="1"/>
  <c r="BP74" i="4"/>
  <c r="BQ74" i="4" s="1"/>
  <c r="BS74" i="4"/>
  <c r="BP54" i="4"/>
  <c r="BQ54" i="4" s="1"/>
  <c r="BS54" i="4"/>
  <c r="BP58" i="4"/>
  <c r="BQ58" i="4" s="1"/>
  <c r="BS58" i="4"/>
  <c r="BP28" i="4"/>
  <c r="BQ28" i="4" s="1"/>
  <c r="BS28" i="4"/>
  <c r="BS65" i="4"/>
  <c r="BP65" i="4"/>
  <c r="BQ65" i="4" s="1"/>
  <c r="BP130" i="4"/>
  <c r="BQ130" i="4" s="1"/>
  <c r="BP15" i="4"/>
  <c r="BQ15" i="4" s="1"/>
  <c r="BS15" i="4"/>
  <c r="BS81" i="4"/>
  <c r="BS151" i="4"/>
  <c r="BP151" i="4"/>
  <c r="BQ151" i="4" s="1"/>
  <c r="BP39" i="4"/>
  <c r="BQ39" i="4" s="1"/>
  <c r="BS39" i="4"/>
  <c r="BP50" i="4"/>
  <c r="BQ50" i="4" s="1"/>
  <c r="BS50" i="4"/>
  <c r="BP70" i="4"/>
  <c r="BQ70" i="4" s="1"/>
  <c r="BS70" i="4"/>
  <c r="BS35" i="4"/>
  <c r="BP35" i="4"/>
  <c r="BQ35" i="4" s="1"/>
  <c r="BS157" i="4"/>
  <c r="BP52" i="4"/>
  <c r="BQ52" i="4" s="1"/>
  <c r="BS52" i="4"/>
  <c r="BP75" i="4"/>
  <c r="BQ75" i="4" s="1"/>
  <c r="BS75" i="4"/>
  <c r="BS41" i="4"/>
  <c r="BP41" i="4"/>
  <c r="BQ41" i="4" s="1"/>
  <c r="BP60" i="4"/>
  <c r="BQ60" i="4" s="1"/>
  <c r="BS60" i="4"/>
  <c r="BS53" i="4"/>
  <c r="BP53" i="4"/>
  <c r="BQ53" i="4" s="1"/>
  <c r="BS45" i="4"/>
  <c r="BP45" i="4"/>
  <c r="BQ45" i="4" s="1"/>
  <c r="BP34" i="4"/>
  <c r="BQ34" i="4" s="1"/>
  <c r="BS34" i="4"/>
  <c r="BP64" i="4"/>
  <c r="BQ64" i="4" s="1"/>
  <c r="BS64" i="4"/>
  <c r="BP13" i="4"/>
  <c r="BQ13" i="4" s="1"/>
  <c r="BS13" i="4"/>
  <c r="BP47" i="4"/>
  <c r="BQ47" i="4" s="1"/>
  <c r="BS47" i="4"/>
  <c r="BS27" i="4"/>
  <c r="BP27" i="4"/>
  <c r="BQ27" i="4" s="1"/>
  <c r="BS61" i="4"/>
  <c r="BP61" i="4"/>
  <c r="BQ61" i="4" s="1"/>
  <c r="BP31" i="4"/>
  <c r="BQ31" i="4" s="1"/>
  <c r="BS31" i="4"/>
  <c r="BP68" i="4"/>
  <c r="BQ68" i="4" s="1"/>
  <c r="BS68" i="4"/>
  <c r="BP36" i="4"/>
  <c r="BQ36" i="4" s="1"/>
  <c r="BS36" i="4"/>
  <c r="BS57" i="4"/>
  <c r="BP57" i="4"/>
  <c r="BQ57" i="4" s="1"/>
  <c r="BS29" i="4"/>
  <c r="BP29" i="4"/>
  <c r="BQ29" i="4" s="1"/>
  <c r="BS138" i="4"/>
  <c r="BP138" i="4"/>
  <c r="BQ138" i="4" s="1"/>
  <c r="BS55" i="4"/>
  <c r="BP55" i="4"/>
  <c r="BQ55" i="4" s="1"/>
  <c r="BS63" i="4"/>
  <c r="BP63" i="4"/>
  <c r="BQ63" i="4" s="1"/>
  <c r="BP98" i="4"/>
  <c r="BQ98" i="4" s="1"/>
  <c r="BS51" i="4"/>
  <c r="BP51" i="4"/>
  <c r="BQ51" i="4" s="1"/>
  <c r="BP66" i="4"/>
  <c r="BQ66" i="4" s="1"/>
  <c r="BS66" i="4"/>
  <c r="BS108" i="4"/>
  <c r="BP108" i="4"/>
  <c r="BQ108" i="4" s="1"/>
  <c r="BS79" i="4"/>
  <c r="BP79" i="4"/>
  <c r="BQ79" i="4" s="1"/>
  <c r="BS114" i="4"/>
  <c r="BS21" i="4"/>
  <c r="BP21" i="4"/>
  <c r="BQ21" i="4" s="1"/>
  <c r="BP10" i="4"/>
  <c r="BQ10" i="4" s="1"/>
  <c r="BS10" i="4"/>
  <c r="BS23" i="4"/>
  <c r="BP23" i="4"/>
  <c r="BQ23" i="4" s="1"/>
  <c r="BP49" i="4"/>
  <c r="BQ49" i="4" s="1"/>
  <c r="BS49" i="4"/>
  <c r="BP40" i="4"/>
  <c r="BQ40" i="4" s="1"/>
  <c r="BS40" i="4"/>
  <c r="BS76" i="4"/>
  <c r="BP76" i="4"/>
  <c r="BQ76" i="4" s="1"/>
  <c r="BS137" i="4"/>
  <c r="BP78" i="4"/>
  <c r="BQ78" i="4" s="1"/>
  <c r="BS78" i="4"/>
  <c r="BP16" i="4"/>
  <c r="BQ16" i="4" s="1"/>
  <c r="BS16" i="4"/>
  <c r="BS109" i="4"/>
  <c r="BS48" i="4"/>
  <c r="BP48" i="4"/>
  <c r="BQ48" i="4" s="1"/>
  <c r="BS67" i="4"/>
  <c r="BP67" i="4"/>
  <c r="BQ67" i="4" s="1"/>
  <c r="BS19" i="4"/>
  <c r="BP19" i="4"/>
  <c r="BQ19" i="4" s="1"/>
  <c r="BP20" i="4"/>
  <c r="BQ20" i="4" s="1"/>
  <c r="BS20" i="4"/>
  <c r="BP14" i="4"/>
  <c r="BQ14" i="4" s="1"/>
  <c r="BS14" i="4"/>
  <c r="BS17" i="4"/>
  <c r="BP17" i="4"/>
  <c r="BQ17" i="4" s="1"/>
  <c r="BS37" i="4"/>
  <c r="BP37" i="4"/>
  <c r="BQ37" i="4" s="1"/>
  <c r="BS33" i="4"/>
  <c r="BP33" i="4"/>
  <c r="BQ33" i="4" s="1"/>
  <c r="BP77" i="4"/>
  <c r="BQ77" i="4" s="1"/>
  <c r="BS77" i="4"/>
  <c r="BP26" i="4"/>
  <c r="BQ26" i="4" s="1"/>
  <c r="BS26" i="4"/>
  <c r="BP18" i="4"/>
  <c r="BQ18" i="4" s="1"/>
  <c r="BS18" i="4"/>
  <c r="BP38" i="4"/>
  <c r="BQ38" i="4" s="1"/>
  <c r="BS38" i="4"/>
  <c r="BP30" i="4"/>
  <c r="BQ30" i="4" s="1"/>
  <c r="BS30" i="4"/>
  <c r="BS71" i="4"/>
  <c r="BP71" i="4"/>
  <c r="BQ71" i="4" s="1"/>
  <c r="BS43" i="4"/>
  <c r="BP43" i="4"/>
  <c r="BQ43" i="4" s="1"/>
  <c r="BS62" i="4"/>
  <c r="BP62" i="4"/>
  <c r="BQ62" i="4" s="1"/>
  <c r="BP25" i="4"/>
  <c r="BQ25" i="4" s="1"/>
  <c r="BS25" i="4"/>
  <c r="BS69" i="4"/>
  <c r="BP69" i="4"/>
  <c r="BQ69" i="4" s="1"/>
  <c r="BP46" i="4"/>
  <c r="BQ46" i="4" s="1"/>
  <c r="BS46" i="4"/>
  <c r="BP73" i="4"/>
  <c r="BQ73" i="4" s="1"/>
  <c r="BS73" i="4"/>
  <c r="BS9" i="4"/>
  <c r="BP9" i="4"/>
  <c r="BQ9" i="4" s="1"/>
  <c r="BE140" i="4"/>
  <c r="BF140" i="4" s="1"/>
  <c r="BE120" i="4"/>
  <c r="BF120" i="4" s="1"/>
  <c r="BE135" i="4"/>
  <c r="BF135" i="4" s="1"/>
  <c r="BE122" i="4"/>
  <c r="BF122" i="4" s="1"/>
  <c r="BE85" i="4"/>
  <c r="BF85" i="4" s="1"/>
  <c r="BE67" i="4"/>
  <c r="BF67" i="4" s="1"/>
  <c r="BE30" i="4"/>
  <c r="BF30" i="4" s="1"/>
  <c r="BE45" i="4"/>
  <c r="BF45" i="4" s="1"/>
  <c r="BE27" i="4"/>
  <c r="BF27" i="4" s="1"/>
  <c r="BE26" i="4"/>
  <c r="BF26" i="4" s="1"/>
  <c r="BE95" i="4"/>
  <c r="BF95" i="4" s="1"/>
  <c r="BE127" i="4"/>
  <c r="BF127" i="4" s="1"/>
  <c r="BE87" i="4"/>
  <c r="BF87" i="4" s="1"/>
  <c r="BE125" i="4"/>
  <c r="BF125" i="4" s="1"/>
  <c r="BE29" i="4"/>
  <c r="BF29" i="4" s="1"/>
  <c r="BE70" i="4"/>
  <c r="BF70" i="4" s="1"/>
  <c r="BE14" i="4"/>
  <c r="BF14" i="4" s="1"/>
  <c r="BE39" i="4"/>
  <c r="BF39" i="4" s="1"/>
  <c r="BE52" i="4"/>
  <c r="BF52" i="4" s="1"/>
  <c r="BE48" i="4"/>
  <c r="BF48" i="4" s="1"/>
  <c r="BE13" i="4"/>
  <c r="BF13" i="4" s="1"/>
  <c r="BE55" i="4"/>
  <c r="BF55" i="4" s="1"/>
  <c r="BE156" i="4"/>
  <c r="BF156" i="4" s="1"/>
  <c r="BE28" i="4"/>
  <c r="BF28" i="4" s="1"/>
  <c r="BE116" i="4"/>
  <c r="BF116" i="4" s="1"/>
  <c r="BE54" i="4"/>
  <c r="BF54" i="4" s="1"/>
  <c r="BE132" i="4"/>
  <c r="BF132" i="4" s="1"/>
  <c r="BE108" i="4"/>
  <c r="BF108" i="4" s="1"/>
  <c r="BE104" i="4"/>
  <c r="BF104" i="4" s="1"/>
  <c r="BE83" i="4"/>
  <c r="BF83" i="4" s="1"/>
  <c r="BE115" i="4"/>
  <c r="BF115" i="4" s="1"/>
  <c r="BE128" i="4"/>
  <c r="BF128" i="4" s="1"/>
  <c r="BE105" i="4"/>
  <c r="BF105" i="4" s="1"/>
  <c r="BE117" i="4"/>
  <c r="BF117" i="4" s="1"/>
  <c r="BE107" i="4"/>
  <c r="BF107" i="4" s="1"/>
  <c r="BE88" i="4"/>
  <c r="BF88" i="4" s="1"/>
  <c r="BP8" i="4"/>
  <c r="AG25" i="4"/>
  <c r="R86" i="4"/>
  <c r="AF86" i="4" s="1"/>
  <c r="R26" i="4"/>
  <c r="BB8" i="4"/>
  <c r="R72" i="4"/>
  <c r="AF72" i="4" s="1"/>
  <c r="R21" i="4"/>
  <c r="AF21" i="4" s="1"/>
  <c r="R16" i="4"/>
  <c r="AF16" i="4" s="1"/>
  <c r="R94" i="4"/>
  <c r="AF94" i="4" s="1"/>
  <c r="R112" i="4"/>
  <c r="AF112" i="4" s="1"/>
  <c r="R28" i="4"/>
  <c r="AF28" i="4" s="1"/>
  <c r="R75" i="4"/>
  <c r="AF75" i="4" s="1"/>
  <c r="R127" i="4"/>
  <c r="AF127" i="4" s="1"/>
  <c r="R147" i="4"/>
  <c r="AF147" i="4" s="1"/>
  <c r="R154" i="4"/>
  <c r="AF154" i="4" s="1"/>
  <c r="R15" i="4"/>
  <c r="AF15" i="4" s="1"/>
  <c r="R74" i="4"/>
  <c r="AF74" i="4" s="1"/>
  <c r="R109" i="4"/>
  <c r="AF109" i="4" s="1"/>
  <c r="R39" i="4"/>
  <c r="AF39" i="4" s="1"/>
  <c r="R44" i="4"/>
  <c r="AF44" i="4" s="1"/>
  <c r="R13" i="4"/>
  <c r="AF13" i="4" s="1"/>
  <c r="R37" i="4"/>
  <c r="AF37" i="4" s="1"/>
  <c r="R14" i="4"/>
  <c r="AF14" i="4" s="1"/>
  <c r="R138" i="4"/>
  <c r="AF138" i="4" s="1"/>
  <c r="R52" i="4"/>
  <c r="AF52" i="4" s="1"/>
  <c r="R40" i="4"/>
  <c r="AF40" i="4" s="1"/>
  <c r="R60" i="4"/>
  <c r="AF60" i="4" s="1"/>
  <c r="R36" i="4"/>
  <c r="AF36" i="4" s="1"/>
  <c r="R58" i="4"/>
  <c r="AF58" i="4" s="1"/>
  <c r="R54" i="4"/>
  <c r="AF54" i="4" s="1"/>
  <c r="R59" i="4"/>
  <c r="AF59" i="4" s="1"/>
  <c r="R148" i="4"/>
  <c r="AF148" i="4" s="1"/>
  <c r="R157" i="4"/>
  <c r="R116" i="4"/>
  <c r="AF116" i="4" s="1"/>
  <c r="R55" i="4"/>
  <c r="AF55" i="4" s="1"/>
  <c r="R79" i="4"/>
  <c r="AF79" i="4" s="1"/>
  <c r="R57" i="4"/>
  <c r="AF57" i="4" s="1"/>
  <c r="R18" i="4"/>
  <c r="AF18" i="4" s="1"/>
  <c r="R156" i="4"/>
  <c r="AF156" i="4" s="1"/>
  <c r="R102" i="4"/>
  <c r="AF102" i="4" s="1"/>
  <c r="R99" i="4"/>
  <c r="AF99" i="4" s="1"/>
  <c r="R130" i="4"/>
  <c r="AF130" i="4" s="1"/>
  <c r="R77" i="4"/>
  <c r="AF77" i="4" s="1"/>
  <c r="R19" i="4"/>
  <c r="AF19" i="4" s="1"/>
  <c r="R97" i="4"/>
  <c r="AF97" i="4" s="1"/>
  <c r="R141" i="4"/>
  <c r="AF141" i="4" s="1"/>
  <c r="R137" i="4"/>
  <c r="AF137" i="4" s="1"/>
  <c r="R126" i="4"/>
  <c r="AF126" i="4" s="1"/>
  <c r="R117" i="4"/>
  <c r="AF117" i="4" s="1"/>
  <c r="R103" i="4"/>
  <c r="AF103" i="4" s="1"/>
  <c r="R88" i="4"/>
  <c r="AF88" i="4" s="1"/>
  <c r="R101" i="4"/>
  <c r="AF101" i="4" s="1"/>
  <c r="R108" i="4"/>
  <c r="AF108" i="4" s="1"/>
  <c r="R33" i="4"/>
  <c r="AF33" i="4" s="1"/>
  <c r="R45" i="4"/>
  <c r="AF45" i="4" s="1"/>
  <c r="R144" i="4"/>
  <c r="AF144" i="4" s="1"/>
  <c r="R87" i="4"/>
  <c r="AF87" i="4" s="1"/>
  <c r="R128" i="4"/>
  <c r="AF128" i="4" s="1"/>
  <c r="R34" i="4"/>
  <c r="AF34" i="4" s="1"/>
  <c r="R146" i="4"/>
  <c r="AF146" i="4" s="1"/>
  <c r="R48" i="4"/>
  <c r="AF48" i="4" s="1"/>
  <c r="R132" i="4"/>
  <c r="AF132" i="4" s="1"/>
  <c r="R123" i="4"/>
  <c r="AF123" i="4" s="1"/>
  <c r="R122" i="4"/>
  <c r="AF122" i="4" s="1"/>
  <c r="R49" i="4"/>
  <c r="AF49" i="4" s="1"/>
  <c r="R43" i="4"/>
  <c r="AF43" i="4" s="1"/>
  <c r="R104" i="4"/>
  <c r="AF104" i="4" s="1"/>
  <c r="R124" i="4"/>
  <c r="AF124" i="4" s="1"/>
  <c r="R111" i="4"/>
  <c r="AF111" i="4" s="1"/>
  <c r="R84" i="4"/>
  <c r="AF84" i="4" s="1"/>
  <c r="R35" i="4"/>
  <c r="AF35" i="4" s="1"/>
  <c r="R140" i="4"/>
  <c r="AF140" i="4" s="1"/>
  <c r="R107" i="4"/>
  <c r="AF107" i="4" s="1"/>
  <c r="R134" i="4"/>
  <c r="AF134" i="4" s="1"/>
  <c r="R42" i="4"/>
  <c r="AF42" i="4" s="1"/>
  <c r="R24" i="4"/>
  <c r="AF24" i="4" s="1"/>
  <c r="R125" i="4"/>
  <c r="AF125" i="4" s="1"/>
  <c r="R151" i="4"/>
  <c r="AF151" i="4" s="1"/>
  <c r="R65" i="4"/>
  <c r="AF65" i="4" s="1"/>
  <c r="R118" i="4"/>
  <c r="AF118" i="4" s="1"/>
  <c r="R113" i="4"/>
  <c r="AF113" i="4" s="1"/>
  <c r="R46" i="4"/>
  <c r="AF46" i="4" s="1"/>
  <c r="R98" i="4"/>
  <c r="AF98" i="4" s="1"/>
  <c r="R139" i="4"/>
  <c r="AF139" i="4" s="1"/>
  <c r="R153" i="4"/>
  <c r="AF153" i="4" s="1"/>
  <c r="R90" i="4"/>
  <c r="AF90" i="4" s="1"/>
  <c r="R133" i="4"/>
  <c r="AF133" i="4" s="1"/>
  <c r="R41" i="4"/>
  <c r="AF41" i="4" s="1"/>
  <c r="R23" i="4"/>
  <c r="AF23" i="4" s="1"/>
  <c r="R152" i="4"/>
  <c r="AF152" i="4" s="1"/>
  <c r="R82" i="4"/>
  <c r="AF82" i="4" s="1"/>
  <c r="R10" i="4"/>
  <c r="AF10" i="4" s="1"/>
  <c r="R12" i="4"/>
  <c r="AF12" i="4" s="1"/>
  <c r="R51" i="4"/>
  <c r="AF51" i="4" s="1"/>
  <c r="R96" i="4"/>
  <c r="AF96" i="4" s="1"/>
  <c r="R143" i="4"/>
  <c r="AF143" i="4" s="1"/>
  <c r="R131" i="4"/>
  <c r="AF131" i="4" s="1"/>
  <c r="R145" i="4"/>
  <c r="AF145" i="4" s="1"/>
  <c r="R29" i="4"/>
  <c r="AF29" i="4" s="1"/>
  <c r="R11" i="4"/>
  <c r="AF11" i="4" s="1"/>
  <c r="R66" i="4"/>
  <c r="AF66" i="4" s="1"/>
  <c r="R89" i="4"/>
  <c r="AF89" i="4" s="1"/>
  <c r="R80" i="4"/>
  <c r="AF80" i="4" s="1"/>
  <c r="R7" i="4"/>
  <c r="AF7" i="4" s="1"/>
  <c r="R149" i="4"/>
  <c r="AF149" i="4" s="1"/>
  <c r="R27" i="4"/>
  <c r="AF27" i="4" s="1"/>
  <c r="R69" i="4"/>
  <c r="AF69" i="4" s="1"/>
  <c r="R76" i="4"/>
  <c r="AF76" i="4" s="1"/>
  <c r="R81" i="4"/>
  <c r="AF81" i="4" s="1"/>
  <c r="R155" i="4"/>
  <c r="AF155" i="4" s="1"/>
  <c r="R68" i="4"/>
  <c r="AF68" i="4" s="1"/>
  <c r="R115" i="4"/>
  <c r="AF115" i="4" s="1"/>
  <c r="R22" i="4"/>
  <c r="AF22" i="4" s="1"/>
  <c r="R83" i="4"/>
  <c r="AF83" i="4" s="1"/>
  <c r="R56" i="4"/>
  <c r="AF56" i="4" s="1"/>
  <c r="R129" i="4"/>
  <c r="AF129" i="4" s="1"/>
  <c r="R135" i="4"/>
  <c r="AF135" i="4" s="1"/>
  <c r="R110" i="4"/>
  <c r="AF110" i="4" s="1"/>
  <c r="R50" i="4"/>
  <c r="AF50" i="4" s="1"/>
  <c r="R121" i="4"/>
  <c r="AF121" i="4" s="1"/>
  <c r="R136" i="4"/>
  <c r="AF136" i="4" s="1"/>
  <c r="R119" i="4"/>
  <c r="AF119" i="4" s="1"/>
  <c r="R38" i="4"/>
  <c r="AF38" i="4" s="1"/>
  <c r="R31" i="4"/>
  <c r="AF31" i="4" s="1"/>
  <c r="R100" i="4"/>
  <c r="AF100" i="4" s="1"/>
  <c r="R64" i="4"/>
  <c r="AF64" i="4" s="1"/>
  <c r="R71" i="4"/>
  <c r="AF71" i="4" s="1"/>
  <c r="R63" i="4"/>
  <c r="AF63" i="4" s="1"/>
  <c r="R114" i="4"/>
  <c r="AF114" i="4" s="1"/>
  <c r="R67" i="4"/>
  <c r="AF67" i="4" s="1"/>
  <c r="R20" i="4"/>
  <c r="AF20" i="4" s="1"/>
  <c r="R91" i="4"/>
  <c r="AF91" i="4" s="1"/>
  <c r="R32" i="4"/>
  <c r="AF32" i="4" s="1"/>
  <c r="R142" i="4"/>
  <c r="AF142" i="4" s="1"/>
  <c r="R106" i="4"/>
  <c r="AF106" i="4" s="1"/>
  <c r="R78" i="4"/>
  <c r="AF78" i="4" s="1"/>
  <c r="R150" i="4"/>
  <c r="AF150" i="4" s="1"/>
  <c r="R73" i="4"/>
  <c r="AF73" i="4" s="1"/>
  <c r="R70" i="4"/>
  <c r="AF70" i="4" s="1"/>
  <c r="R47" i="4"/>
  <c r="AF47" i="4" s="1"/>
  <c r="R62" i="4"/>
  <c r="AF62" i="4" s="1"/>
  <c r="R93" i="4"/>
  <c r="AF93" i="4" s="1"/>
  <c r="R120" i="4"/>
  <c r="AF120" i="4" s="1"/>
  <c r="R85" i="4"/>
  <c r="AF85" i="4" s="1"/>
  <c r="R61" i="4"/>
  <c r="AF61" i="4" s="1"/>
  <c r="R9" i="4"/>
  <c r="AF9" i="4" s="1"/>
  <c r="R92" i="4"/>
  <c r="AF92" i="4" s="1"/>
  <c r="R8" i="4"/>
  <c r="R95" i="4"/>
  <c r="AF95" i="4" s="1"/>
  <c r="R30" i="4"/>
  <c r="AF30" i="4" s="1"/>
  <c r="R105" i="4"/>
  <c r="AF105" i="4" s="1"/>
  <c r="R53" i="4"/>
  <c r="AF53" i="4" s="1"/>
  <c r="B286" i="2"/>
  <c r="B285" i="2"/>
  <c r="B282" i="2"/>
  <c r="B281" i="2"/>
  <c r="B280" i="2"/>
  <c r="B279" i="2"/>
  <c r="B278" i="2"/>
  <c r="BE145" i="4" l="1"/>
  <c r="BF145" i="4" s="1"/>
  <c r="BE41" i="4"/>
  <c r="BF41" i="4" s="1"/>
  <c r="BP119" i="4"/>
  <c r="BQ119" i="4" s="1"/>
  <c r="BS131" i="4"/>
  <c r="BE96" i="4"/>
  <c r="BF96" i="4" s="1"/>
  <c r="BE98" i="4"/>
  <c r="BF98" i="4" s="1"/>
  <c r="BP83" i="4"/>
  <c r="BQ83" i="4" s="1"/>
  <c r="BE11" i="4"/>
  <c r="BF11" i="4" s="1"/>
  <c r="BE80" i="4"/>
  <c r="BF80" i="4" s="1"/>
  <c r="BE21" i="4"/>
  <c r="BF21" i="4" s="1"/>
  <c r="BP102" i="4"/>
  <c r="BQ102" i="4" s="1"/>
  <c r="BE102" i="4"/>
  <c r="BF102" i="4" s="1"/>
  <c r="BE151" i="4"/>
  <c r="BF151" i="4" s="1"/>
  <c r="BE155" i="4"/>
  <c r="BF155" i="4" s="1"/>
  <c r="BE9" i="4"/>
  <c r="BF9" i="4" s="1"/>
  <c r="BS128" i="4"/>
  <c r="BP132" i="4"/>
  <c r="BQ132" i="4" s="1"/>
  <c r="BP112" i="4"/>
  <c r="BQ112" i="4" s="1"/>
  <c r="BS111" i="4"/>
  <c r="BE62" i="4"/>
  <c r="BF62" i="4" s="1"/>
  <c r="BS135" i="4"/>
  <c r="BE129" i="4"/>
  <c r="BF129" i="4" s="1"/>
  <c r="BE25" i="4"/>
  <c r="BF25" i="4" s="1"/>
  <c r="BP144" i="4"/>
  <c r="BQ144" i="4" s="1"/>
  <c r="BE56" i="4"/>
  <c r="BF56" i="4" s="1"/>
  <c r="BE66" i="4"/>
  <c r="BF66" i="4" s="1"/>
  <c r="BP99" i="4"/>
  <c r="BQ99" i="4" s="1"/>
  <c r="BE100" i="4"/>
  <c r="BF100" i="4" s="1"/>
  <c r="BE101" i="4"/>
  <c r="BF101" i="4" s="1"/>
  <c r="BE144" i="4"/>
  <c r="BF144" i="4" s="1"/>
  <c r="BE36" i="4"/>
  <c r="BF36" i="4" s="1"/>
  <c r="BE15" i="4"/>
  <c r="BF15" i="4" s="1"/>
  <c r="BE99" i="4"/>
  <c r="BF99" i="4" s="1"/>
  <c r="BS123" i="4"/>
  <c r="BE153" i="4"/>
  <c r="BF153" i="4" s="1"/>
  <c r="BE114" i="4"/>
  <c r="BF114" i="4" s="1"/>
  <c r="BE22" i="4"/>
  <c r="BF22" i="4" s="1"/>
  <c r="BE71" i="4"/>
  <c r="BF71" i="4" s="1"/>
  <c r="BE94" i="4"/>
  <c r="BF94" i="4" s="1"/>
  <c r="BS82" i="4"/>
  <c r="BP129" i="4"/>
  <c r="BQ129" i="4" s="1"/>
  <c r="BP148" i="4"/>
  <c r="BQ148" i="4" s="1"/>
  <c r="BE126" i="4"/>
  <c r="BF126" i="4" s="1"/>
  <c r="BE97" i="4"/>
  <c r="BF97" i="4" s="1"/>
  <c r="BE147" i="4"/>
  <c r="BF147" i="4" s="1"/>
  <c r="BE74" i="4"/>
  <c r="BF74" i="4" s="1"/>
  <c r="BP101" i="4"/>
  <c r="BQ101" i="4" s="1"/>
  <c r="BE123" i="4"/>
  <c r="BF123" i="4" s="1"/>
  <c r="BE34" i="4"/>
  <c r="BF34" i="4" s="1"/>
  <c r="BE113" i="4"/>
  <c r="BF113" i="4" s="1"/>
  <c r="BE136" i="4"/>
  <c r="BF136" i="4" s="1"/>
  <c r="BP84" i="4"/>
  <c r="BQ84" i="4" s="1"/>
  <c r="BS143" i="4"/>
  <c r="BS145" i="4"/>
  <c r="BE157" i="4"/>
  <c r="BF157" i="4" s="1"/>
  <c r="BE148" i="4"/>
  <c r="BF148" i="4" s="1"/>
  <c r="BE119" i="4"/>
  <c r="BF119" i="4" s="1"/>
  <c r="BE64" i="4"/>
  <c r="BF64" i="4" s="1"/>
  <c r="BE23" i="4"/>
  <c r="BF23" i="4" s="1"/>
  <c r="BE60" i="4"/>
  <c r="BF60" i="4" s="1"/>
  <c r="BP86" i="4"/>
  <c r="BQ86" i="4" s="1"/>
  <c r="BS95" i="4"/>
  <c r="BS154" i="4"/>
  <c r="BP97" i="4"/>
  <c r="BQ97" i="4" s="1"/>
  <c r="BP92" i="4"/>
  <c r="BQ92" i="4" s="1"/>
  <c r="BS117" i="4"/>
  <c r="BP141" i="4"/>
  <c r="BQ141" i="4" s="1"/>
  <c r="BS152" i="4"/>
  <c r="BP125" i="4"/>
  <c r="BQ125" i="4" s="1"/>
  <c r="BP136" i="4"/>
  <c r="BQ136" i="4" s="1"/>
  <c r="BP90" i="4"/>
  <c r="BQ90" i="4" s="1"/>
  <c r="BE109" i="4"/>
  <c r="BF109" i="4" s="1"/>
  <c r="BE146" i="4"/>
  <c r="BF146" i="4" s="1"/>
  <c r="BE86" i="4"/>
  <c r="BF86" i="4" s="1"/>
  <c r="BP113" i="4"/>
  <c r="BQ113" i="4" s="1"/>
  <c r="BP89" i="4"/>
  <c r="BQ89" i="4" s="1"/>
  <c r="BS103" i="4"/>
  <c r="BS105" i="4"/>
  <c r="BE33" i="4"/>
  <c r="BF33" i="4" s="1"/>
  <c r="BE58" i="4"/>
  <c r="BF58" i="4" s="1"/>
  <c r="BE134" i="4"/>
  <c r="BF134" i="4" s="1"/>
  <c r="BE137" i="4"/>
  <c r="BF137" i="4" s="1"/>
  <c r="BE35" i="4"/>
  <c r="BF35" i="4" s="1"/>
  <c r="BE103" i="4"/>
  <c r="BF103" i="4" s="1"/>
  <c r="BE138" i="4"/>
  <c r="BF138" i="4" s="1"/>
  <c r="BP104" i="4"/>
  <c r="BQ104" i="4" s="1"/>
  <c r="BS87" i="4"/>
  <c r="BP116" i="4"/>
  <c r="BQ116" i="4" s="1"/>
  <c r="BP146" i="4"/>
  <c r="BQ146" i="4" s="1"/>
  <c r="BS156" i="4"/>
  <c r="BP155" i="4"/>
  <c r="BQ155" i="4" s="1"/>
  <c r="BE141" i="4"/>
  <c r="BF141" i="4" s="1"/>
  <c r="BE106" i="4"/>
  <c r="BF106" i="4" s="1"/>
  <c r="BE130" i="4"/>
  <c r="BF130" i="4" s="1"/>
  <c r="BE18" i="4"/>
  <c r="BF18" i="4" s="1"/>
  <c r="BE31" i="4"/>
  <c r="BF31" i="4" s="1"/>
  <c r="BP153" i="4"/>
  <c r="BQ153" i="4" s="1"/>
  <c r="BP88" i="4"/>
  <c r="BQ88" i="4" s="1"/>
  <c r="BE38" i="4"/>
  <c r="BF38" i="4" s="1"/>
  <c r="BE57" i="4"/>
  <c r="BF57" i="4" s="1"/>
  <c r="BE78" i="4"/>
  <c r="BF78" i="4" s="1"/>
  <c r="BE20" i="4"/>
  <c r="BF20" i="4" s="1"/>
  <c r="BE124" i="4"/>
  <c r="BF124" i="4" s="1"/>
  <c r="BP150" i="4"/>
  <c r="BQ150" i="4" s="1"/>
  <c r="BP142" i="4"/>
  <c r="BQ142" i="4" s="1"/>
  <c r="BE143" i="4"/>
  <c r="BF143" i="4" s="1"/>
  <c r="BE53" i="4"/>
  <c r="BF53" i="4" s="1"/>
  <c r="BE63" i="4"/>
  <c r="BF63" i="4" s="1"/>
  <c r="BE51" i="4"/>
  <c r="BF51" i="4" s="1"/>
  <c r="BE133" i="4"/>
  <c r="BF133" i="4" s="1"/>
  <c r="BP107" i="4"/>
  <c r="BQ107" i="4" s="1"/>
  <c r="BE10" i="4"/>
  <c r="BF10" i="4" s="1"/>
  <c r="BP115" i="4"/>
  <c r="BQ115" i="4" s="1"/>
  <c r="BE81" i="4"/>
  <c r="BF81" i="4" s="1"/>
  <c r="BS91" i="4"/>
  <c r="BS126" i="4"/>
  <c r="BP140" i="4"/>
  <c r="BQ140" i="4" s="1"/>
  <c r="BP134" i="4"/>
  <c r="BQ134" i="4" s="1"/>
  <c r="BS93" i="4"/>
  <c r="BS139" i="4"/>
  <c r="BP110" i="4"/>
  <c r="BQ110" i="4" s="1"/>
  <c r="BS149" i="4"/>
  <c r="BS94" i="4"/>
  <c r="BE68" i="4"/>
  <c r="BF68" i="4" s="1"/>
  <c r="BS124" i="4"/>
  <c r="BE77" i="4"/>
  <c r="BF77" i="4" s="1"/>
  <c r="BE75" i="4"/>
  <c r="BF75" i="4" s="1"/>
  <c r="BE82" i="4"/>
  <c r="BF82" i="4" s="1"/>
  <c r="BE44" i="4"/>
  <c r="BF44" i="4" s="1"/>
  <c r="BE84" i="4"/>
  <c r="BF84" i="4" s="1"/>
  <c r="BE40" i="4"/>
  <c r="BF40" i="4" s="1"/>
  <c r="BE76" i="4"/>
  <c r="BF76" i="4" s="1"/>
  <c r="BE93" i="4"/>
  <c r="BF93" i="4" s="1"/>
  <c r="BE69" i="4"/>
  <c r="BF69" i="4" s="1"/>
  <c r="BE72" i="4"/>
  <c r="BF72" i="4" s="1"/>
  <c r="BE90" i="4"/>
  <c r="BF90" i="4" s="1"/>
  <c r="BE131" i="4"/>
  <c r="BF131" i="4" s="1"/>
  <c r="BE91" i="4"/>
  <c r="BF91" i="4" s="1"/>
  <c r="BE112" i="4"/>
  <c r="BF112" i="4" s="1"/>
  <c r="BE32" i="4"/>
  <c r="BF32" i="4" s="1"/>
  <c r="BP133" i="4"/>
  <c r="BQ133" i="4" s="1"/>
  <c r="BS147" i="4"/>
  <c r="BS118" i="4"/>
  <c r="BS127" i="4"/>
  <c r="BP121" i="4"/>
  <c r="BQ121" i="4" s="1"/>
  <c r="BP100" i="4"/>
  <c r="BQ100" i="4" s="1"/>
  <c r="BS120" i="4"/>
  <c r="BP122" i="4"/>
  <c r="BQ122" i="4" s="1"/>
  <c r="BP106" i="4"/>
  <c r="BQ106" i="4" s="1"/>
  <c r="BP80" i="4"/>
  <c r="BQ80" i="4" s="1"/>
  <c r="BE92" i="4"/>
  <c r="BF92" i="4" s="1"/>
  <c r="BE59" i="4"/>
  <c r="BF59" i="4" s="1"/>
  <c r="BE16" i="4"/>
  <c r="BF16" i="4" s="1"/>
  <c r="BE111" i="4"/>
  <c r="BF111" i="4" s="1"/>
  <c r="BE79" i="4"/>
  <c r="BF79" i="4" s="1"/>
  <c r="BE24" i="4"/>
  <c r="BF24" i="4" s="1"/>
  <c r="BE42" i="4"/>
  <c r="BF42" i="4" s="1"/>
  <c r="BE110" i="4"/>
  <c r="BF110" i="4" s="1"/>
  <c r="BE43" i="4"/>
  <c r="BF43" i="4" s="1"/>
  <c r="BE61" i="4"/>
  <c r="BF61" i="4" s="1"/>
  <c r="BE46" i="4"/>
  <c r="BF46" i="4" s="1"/>
  <c r="BE19" i="4"/>
  <c r="BF19" i="4" s="1"/>
  <c r="BE37" i="4"/>
  <c r="BF37" i="4" s="1"/>
  <c r="BE121" i="4"/>
  <c r="BF121" i="4" s="1"/>
  <c r="BE154" i="4"/>
  <c r="BF154" i="4" s="1"/>
  <c r="BE73" i="4"/>
  <c r="BF73" i="4" s="1"/>
  <c r="BE49" i="4"/>
  <c r="BF49" i="4" s="1"/>
  <c r="BE118" i="4"/>
  <c r="BF118" i="4" s="1"/>
  <c r="BE152" i="4"/>
  <c r="BF152" i="4" s="1"/>
  <c r="BE12" i="4"/>
  <c r="BF12" i="4" s="1"/>
  <c r="BE89" i="4"/>
  <c r="BF89" i="4" s="1"/>
  <c r="BE47" i="4"/>
  <c r="BF47" i="4" s="1"/>
  <c r="BE150" i="4"/>
  <c r="BF150" i="4" s="1"/>
  <c r="BE65" i="4"/>
  <c r="BF65" i="4" s="1"/>
  <c r="BE149" i="4"/>
  <c r="BF149" i="4" s="1"/>
  <c r="BE50" i="4"/>
  <c r="BF50" i="4" s="1"/>
  <c r="BE142" i="4"/>
  <c r="BF142" i="4" s="1"/>
  <c r="BE17" i="4"/>
  <c r="BF17" i="4" s="1"/>
  <c r="BE139" i="4"/>
  <c r="BF139" i="4" s="1"/>
  <c r="BE8" i="4"/>
  <c r="BF8" i="4" s="1"/>
  <c r="BH8" i="4"/>
  <c r="AF8" i="4"/>
  <c r="AG17" i="4"/>
  <c r="AG157" i="4"/>
  <c r="AF157" i="4"/>
  <c r="AF26" i="4"/>
  <c r="AG26" i="4"/>
  <c r="AG8" i="4"/>
  <c r="AG47" i="4"/>
  <c r="AG91" i="4"/>
  <c r="AG31" i="4"/>
  <c r="AG129" i="4"/>
  <c r="AG76" i="4"/>
  <c r="AG11" i="4"/>
  <c r="AG143" i="4"/>
  <c r="AG41" i="4"/>
  <c r="AG118" i="4"/>
  <c r="AG124" i="4"/>
  <c r="AG146" i="4"/>
  <c r="AG126" i="4"/>
  <c r="AG102" i="4"/>
  <c r="AG148" i="4"/>
  <c r="AG138" i="4"/>
  <c r="AG15" i="4"/>
  <c r="AG105" i="4"/>
  <c r="AG120" i="4"/>
  <c r="AG20" i="4"/>
  <c r="AG38" i="4"/>
  <c r="AG56" i="4"/>
  <c r="AG69" i="4"/>
  <c r="AG96" i="4"/>
  <c r="AG133" i="4"/>
  <c r="AG65" i="4"/>
  <c r="AG35" i="4"/>
  <c r="AG104" i="4"/>
  <c r="AG34" i="4"/>
  <c r="AG88" i="4"/>
  <c r="AG77" i="4"/>
  <c r="AG55" i="4"/>
  <c r="AG59" i="4"/>
  <c r="AG14" i="4"/>
  <c r="AG154" i="4"/>
  <c r="AG21" i="4"/>
  <c r="AG95" i="4"/>
  <c r="AG61" i="4"/>
  <c r="AG62" i="4"/>
  <c r="AG150" i="4"/>
  <c r="AG32" i="4"/>
  <c r="AG114" i="4"/>
  <c r="AG100" i="4"/>
  <c r="AG136" i="4"/>
  <c r="AG135" i="4"/>
  <c r="AG22" i="4"/>
  <c r="AG81" i="4"/>
  <c r="AG149" i="4"/>
  <c r="AG66" i="4"/>
  <c r="AG131" i="4"/>
  <c r="AG12" i="4"/>
  <c r="AG23" i="4"/>
  <c r="AG153" i="4"/>
  <c r="AG113" i="4"/>
  <c r="AG125" i="4"/>
  <c r="AG107" i="4"/>
  <c r="AG111" i="4"/>
  <c r="AG49" i="4"/>
  <c r="AG48" i="4"/>
  <c r="AG87" i="4"/>
  <c r="AG108" i="4"/>
  <c r="AG117" i="4"/>
  <c r="AG97" i="4"/>
  <c r="AG99" i="4"/>
  <c r="AG57" i="4"/>
  <c r="AG58" i="4"/>
  <c r="AG52" i="4"/>
  <c r="AG13" i="4"/>
  <c r="AG74" i="4"/>
  <c r="AG127" i="4"/>
  <c r="AG94" i="4"/>
  <c r="AG53" i="4"/>
  <c r="AG85" i="4"/>
  <c r="AG78" i="4"/>
  <c r="AG63" i="4"/>
  <c r="AG121" i="4"/>
  <c r="AG115" i="4"/>
  <c r="AG7" i="4"/>
  <c r="AG10" i="4"/>
  <c r="AG139" i="4"/>
  <c r="AG24" i="4"/>
  <c r="AG140" i="4"/>
  <c r="AG122" i="4"/>
  <c r="AG144" i="4"/>
  <c r="AG101" i="4"/>
  <c r="AG19" i="4"/>
  <c r="AG79" i="4"/>
  <c r="AG36" i="4"/>
  <c r="AG44" i="4"/>
  <c r="AG75" i="4"/>
  <c r="AG16" i="4"/>
  <c r="AG92" i="4"/>
  <c r="AG70" i="4"/>
  <c r="AG106" i="4"/>
  <c r="AG71" i="4"/>
  <c r="AG50" i="4"/>
  <c r="AG68" i="4"/>
  <c r="AG80" i="4"/>
  <c r="AG29" i="4"/>
  <c r="AG82" i="4"/>
  <c r="AG98" i="4"/>
  <c r="AG42" i="4"/>
  <c r="AG123" i="4"/>
  <c r="AG45" i="4"/>
  <c r="AG137" i="4"/>
  <c r="AG156" i="4"/>
  <c r="AG60" i="4"/>
  <c r="AG39" i="4"/>
  <c r="AG28" i="4"/>
  <c r="AG86" i="4"/>
  <c r="AG30" i="4"/>
  <c r="AG9" i="4"/>
  <c r="AG93" i="4"/>
  <c r="AG73" i="4"/>
  <c r="AG142" i="4"/>
  <c r="AG67" i="4"/>
  <c r="AG64" i="4"/>
  <c r="AG119" i="4"/>
  <c r="AG110" i="4"/>
  <c r="AG83" i="4"/>
  <c r="AG155" i="4"/>
  <c r="AG27" i="4"/>
  <c r="AG89" i="4"/>
  <c r="AG145" i="4"/>
  <c r="AG51" i="4"/>
  <c r="AG152" i="4"/>
  <c r="AG90" i="4"/>
  <c r="AG46" i="4"/>
  <c r="AG151" i="4"/>
  <c r="AG134" i="4"/>
  <c r="AG84" i="4"/>
  <c r="AG43" i="4"/>
  <c r="AG132" i="4"/>
  <c r="AG128" i="4"/>
  <c r="AG33" i="4"/>
  <c r="AG103" i="4"/>
  <c r="AG141" i="4"/>
  <c r="AG130" i="4"/>
  <c r="AG18" i="4"/>
  <c r="AG116" i="4"/>
  <c r="AG54" i="4"/>
  <c r="AG40" i="4"/>
  <c r="AG37" i="4"/>
  <c r="AG109" i="4"/>
  <c r="AG147" i="4"/>
  <c r="AG112" i="4"/>
  <c r="AG72" i="4"/>
  <c r="B167" i="2"/>
  <c r="B50" i="3"/>
  <c r="B165" i="2" s="1"/>
  <c r="B164" i="2"/>
  <c r="B163" i="2"/>
  <c r="B162" i="2"/>
  <c r="B161" i="2"/>
  <c r="B157" i="2"/>
  <c r="B45" i="3"/>
  <c r="B155" i="2" s="1"/>
  <c r="B158" i="2" l="1"/>
  <c r="B166" i="2"/>
  <c r="H54" i="1" s="1"/>
  <c r="B168" i="2"/>
  <c r="B253" i="2"/>
  <c r="B36" i="3"/>
  <c r="O548" i="5"/>
  <c r="O549" i="5"/>
  <c r="O550" i="5"/>
  <c r="O551" i="5"/>
  <c r="O552" i="5"/>
  <c r="O553" i="5"/>
  <c r="O554" i="5"/>
  <c r="O555" i="5"/>
  <c r="O556" i="5"/>
  <c r="O557" i="5"/>
  <c r="O558" i="5"/>
  <c r="O559" i="5"/>
  <c r="O560" i="5"/>
  <c r="O537" i="5"/>
  <c r="O538" i="5"/>
  <c r="O539" i="5"/>
  <c r="O540" i="5"/>
  <c r="O541" i="5"/>
  <c r="O542" i="5"/>
  <c r="O543" i="5"/>
  <c r="O544" i="5"/>
  <c r="O545" i="5"/>
  <c r="O546" i="5"/>
  <c r="O547" i="5"/>
  <c r="O520" i="5"/>
  <c r="O521" i="5"/>
  <c r="O522" i="5"/>
  <c r="O523" i="5"/>
  <c r="O524" i="5"/>
  <c r="O525" i="5"/>
  <c r="O526" i="5"/>
  <c r="O527" i="5"/>
  <c r="O528" i="5"/>
  <c r="O529" i="5"/>
  <c r="O530" i="5"/>
  <c r="O531" i="5"/>
  <c r="O532" i="5"/>
  <c r="O533" i="5"/>
  <c r="O534" i="5"/>
  <c r="O535" i="5"/>
  <c r="O536" i="5"/>
  <c r="O5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4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3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2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1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9" i="5"/>
  <c r="O8" i="10" l="1"/>
  <c r="O7" i="10"/>
  <c r="O8" i="5"/>
  <c r="O7" i="5"/>
  <c r="B169" i="2"/>
  <c r="H56" i="1"/>
  <c r="B170" i="2"/>
  <c r="B259" i="2"/>
  <c r="AP8" i="10" l="1"/>
  <c r="AM8" i="10"/>
  <c r="AG8" i="10"/>
  <c r="AJ8" i="10"/>
  <c r="AM7" i="10"/>
  <c r="AG7" i="10"/>
  <c r="AP7" i="10"/>
  <c r="AJ7" i="10"/>
  <c r="B36" i="5"/>
  <c r="AL8" i="10" l="1"/>
  <c r="AK8" i="10"/>
  <c r="AR7" i="10"/>
  <c r="AQ7" i="10"/>
  <c r="AI8" i="10"/>
  <c r="AH8" i="10"/>
  <c r="AL7" i="10"/>
  <c r="AK7" i="10"/>
  <c r="AH7" i="10"/>
  <c r="AI7" i="10"/>
  <c r="AN8" i="10"/>
  <c r="AO8" i="10"/>
  <c r="AS8" i="10"/>
  <c r="AO7" i="10"/>
  <c r="AN7" i="10"/>
  <c r="AS7" i="10"/>
  <c r="AR8" i="10"/>
  <c r="AQ8" i="10"/>
  <c r="B238" i="2"/>
  <c r="B63" i="5" s="1"/>
  <c r="B240" i="2"/>
  <c r="B64" i="5" s="1"/>
  <c r="B270" i="2"/>
  <c r="B272" i="2"/>
  <c r="B268" i="2"/>
  <c r="B33" i="5"/>
  <c r="AT8" i="10" l="1"/>
  <c r="AU8" i="10"/>
  <c r="AU7" i="10"/>
  <c r="AT7" i="10"/>
  <c r="B65" i="5"/>
  <c r="B67" i="5"/>
  <c r="B67" i="10"/>
  <c r="B69" i="5"/>
  <c r="AF7" i="5" s="1"/>
  <c r="B66" i="5"/>
  <c r="B71" i="5"/>
  <c r="B72" i="5"/>
  <c r="AJ7" i="5" s="1"/>
  <c r="B70" i="5"/>
  <c r="AM7" i="5" s="1"/>
  <c r="B131" i="2"/>
  <c r="B151" i="2" s="1"/>
  <c r="B130" i="2"/>
  <c r="B150" i="2" s="1"/>
  <c r="B126" i="2"/>
  <c r="B115" i="2"/>
  <c r="B110" i="2"/>
  <c r="B109" i="2"/>
  <c r="I231" i="2" s="1"/>
  <c r="B29" i="3"/>
  <c r="B27" i="3"/>
  <c r="B93" i="2"/>
  <c r="B34" i="10" l="1"/>
  <c r="B34" i="5"/>
  <c r="B31" i="10"/>
  <c r="B48" i="10"/>
  <c r="B156" i="2"/>
  <c r="B32" i="10"/>
  <c r="AP544" i="10"/>
  <c r="AP540" i="10"/>
  <c r="AP543" i="10"/>
  <c r="AP539" i="10"/>
  <c r="AP519" i="10"/>
  <c r="AP515" i="10"/>
  <c r="AP534" i="10"/>
  <c r="AP499" i="10"/>
  <c r="AP495" i="10"/>
  <c r="AP518" i="10"/>
  <c r="AP486" i="10"/>
  <c r="AP505" i="10"/>
  <c r="AP489" i="10"/>
  <c r="AP514" i="10"/>
  <c r="AP479" i="10"/>
  <c r="AP475" i="10"/>
  <c r="AP471" i="10"/>
  <c r="AP467" i="10"/>
  <c r="AP463" i="10"/>
  <c r="AP459" i="10"/>
  <c r="AP455" i="10"/>
  <c r="AP452" i="10"/>
  <c r="AP448" i="10"/>
  <c r="AP444" i="10"/>
  <c r="AP440" i="10"/>
  <c r="AP434" i="10"/>
  <c r="AP498" i="10"/>
  <c r="AP431" i="10"/>
  <c r="AP385" i="10"/>
  <c r="AP367" i="10"/>
  <c r="AP363" i="10"/>
  <c r="AP383" i="10"/>
  <c r="AP375" i="10"/>
  <c r="AP306" i="10"/>
  <c r="AP429" i="10"/>
  <c r="AP425" i="10"/>
  <c r="AP421" i="10"/>
  <c r="AP417" i="10"/>
  <c r="AP413" i="10"/>
  <c r="AP409" i="10"/>
  <c r="AP405" i="10"/>
  <c r="AP401" i="10"/>
  <c r="AP397" i="10"/>
  <c r="AP393" i="10"/>
  <c r="AP389" i="10"/>
  <c r="AP302" i="10"/>
  <c r="AP301" i="10"/>
  <c r="AP379" i="10"/>
  <c r="AP371" i="10"/>
  <c r="AP241" i="10"/>
  <c r="AP237" i="10"/>
  <c r="AP233" i="10"/>
  <c r="AP229" i="10"/>
  <c r="AP225" i="10"/>
  <c r="AP221" i="10"/>
  <c r="AP217" i="10"/>
  <c r="AP213" i="10"/>
  <c r="AP209" i="10"/>
  <c r="AP297" i="10"/>
  <c r="AP293" i="10"/>
  <c r="AP289" i="10"/>
  <c r="AP285" i="10"/>
  <c r="AP281" i="10"/>
  <c r="AP277" i="10"/>
  <c r="AP273" i="10"/>
  <c r="AP269" i="10"/>
  <c r="AP265" i="10"/>
  <c r="AP261" i="10"/>
  <c r="AP257" i="10"/>
  <c r="AP253" i="10"/>
  <c r="AP249" i="10"/>
  <c r="AP245" i="10"/>
  <c r="AP242" i="10"/>
  <c r="AP238" i="10"/>
  <c r="AP234" i="10"/>
  <c r="AP230" i="10"/>
  <c r="AP226" i="10"/>
  <c r="AP222" i="10"/>
  <c r="AP218" i="10"/>
  <c r="AP214" i="10"/>
  <c r="AP210" i="10"/>
  <c r="AP205" i="10"/>
  <c r="AP201" i="10"/>
  <c r="AP197" i="10"/>
  <c r="AP193" i="10"/>
  <c r="AP189" i="10"/>
  <c r="AP185" i="10"/>
  <c r="AP181" i="10"/>
  <c r="AP177" i="10"/>
  <c r="AP173" i="10"/>
  <c r="AP169" i="10"/>
  <c r="AP165" i="10"/>
  <c r="AP240" i="10"/>
  <c r="AP236" i="10"/>
  <c r="AP232" i="10"/>
  <c r="AP228" i="10"/>
  <c r="AP224" i="10"/>
  <c r="AP220" i="10"/>
  <c r="AP216" i="10"/>
  <c r="AP212" i="10"/>
  <c r="AP202" i="10"/>
  <c r="AP266" i="10"/>
  <c r="AP258" i="10"/>
  <c r="AP158" i="10"/>
  <c r="AP146" i="10"/>
  <c r="AP142" i="10"/>
  <c r="AP138" i="10"/>
  <c r="AP130" i="10"/>
  <c r="AP126" i="10"/>
  <c r="AP122" i="10"/>
  <c r="AP118" i="10"/>
  <c r="AP114" i="10"/>
  <c r="AP110" i="10"/>
  <c r="AP106" i="10"/>
  <c r="AP294" i="10"/>
  <c r="AP286" i="10"/>
  <c r="AP278" i="10"/>
  <c r="AP270" i="10"/>
  <c r="AP262" i="10"/>
  <c r="AP254" i="10"/>
  <c r="AP246" i="10"/>
  <c r="O12" i="10"/>
  <c r="AP298" i="10"/>
  <c r="AP150" i="10"/>
  <c r="AP134" i="10"/>
  <c r="AP102" i="10"/>
  <c r="AP206" i="10"/>
  <c r="AP198" i="10"/>
  <c r="AP192" i="10"/>
  <c r="AP188" i="10"/>
  <c r="AP184" i="10"/>
  <c r="AP180" i="10"/>
  <c r="AP176" i="10"/>
  <c r="AP172" i="10"/>
  <c r="AP168" i="10"/>
  <c r="AP164" i="10"/>
  <c r="AP61" i="10"/>
  <c r="AP290" i="10"/>
  <c r="AP282" i="10"/>
  <c r="AP274" i="10"/>
  <c r="AP250" i="10"/>
  <c r="AP162" i="10"/>
  <c r="AP154" i="10"/>
  <c r="AP40" i="10"/>
  <c r="AP34" i="10"/>
  <c r="AP21" i="10"/>
  <c r="AP37" i="10"/>
  <c r="AP32" i="10"/>
  <c r="AP30" i="10"/>
  <c r="AP27" i="10"/>
  <c r="AP20" i="10"/>
  <c r="AP36" i="10"/>
  <c r="AP46" i="10"/>
  <c r="AP42" i="10"/>
  <c r="AP81" i="10"/>
  <c r="AP45" i="10"/>
  <c r="AP52" i="10"/>
  <c r="AP70" i="10"/>
  <c r="AP86" i="10"/>
  <c r="AP101" i="10"/>
  <c r="AP117" i="10"/>
  <c r="AP133" i="10"/>
  <c r="AP149" i="10"/>
  <c r="AP200" i="10"/>
  <c r="AP63" i="10"/>
  <c r="AP71" i="10"/>
  <c r="AP87" i="10"/>
  <c r="AP166" i="10"/>
  <c r="AP174" i="10"/>
  <c r="AP182" i="10"/>
  <c r="AP190" i="10"/>
  <c r="AP97" i="10"/>
  <c r="AP28" i="10"/>
  <c r="AP39" i="10"/>
  <c r="AP68" i="10"/>
  <c r="AP76" i="10"/>
  <c r="AP92" i="10"/>
  <c r="AP111" i="10"/>
  <c r="AP127" i="10"/>
  <c r="AP135" i="10"/>
  <c r="AP151" i="10"/>
  <c r="AP175" i="10"/>
  <c r="AP191" i="10"/>
  <c r="AP207" i="10"/>
  <c r="AP104" i="10"/>
  <c r="AP112" i="10"/>
  <c r="AP120" i="10"/>
  <c r="AP128" i="10"/>
  <c r="AP136" i="10"/>
  <c r="AP144" i="10"/>
  <c r="AP152" i="10"/>
  <c r="AP160" i="10"/>
  <c r="AP219" i="10"/>
  <c r="AP235" i="10"/>
  <c r="AP323" i="10"/>
  <c r="AP339" i="10"/>
  <c r="AP355" i="10"/>
  <c r="AP251" i="10"/>
  <c r="AP259" i="10"/>
  <c r="AP267" i="10"/>
  <c r="AP275" i="10"/>
  <c r="AP283" i="10"/>
  <c r="AP291" i="10"/>
  <c r="AP299" i="10"/>
  <c r="AP312" i="10"/>
  <c r="AP328" i="10"/>
  <c r="AP344" i="10"/>
  <c r="AP364" i="10"/>
  <c r="AP307" i="10"/>
  <c r="AP313" i="10"/>
  <c r="AP321" i="10"/>
  <c r="AP329" i="10"/>
  <c r="AP337" i="10"/>
  <c r="AP345" i="10"/>
  <c r="AP353" i="10"/>
  <c r="AP365" i="10"/>
  <c r="AP369" i="10"/>
  <c r="AP439" i="10"/>
  <c r="AP380" i="10"/>
  <c r="AP438" i="10"/>
  <c r="AP435" i="10"/>
  <c r="AP382" i="10"/>
  <c r="AP398" i="10"/>
  <c r="AP414" i="10"/>
  <c r="AP430" i="10"/>
  <c r="AP445" i="10"/>
  <c r="AP469" i="10"/>
  <c r="AP399" i="10"/>
  <c r="AP415" i="10"/>
  <c r="AP388" i="10"/>
  <c r="AP396" i="10"/>
  <c r="AP404" i="10"/>
  <c r="AP412" i="10"/>
  <c r="AP420" i="10"/>
  <c r="AP464" i="10"/>
  <c r="AP478" i="10"/>
  <c r="AP458" i="10"/>
  <c r="AP466" i="10"/>
  <c r="AP490" i="10"/>
  <c r="AP494" i="10"/>
  <c r="AP501" i="10"/>
  <c r="AP473" i="10"/>
  <c r="AP477" i="10"/>
  <c r="AP481" i="10"/>
  <c r="AP485" i="10"/>
  <c r="AP522" i="10"/>
  <c r="AP491" i="10"/>
  <c r="AP509" i="10"/>
  <c r="AP510" i="10"/>
  <c r="AP526" i="10"/>
  <c r="AP541" i="10"/>
  <c r="AP537" i="10"/>
  <c r="AP528" i="10"/>
  <c r="AP545" i="10"/>
  <c r="AP551" i="10"/>
  <c r="AP550" i="10"/>
  <c r="AP536" i="10"/>
  <c r="AP556" i="10"/>
  <c r="AP555" i="10"/>
  <c r="AP557" i="10"/>
  <c r="AP559" i="10"/>
  <c r="AP215" i="10"/>
  <c r="AP319" i="10"/>
  <c r="AP373" i="10"/>
  <c r="AP300" i="10"/>
  <c r="AP322" i="10"/>
  <c r="AP354" i="10"/>
  <c r="AP376" i="10"/>
  <c r="AP410" i="10"/>
  <c r="AP411" i="10"/>
  <c r="AP427" i="10"/>
  <c r="AP496" i="10"/>
  <c r="AP492" i="10"/>
  <c r="AP503" i="10"/>
  <c r="AP516" i="10"/>
  <c r="AP529" i="10"/>
  <c r="AP513" i="10"/>
  <c r="AP511" i="10"/>
  <c r="AP554" i="10"/>
  <c r="AP24" i="10"/>
  <c r="AP44" i="10"/>
  <c r="AP69" i="10"/>
  <c r="AP93" i="10"/>
  <c r="AP74" i="10"/>
  <c r="AP90" i="10"/>
  <c r="AP105" i="10"/>
  <c r="AP121" i="10"/>
  <c r="AP137" i="10"/>
  <c r="AP153" i="10"/>
  <c r="AP66" i="10"/>
  <c r="AP85" i="10"/>
  <c r="AP43" i="10"/>
  <c r="AP58" i="10"/>
  <c r="AP67" i="10"/>
  <c r="AP83" i="10"/>
  <c r="AP99" i="10"/>
  <c r="AP196" i="10"/>
  <c r="AP49" i="10"/>
  <c r="AP23" i="10"/>
  <c r="AP33" i="10"/>
  <c r="AP80" i="10"/>
  <c r="AP96" i="10"/>
  <c r="AP115" i="10"/>
  <c r="AP208" i="10"/>
  <c r="AP147" i="10"/>
  <c r="AP163" i="10"/>
  <c r="AP179" i="10"/>
  <c r="AP195" i="10"/>
  <c r="AP252" i="10"/>
  <c r="AP260" i="10"/>
  <c r="AP268" i="10"/>
  <c r="AP276" i="10"/>
  <c r="AP284" i="10"/>
  <c r="AP292" i="10"/>
  <c r="AP244" i="10"/>
  <c r="AP223" i="10"/>
  <c r="AP239" i="10"/>
  <c r="AP305" i="10"/>
  <c r="AP311" i="10"/>
  <c r="AP327" i="10"/>
  <c r="AP343" i="10"/>
  <c r="AP359" i="10"/>
  <c r="AP304" i="10"/>
  <c r="AP377" i="10"/>
  <c r="AP316" i="10"/>
  <c r="AP332" i="10"/>
  <c r="AP348" i="10"/>
  <c r="AP361" i="10"/>
  <c r="AP443" i="10"/>
  <c r="AP310" i="10"/>
  <c r="AP318" i="10"/>
  <c r="AP326" i="10"/>
  <c r="AP334" i="10"/>
  <c r="AP342" i="10"/>
  <c r="AP350" i="10"/>
  <c r="AP358" i="10"/>
  <c r="AP370" i="10"/>
  <c r="AP386" i="10"/>
  <c r="AP402" i="10"/>
  <c r="AP418" i="10"/>
  <c r="AP433" i="10"/>
  <c r="AP449" i="10"/>
  <c r="AP461" i="10"/>
  <c r="AP403" i="10"/>
  <c r="AP419" i="10"/>
  <c r="AP457" i="10"/>
  <c r="AP468" i="10"/>
  <c r="AP482" i="10"/>
  <c r="AP442" i="10"/>
  <c r="AP502" i="10"/>
  <c r="AP508" i="10"/>
  <c r="AP483" i="10"/>
  <c r="AP512" i="10"/>
  <c r="AP476" i="10"/>
  <c r="AP484" i="10"/>
  <c r="AP520" i="10"/>
  <c r="AP500" i="10"/>
  <c r="AP527" i="10"/>
  <c r="AP532" i="10"/>
  <c r="AP549" i="10"/>
  <c r="AP533" i="10"/>
  <c r="AP535" i="10"/>
  <c r="AP553" i="10"/>
  <c r="AP548" i="10"/>
  <c r="AP231" i="10"/>
  <c r="AP351" i="10"/>
  <c r="AP324" i="10"/>
  <c r="AP436" i="10"/>
  <c r="AP451" i="10"/>
  <c r="AP338" i="10"/>
  <c r="AP366" i="10"/>
  <c r="AP378" i="10"/>
  <c r="AP426" i="10"/>
  <c r="AP395" i="10"/>
  <c r="AP424" i="10"/>
  <c r="AP474" i="10"/>
  <c r="AP450" i="10"/>
  <c r="AP480" i="10"/>
  <c r="AP488" i="10"/>
  <c r="AP531" i="10"/>
  <c r="AP547" i="10"/>
  <c r="AP26" i="10"/>
  <c r="AP62" i="10"/>
  <c r="AP53" i="10"/>
  <c r="AP55" i="10"/>
  <c r="AP47" i="10"/>
  <c r="AP73" i="10"/>
  <c r="AP38" i="10"/>
  <c r="AP50" i="10"/>
  <c r="AP54" i="10"/>
  <c r="AP57" i="10"/>
  <c r="AP78" i="10"/>
  <c r="AP94" i="10"/>
  <c r="AP109" i="10"/>
  <c r="AP125" i="10"/>
  <c r="AP141" i="10"/>
  <c r="AP157" i="10"/>
  <c r="AP89" i="10"/>
  <c r="AP22" i="10"/>
  <c r="AP60" i="10"/>
  <c r="AP64" i="10"/>
  <c r="AP79" i="10"/>
  <c r="AP95" i="10"/>
  <c r="AP170" i="10"/>
  <c r="AP178" i="10"/>
  <c r="AP186" i="10"/>
  <c r="AP194" i="10"/>
  <c r="AP204" i="10"/>
  <c r="AP25" i="10"/>
  <c r="AP35" i="10"/>
  <c r="AP41" i="10"/>
  <c r="AP84" i="10"/>
  <c r="AP103" i="10"/>
  <c r="AP119" i="10"/>
  <c r="AP143" i="10"/>
  <c r="AP159" i="10"/>
  <c r="AP167" i="10"/>
  <c r="AP183" i="10"/>
  <c r="AP199" i="10"/>
  <c r="AP100" i="10"/>
  <c r="AP108" i="10"/>
  <c r="AP116" i="10"/>
  <c r="AP124" i="10"/>
  <c r="AP132" i="10"/>
  <c r="AP140" i="10"/>
  <c r="AP148" i="10"/>
  <c r="AP156" i="10"/>
  <c r="AP211" i="10"/>
  <c r="AP227" i="10"/>
  <c r="AP243" i="10"/>
  <c r="AP315" i="10"/>
  <c r="AP331" i="10"/>
  <c r="AP347" i="10"/>
  <c r="AP381" i="10"/>
  <c r="AP247" i="10"/>
  <c r="AP255" i="10"/>
  <c r="AP263" i="10"/>
  <c r="AP271" i="10"/>
  <c r="AP279" i="10"/>
  <c r="AP287" i="10"/>
  <c r="AP295" i="10"/>
  <c r="AP303" i="10"/>
  <c r="AP320" i="10"/>
  <c r="AP336" i="10"/>
  <c r="AP352" i="10"/>
  <c r="AP360" i="10"/>
  <c r="AP368" i="10"/>
  <c r="AP432" i="10"/>
  <c r="AP309" i="10"/>
  <c r="AP317" i="10"/>
  <c r="AP325" i="10"/>
  <c r="AP333" i="10"/>
  <c r="AP341" i="10"/>
  <c r="AP349" i="10"/>
  <c r="AP357" i="10"/>
  <c r="AP447" i="10"/>
  <c r="AP362" i="10"/>
  <c r="AP372" i="10"/>
  <c r="AP428" i="10"/>
  <c r="AP374" i="10"/>
  <c r="AP390" i="10"/>
  <c r="AP406" i="10"/>
  <c r="AP422" i="10"/>
  <c r="AP437" i="10"/>
  <c r="AP453" i="10"/>
  <c r="AP391" i="10"/>
  <c r="AP407" i="10"/>
  <c r="AP423" i="10"/>
  <c r="AP384" i="10"/>
  <c r="AP392" i="10"/>
  <c r="AP400" i="10"/>
  <c r="AP408" i="10"/>
  <c r="AP416" i="10"/>
  <c r="AP456" i="10"/>
  <c r="AP446" i="10"/>
  <c r="AP454" i="10"/>
  <c r="AP462" i="10"/>
  <c r="AP470" i="10"/>
  <c r="AP493" i="10"/>
  <c r="AP497" i="10"/>
  <c r="AP506" i="10"/>
  <c r="AP525" i="10"/>
  <c r="AP504" i="10"/>
  <c r="AP517" i="10"/>
  <c r="AP523" i="10"/>
  <c r="AP524" i="10"/>
  <c r="AP538" i="10"/>
  <c r="AP552" i="10"/>
  <c r="AP542" i="10"/>
  <c r="AP558" i="10"/>
  <c r="AP29" i="10"/>
  <c r="AP51" i="10"/>
  <c r="AP59" i="10"/>
  <c r="AP56" i="10"/>
  <c r="AP77" i="10"/>
  <c r="AP82" i="10"/>
  <c r="AP98" i="10"/>
  <c r="AP113" i="10"/>
  <c r="AP129" i="10"/>
  <c r="AP145" i="10"/>
  <c r="AP161" i="10"/>
  <c r="AP48" i="10"/>
  <c r="AP65" i="10"/>
  <c r="AP75" i="10"/>
  <c r="AP91" i="10"/>
  <c r="AP31" i="10"/>
  <c r="AP72" i="10"/>
  <c r="AP88" i="10"/>
  <c r="AP107" i="10"/>
  <c r="AP123" i="10"/>
  <c r="AP131" i="10"/>
  <c r="AP139" i="10"/>
  <c r="AP155" i="10"/>
  <c r="AP171" i="10"/>
  <c r="AP187" i="10"/>
  <c r="AP203" i="10"/>
  <c r="AP248" i="10"/>
  <c r="AP256" i="10"/>
  <c r="AP264" i="10"/>
  <c r="AP272" i="10"/>
  <c r="AP280" i="10"/>
  <c r="AP288" i="10"/>
  <c r="AP296" i="10"/>
  <c r="AP335" i="10"/>
  <c r="AP387" i="10"/>
  <c r="AP308" i="10"/>
  <c r="AP340" i="10"/>
  <c r="AP356" i="10"/>
  <c r="AP314" i="10"/>
  <c r="AP330" i="10"/>
  <c r="AP346" i="10"/>
  <c r="AP465" i="10"/>
  <c r="AP394" i="10"/>
  <c r="AP441" i="10"/>
  <c r="AP460" i="10"/>
  <c r="AP472" i="10"/>
  <c r="AP487" i="10"/>
  <c r="AP521" i="10"/>
  <c r="AP507" i="10"/>
  <c r="AP530" i="10"/>
  <c r="AP546" i="10"/>
  <c r="AP560" i="10"/>
  <c r="B19" i="5"/>
  <c r="B19" i="10"/>
  <c r="O13" i="10"/>
  <c r="AF559" i="10"/>
  <c r="AF555" i="10"/>
  <c r="AS555" i="10" s="1"/>
  <c r="AF551" i="10"/>
  <c r="AF558" i="10"/>
  <c r="AF554" i="10"/>
  <c r="AF560" i="10"/>
  <c r="AF556" i="10"/>
  <c r="AF548" i="10"/>
  <c r="AF544" i="10"/>
  <c r="AF540" i="10"/>
  <c r="AF553" i="10"/>
  <c r="AF547" i="10"/>
  <c r="AS547" i="10" s="1"/>
  <c r="AF557" i="10"/>
  <c r="AF552" i="10"/>
  <c r="AF546" i="10"/>
  <c r="AF543" i="10"/>
  <c r="AF539" i="10"/>
  <c r="AF536" i="10"/>
  <c r="AF532" i="10"/>
  <c r="AF542" i="10"/>
  <c r="AF535" i="10"/>
  <c r="AF550" i="10"/>
  <c r="AF549" i="10"/>
  <c r="AS549" i="10" s="1"/>
  <c r="AF545" i="10"/>
  <c r="AF541" i="10"/>
  <c r="AF538" i="10"/>
  <c r="AF534" i="10"/>
  <c r="AF528" i="10"/>
  <c r="AS528" i="10" s="1"/>
  <c r="AF524" i="10"/>
  <c r="AS524" i="10" s="1"/>
  <c r="AF520" i="10"/>
  <c r="AF516" i="10"/>
  <c r="AF537" i="10"/>
  <c r="AF527" i="10"/>
  <c r="AF531" i="10"/>
  <c r="AF530" i="10"/>
  <c r="AF526" i="10"/>
  <c r="AF522" i="10"/>
  <c r="AS522" i="10" s="1"/>
  <c r="AF533" i="10"/>
  <c r="AF518" i="10"/>
  <c r="AF511" i="10"/>
  <c r="AF507" i="10"/>
  <c r="AF503" i="10"/>
  <c r="AF499" i="10"/>
  <c r="AF495" i="10"/>
  <c r="AS495" i="10" s="1"/>
  <c r="AF523" i="10"/>
  <c r="AF521" i="10"/>
  <c r="AF517" i="10"/>
  <c r="AS517" i="10" s="1"/>
  <c r="AF514" i="10"/>
  <c r="AF510" i="10"/>
  <c r="AF506" i="10"/>
  <c r="AF529" i="10"/>
  <c r="AS529" i="10" s="1"/>
  <c r="AF525" i="10"/>
  <c r="AF513" i="10"/>
  <c r="AF509" i="10"/>
  <c r="AF500" i="10"/>
  <c r="AF496" i="10"/>
  <c r="AF519" i="10"/>
  <c r="AF515" i="10"/>
  <c r="AF512" i="10"/>
  <c r="AF508" i="10"/>
  <c r="AF505" i="10"/>
  <c r="AF502" i="10"/>
  <c r="AF498" i="10"/>
  <c r="AF494" i="10"/>
  <c r="AF491" i="10"/>
  <c r="AF487" i="10"/>
  <c r="AF493" i="10"/>
  <c r="AF492" i="10"/>
  <c r="AF488" i="10"/>
  <c r="AF485" i="10"/>
  <c r="AF481" i="10"/>
  <c r="AS481" i="10" s="1"/>
  <c r="AF477" i="10"/>
  <c r="AF473" i="10"/>
  <c r="AS473" i="10" s="1"/>
  <c r="AF469" i="10"/>
  <c r="AS469" i="10" s="1"/>
  <c r="AF465" i="10"/>
  <c r="AS465" i="10" s="1"/>
  <c r="AF461" i="10"/>
  <c r="AF457" i="10"/>
  <c r="AF484" i="10"/>
  <c r="AF480" i="10"/>
  <c r="AF476" i="10"/>
  <c r="AF472" i="10"/>
  <c r="AF501" i="10"/>
  <c r="AF497" i="10"/>
  <c r="AF490" i="10"/>
  <c r="AF486" i="10"/>
  <c r="AF483" i="10"/>
  <c r="AF479" i="10"/>
  <c r="AF475" i="10"/>
  <c r="AF471" i="10"/>
  <c r="AF504" i="10"/>
  <c r="AS504" i="10" s="1"/>
  <c r="AF467" i="10"/>
  <c r="AF463" i="10"/>
  <c r="AF459" i="10"/>
  <c r="AF455" i="10"/>
  <c r="AF450" i="10"/>
  <c r="AF446" i="10"/>
  <c r="AF442" i="10"/>
  <c r="AF489" i="10"/>
  <c r="AF470" i="10"/>
  <c r="AF466" i="10"/>
  <c r="AF462" i="10"/>
  <c r="AF458" i="10"/>
  <c r="AF454" i="10"/>
  <c r="AS454" i="10" s="1"/>
  <c r="AF453" i="10"/>
  <c r="AS453" i="10" s="1"/>
  <c r="AF449" i="10"/>
  <c r="AS449" i="10" s="1"/>
  <c r="AF445" i="10"/>
  <c r="AF441" i="10"/>
  <c r="AF482" i="10"/>
  <c r="AF478" i="10"/>
  <c r="AF474" i="10"/>
  <c r="AF452" i="10"/>
  <c r="AF448" i="10"/>
  <c r="AF444" i="10"/>
  <c r="AF440" i="10"/>
  <c r="AF436" i="10"/>
  <c r="AF432" i="10"/>
  <c r="AF438" i="10"/>
  <c r="AF435" i="10"/>
  <c r="AF431" i="10"/>
  <c r="AS431" i="10" s="1"/>
  <c r="AF429" i="10"/>
  <c r="AF425" i="10"/>
  <c r="AF421" i="10"/>
  <c r="AF417" i="10"/>
  <c r="AF413" i="10"/>
  <c r="AF409" i="10"/>
  <c r="AF405" i="10"/>
  <c r="AF401" i="10"/>
  <c r="AF397" i="10"/>
  <c r="AF393" i="10"/>
  <c r="AF389" i="10"/>
  <c r="AF385" i="10"/>
  <c r="AF381" i="10"/>
  <c r="AF377" i="10"/>
  <c r="AF373" i="10"/>
  <c r="AF369" i="10"/>
  <c r="AF365" i="10"/>
  <c r="AF361" i="10"/>
  <c r="AF468" i="10"/>
  <c r="AS468" i="10" s="1"/>
  <c r="AF464" i="10"/>
  <c r="AF460" i="10"/>
  <c r="AF456" i="10"/>
  <c r="AF451" i="10"/>
  <c r="AF447" i="10"/>
  <c r="AS447" i="10" s="1"/>
  <c r="AF443" i="10"/>
  <c r="AS443" i="10" s="1"/>
  <c r="AF439" i="10"/>
  <c r="AS439" i="10" s="1"/>
  <c r="AF437" i="10"/>
  <c r="AF433" i="10"/>
  <c r="AF427" i="10"/>
  <c r="AF423" i="10"/>
  <c r="AF419" i="10"/>
  <c r="AF415" i="10"/>
  <c r="AF411" i="10"/>
  <c r="AF407" i="10"/>
  <c r="AF403" i="10"/>
  <c r="AF399" i="10"/>
  <c r="AS399" i="10" s="1"/>
  <c r="AF395" i="10"/>
  <c r="AF391" i="10"/>
  <c r="AF387" i="10"/>
  <c r="AF430" i="10"/>
  <c r="AF426" i="10"/>
  <c r="AS426" i="10" s="1"/>
  <c r="AF422" i="10"/>
  <c r="AF418" i="10"/>
  <c r="AF414" i="10"/>
  <c r="AF410" i="10"/>
  <c r="AS410" i="10" s="1"/>
  <c r="AF406" i="10"/>
  <c r="AS406" i="10" s="1"/>
  <c r="AF402" i="10"/>
  <c r="AF398" i="10"/>
  <c r="AF394" i="10"/>
  <c r="AF390" i="10"/>
  <c r="AF434" i="10"/>
  <c r="AF428" i="10"/>
  <c r="AF424" i="10"/>
  <c r="AF420" i="10"/>
  <c r="AF416" i="10"/>
  <c r="AF412" i="10"/>
  <c r="AF408" i="10"/>
  <c r="AF404" i="10"/>
  <c r="AF400" i="10"/>
  <c r="AF396" i="10"/>
  <c r="AF392" i="10"/>
  <c r="AF388" i="10"/>
  <c r="AS388" i="10" s="1"/>
  <c r="AF386" i="10"/>
  <c r="AF366" i="10"/>
  <c r="AF362" i="10"/>
  <c r="AS362" i="10" s="1"/>
  <c r="AF358" i="10"/>
  <c r="AF354" i="10"/>
  <c r="AS354" i="10" s="1"/>
  <c r="AF350" i="10"/>
  <c r="AF346" i="10"/>
  <c r="AF342" i="10"/>
  <c r="AS342" i="10" s="1"/>
  <c r="AF338" i="10"/>
  <c r="AF334" i="10"/>
  <c r="AF330" i="10"/>
  <c r="AF326" i="10"/>
  <c r="AF322" i="10"/>
  <c r="AF318" i="10"/>
  <c r="AF314" i="10"/>
  <c r="AF310" i="10"/>
  <c r="AF306" i="10"/>
  <c r="AF302" i="10"/>
  <c r="AF298" i="10"/>
  <c r="AF294" i="10"/>
  <c r="AF290" i="10"/>
  <c r="AF286" i="10"/>
  <c r="AS286" i="10" s="1"/>
  <c r="AF282" i="10"/>
  <c r="AF278" i="10"/>
  <c r="AF274" i="10"/>
  <c r="AF270" i="10"/>
  <c r="AF266" i="10"/>
  <c r="AF262" i="10"/>
  <c r="AF258" i="10"/>
  <c r="AF254" i="10"/>
  <c r="AF250" i="10"/>
  <c r="AS250" i="10" s="1"/>
  <c r="AF246" i="10"/>
  <c r="AF382" i="10"/>
  <c r="AF378" i="10"/>
  <c r="AS378" i="10" s="1"/>
  <c r="AF374" i="10"/>
  <c r="AF370" i="10"/>
  <c r="AF357" i="10"/>
  <c r="AF353" i="10"/>
  <c r="AF349" i="10"/>
  <c r="AF345" i="10"/>
  <c r="AS345" i="10" s="1"/>
  <c r="AF341" i="10"/>
  <c r="AF337" i="10"/>
  <c r="AF333" i="10"/>
  <c r="AF329" i="10"/>
  <c r="AF325" i="10"/>
  <c r="AS325" i="10" s="1"/>
  <c r="AF321" i="10"/>
  <c r="AF317" i="10"/>
  <c r="AF313" i="10"/>
  <c r="AF309" i="10"/>
  <c r="AF384" i="10"/>
  <c r="AF356" i="10"/>
  <c r="AF352" i="10"/>
  <c r="AF348" i="10"/>
  <c r="AF344" i="10"/>
  <c r="AF340" i="10"/>
  <c r="AF336" i="10"/>
  <c r="AF332" i="10"/>
  <c r="AF328" i="10"/>
  <c r="AF324" i="10"/>
  <c r="AF320" i="10"/>
  <c r="AF316" i="10"/>
  <c r="AF312" i="10"/>
  <c r="AF308" i="10"/>
  <c r="AF383" i="10"/>
  <c r="AF379" i="10"/>
  <c r="AF375" i="10"/>
  <c r="AF371" i="10"/>
  <c r="AS371" i="10" s="1"/>
  <c r="AF359" i="10"/>
  <c r="AS359" i="10" s="1"/>
  <c r="AF355" i="10"/>
  <c r="AF351" i="10"/>
  <c r="AF347" i="10"/>
  <c r="AF343" i="10"/>
  <c r="AF339" i="10"/>
  <c r="AF335" i="10"/>
  <c r="AS335" i="10" s="1"/>
  <c r="AF331" i="10"/>
  <c r="AF327" i="10"/>
  <c r="AF323" i="10"/>
  <c r="AS323" i="10" s="1"/>
  <c r="AF319" i="10"/>
  <c r="AF315" i="10"/>
  <c r="AF311" i="10"/>
  <c r="AF307" i="10"/>
  <c r="AF305" i="10"/>
  <c r="AF301" i="10"/>
  <c r="AF297" i="10"/>
  <c r="AF293" i="10"/>
  <c r="AF289" i="10"/>
  <c r="AF285" i="10"/>
  <c r="AF281" i="10"/>
  <c r="AF277" i="10"/>
  <c r="AF273" i="10"/>
  <c r="AF269" i="10"/>
  <c r="AF265" i="10"/>
  <c r="AF261" i="10"/>
  <c r="AF257" i="10"/>
  <c r="AF253" i="10"/>
  <c r="AF249" i="10"/>
  <c r="AF245" i="10"/>
  <c r="AF242" i="10"/>
  <c r="AF238" i="10"/>
  <c r="AF234" i="10"/>
  <c r="AF230" i="10"/>
  <c r="AF226" i="10"/>
  <c r="AF222" i="10"/>
  <c r="AF218" i="10"/>
  <c r="AF214" i="10"/>
  <c r="AF210" i="10"/>
  <c r="AF206" i="10"/>
  <c r="AF202" i="10"/>
  <c r="AF198" i="10"/>
  <c r="AF194" i="10"/>
  <c r="AF190" i="10"/>
  <c r="AF186" i="10"/>
  <c r="AS186" i="10" s="1"/>
  <c r="AF182" i="10"/>
  <c r="AF178" i="10"/>
  <c r="AF174" i="10"/>
  <c r="AS174" i="10" s="1"/>
  <c r="AF170" i="10"/>
  <c r="AF166" i="10"/>
  <c r="AF304" i="10"/>
  <c r="AF244" i="10"/>
  <c r="AF240" i="10"/>
  <c r="AF236" i="10"/>
  <c r="AF232" i="10"/>
  <c r="AF228" i="10"/>
  <c r="AF224" i="10"/>
  <c r="AF220" i="10"/>
  <c r="AF216" i="10"/>
  <c r="AF212" i="10"/>
  <c r="AF208" i="10"/>
  <c r="AF204" i="10"/>
  <c r="AF200" i="10"/>
  <c r="AS200" i="10" s="1"/>
  <c r="AF196" i="10"/>
  <c r="AS196" i="10" s="1"/>
  <c r="AF380" i="10"/>
  <c r="AF372" i="10"/>
  <c r="AF368" i="10"/>
  <c r="AF367" i="10"/>
  <c r="AF364" i="10"/>
  <c r="AF363" i="10"/>
  <c r="AS363" i="10" s="1"/>
  <c r="AF360" i="10"/>
  <c r="AF303" i="10"/>
  <c r="AF299" i="10"/>
  <c r="AF295" i="10"/>
  <c r="AF291" i="10"/>
  <c r="AF287" i="10"/>
  <c r="AF283" i="10"/>
  <c r="AF279" i="10"/>
  <c r="AS279" i="10" s="1"/>
  <c r="AF275" i="10"/>
  <c r="AF271" i="10"/>
  <c r="AF267" i="10"/>
  <c r="AF263" i="10"/>
  <c r="AF259" i="10"/>
  <c r="AF255" i="10"/>
  <c r="AF251" i="10"/>
  <c r="AS251" i="10" s="1"/>
  <c r="AF247" i="10"/>
  <c r="AF241" i="10"/>
  <c r="AF237" i="10"/>
  <c r="AF233" i="10"/>
  <c r="AF229" i="10"/>
  <c r="AF225" i="10"/>
  <c r="AF221" i="10"/>
  <c r="AF217" i="10"/>
  <c r="AF213" i="10"/>
  <c r="AF209" i="10"/>
  <c r="AF207" i="10"/>
  <c r="AF203" i="10"/>
  <c r="AF199" i="10"/>
  <c r="AS199" i="10" s="1"/>
  <c r="AF195" i="10"/>
  <c r="AS195" i="10" s="1"/>
  <c r="AF192" i="10"/>
  <c r="AS192" i="10" s="1"/>
  <c r="AF188" i="10"/>
  <c r="AF184" i="10"/>
  <c r="AS184" i="10" s="1"/>
  <c r="AF180" i="10"/>
  <c r="AS180" i="10" s="1"/>
  <c r="AF176" i="10"/>
  <c r="AS176" i="10" s="1"/>
  <c r="AF172" i="10"/>
  <c r="AS172" i="10" s="1"/>
  <c r="AF168" i="10"/>
  <c r="AF164" i="10"/>
  <c r="AF160" i="10"/>
  <c r="AF156" i="10"/>
  <c r="AF152" i="10"/>
  <c r="AS152" i="10" s="1"/>
  <c r="AF148" i="10"/>
  <c r="AF144" i="10"/>
  <c r="AF140" i="10"/>
  <c r="AF136" i="10"/>
  <c r="AF132" i="10"/>
  <c r="AF128" i="10"/>
  <c r="AF124" i="10"/>
  <c r="AF120" i="10"/>
  <c r="AS120" i="10" s="1"/>
  <c r="AF116" i="10"/>
  <c r="AF112" i="10"/>
  <c r="AF108" i="10"/>
  <c r="AF104" i="10"/>
  <c r="AF100" i="10"/>
  <c r="AS100" i="10" s="1"/>
  <c r="AF96" i="10"/>
  <c r="AF92" i="10"/>
  <c r="AF88" i="10"/>
  <c r="AF84" i="10"/>
  <c r="AS84" i="10" s="1"/>
  <c r="AF80" i="10"/>
  <c r="AS80" i="10" s="1"/>
  <c r="AF76" i="10"/>
  <c r="AF72" i="10"/>
  <c r="AS72" i="10" s="1"/>
  <c r="AF70" i="10"/>
  <c r="AF68" i="10"/>
  <c r="AF296" i="10"/>
  <c r="AF292" i="10"/>
  <c r="AF288" i="10"/>
  <c r="AF284" i="10"/>
  <c r="AS284" i="10" s="1"/>
  <c r="AF280" i="10"/>
  <c r="AF276" i="10"/>
  <c r="AF272" i="10"/>
  <c r="AF268" i="10"/>
  <c r="AF264" i="10"/>
  <c r="AF260" i="10"/>
  <c r="AF256" i="10"/>
  <c r="AF252" i="10"/>
  <c r="AS252" i="10" s="1"/>
  <c r="AF248" i="10"/>
  <c r="AF191" i="10"/>
  <c r="AF187" i="10"/>
  <c r="AF183" i="10"/>
  <c r="AF179" i="10"/>
  <c r="AF175" i="10"/>
  <c r="AF171" i="10"/>
  <c r="AF167" i="10"/>
  <c r="AS167" i="10" s="1"/>
  <c r="AF163" i="10"/>
  <c r="AS163" i="10" s="1"/>
  <c r="AF159" i="10"/>
  <c r="AF155" i="10"/>
  <c r="AF151" i="10"/>
  <c r="AS151" i="10" s="1"/>
  <c r="AF147" i="10"/>
  <c r="AF143" i="10"/>
  <c r="AS143" i="10" s="1"/>
  <c r="AF139" i="10"/>
  <c r="AS139" i="10" s="1"/>
  <c r="AF135" i="10"/>
  <c r="AF131" i="10"/>
  <c r="AF127" i="10"/>
  <c r="AS127" i="10" s="1"/>
  <c r="AF123" i="10"/>
  <c r="AF119" i="10"/>
  <c r="AF115" i="10"/>
  <c r="AF111" i="10"/>
  <c r="AF107" i="10"/>
  <c r="AF103" i="10"/>
  <c r="AS103" i="10" s="1"/>
  <c r="AF243" i="10"/>
  <c r="AF239" i="10"/>
  <c r="AF235" i="10"/>
  <c r="AF231" i="10"/>
  <c r="AS231" i="10" s="1"/>
  <c r="AF227" i="10"/>
  <c r="AF223" i="10"/>
  <c r="AF219" i="10"/>
  <c r="AF215" i="10"/>
  <c r="AF211" i="10"/>
  <c r="AF205" i="10"/>
  <c r="AF201" i="10"/>
  <c r="AF197" i="10"/>
  <c r="AF162" i="10"/>
  <c r="AS162" i="10" s="1"/>
  <c r="AF158" i="10"/>
  <c r="AF154" i="10"/>
  <c r="AF150" i="10"/>
  <c r="AF146" i="10"/>
  <c r="AF142" i="10"/>
  <c r="AF138" i="10"/>
  <c r="AF134" i="10"/>
  <c r="AS134" i="10" s="1"/>
  <c r="AF130" i="10"/>
  <c r="AF126" i="10"/>
  <c r="AF122" i="10"/>
  <c r="AF118" i="10"/>
  <c r="AF114" i="10"/>
  <c r="AF110" i="10"/>
  <c r="AF106" i="10"/>
  <c r="AF102" i="10"/>
  <c r="AF98" i="10"/>
  <c r="AF94" i="10"/>
  <c r="AF90" i="10"/>
  <c r="AF86" i="10"/>
  <c r="AF82" i="10"/>
  <c r="AF78" i="10"/>
  <c r="AF74" i="10"/>
  <c r="AS74" i="10" s="1"/>
  <c r="AF71" i="10"/>
  <c r="AF69" i="10"/>
  <c r="AF193" i="10"/>
  <c r="AF189" i="10"/>
  <c r="AF185" i="10"/>
  <c r="AF181" i="10"/>
  <c r="AF177" i="10"/>
  <c r="AF173" i="10"/>
  <c r="AF169" i="10"/>
  <c r="AF165" i="10"/>
  <c r="AF99" i="10"/>
  <c r="AF95" i="10"/>
  <c r="AF91" i="10"/>
  <c r="AS91" i="10" s="1"/>
  <c r="AF87" i="10"/>
  <c r="AF83" i="10"/>
  <c r="AF79" i="10"/>
  <c r="AF75" i="10"/>
  <c r="AF67" i="10"/>
  <c r="AS67" i="10" s="1"/>
  <c r="AF65" i="10"/>
  <c r="AS65" i="10" s="1"/>
  <c r="AF63" i="10"/>
  <c r="AF60" i="10"/>
  <c r="AF58" i="10"/>
  <c r="AF48" i="10"/>
  <c r="AF43" i="10"/>
  <c r="AS43" i="10" s="1"/>
  <c r="AF41" i="10"/>
  <c r="AF39" i="10"/>
  <c r="AS39" i="10" s="1"/>
  <c r="AF33" i="10"/>
  <c r="AF31" i="10"/>
  <c r="AF23" i="10"/>
  <c r="AF38" i="10"/>
  <c r="AF35" i="10"/>
  <c r="AF25" i="10"/>
  <c r="AF22" i="10"/>
  <c r="AF42" i="10"/>
  <c r="AF37" i="10"/>
  <c r="AS37" i="10" s="1"/>
  <c r="AF34" i="10"/>
  <c r="AF32" i="10"/>
  <c r="AF61" i="10"/>
  <c r="AF46" i="10"/>
  <c r="AF376" i="10"/>
  <c r="AS376" i="10" s="1"/>
  <c r="AF161" i="10"/>
  <c r="AS161" i="10" s="1"/>
  <c r="AF157" i="10"/>
  <c r="AF153" i="10"/>
  <c r="AF149" i="10"/>
  <c r="AF145" i="10"/>
  <c r="AF141" i="10"/>
  <c r="AF137" i="10"/>
  <c r="AF133" i="10"/>
  <c r="AF129" i="10"/>
  <c r="AF125" i="10"/>
  <c r="AF121" i="10"/>
  <c r="AS121" i="10" s="1"/>
  <c r="AF117" i="10"/>
  <c r="AF113" i="10"/>
  <c r="AF109" i="10"/>
  <c r="AS109" i="10" s="1"/>
  <c r="AF105" i="10"/>
  <c r="AF101" i="10"/>
  <c r="AF57" i="10"/>
  <c r="AF54" i="10"/>
  <c r="AS54" i="10" s="1"/>
  <c r="AF52" i="10"/>
  <c r="AF50" i="10"/>
  <c r="AF45" i="10"/>
  <c r="AF28" i="10"/>
  <c r="AF40" i="10"/>
  <c r="AF30" i="10"/>
  <c r="AF59" i="10"/>
  <c r="AS59" i="10" s="1"/>
  <c r="AF53" i="10"/>
  <c r="AF44" i="10"/>
  <c r="AF300" i="10"/>
  <c r="AF97" i="10"/>
  <c r="AF93" i="10"/>
  <c r="AF89" i="10"/>
  <c r="AF85" i="10"/>
  <c r="AF81" i="10"/>
  <c r="AF77" i="10"/>
  <c r="AF73" i="10"/>
  <c r="AF66" i="10"/>
  <c r="AF64" i="10"/>
  <c r="AS64" i="10" s="1"/>
  <c r="AF62" i="10"/>
  <c r="AF56" i="10"/>
  <c r="AF49" i="10"/>
  <c r="AF47" i="10"/>
  <c r="AF27" i="10"/>
  <c r="AS27" i="10" s="1"/>
  <c r="AF21" i="10"/>
  <c r="AF55" i="10"/>
  <c r="AF51" i="10"/>
  <c r="AF36" i="10"/>
  <c r="AF29" i="10"/>
  <c r="AS29" i="10" s="1"/>
  <c r="AF26" i="10"/>
  <c r="AF24" i="10"/>
  <c r="AF20" i="10"/>
  <c r="B48" i="5"/>
  <c r="B49" i="5" s="1"/>
  <c r="AG8" i="5"/>
  <c r="AI8" i="5" s="1"/>
  <c r="AG7" i="5"/>
  <c r="AN7" i="5"/>
  <c r="AO7" i="5"/>
  <c r="AK7" i="5"/>
  <c r="AL7" i="5"/>
  <c r="O12" i="5"/>
  <c r="AM8" i="5"/>
  <c r="AO8" i="5" s="1"/>
  <c r="O13" i="5"/>
  <c r="AJ8" i="5"/>
  <c r="AL8" i="5" s="1"/>
  <c r="AF9" i="5"/>
  <c r="AF10" i="5"/>
  <c r="AF12" i="5"/>
  <c r="AF13" i="5"/>
  <c r="AF11" i="5"/>
  <c r="AF31" i="5"/>
  <c r="AF8" i="5"/>
  <c r="AF539" i="5"/>
  <c r="AF430" i="5"/>
  <c r="AF522" i="5"/>
  <c r="AF471" i="5"/>
  <c r="AF537" i="5"/>
  <c r="AF534" i="5"/>
  <c r="AF466" i="5"/>
  <c r="AF482" i="5"/>
  <c r="AF448" i="5"/>
  <c r="AF362" i="5"/>
  <c r="AF245" i="5"/>
  <c r="AF243" i="5"/>
  <c r="AF540" i="5"/>
  <c r="AF531" i="5"/>
  <c r="AF445" i="5"/>
  <c r="AF521" i="5"/>
  <c r="AF467" i="5"/>
  <c r="AF514" i="5"/>
  <c r="AF453" i="5"/>
  <c r="AF517" i="5"/>
  <c r="AF415" i="5"/>
  <c r="AF337" i="5"/>
  <c r="AF273" i="5"/>
  <c r="AF287" i="5"/>
  <c r="AF256" i="5"/>
  <c r="AF316" i="5"/>
  <c r="AF196" i="5"/>
  <c r="AF199" i="5"/>
  <c r="AF151" i="5"/>
  <c r="AF494" i="5"/>
  <c r="AF487" i="5"/>
  <c r="AF427" i="5"/>
  <c r="AF511" i="5"/>
  <c r="AF461" i="5"/>
  <c r="AF505" i="5"/>
  <c r="AF437" i="5"/>
  <c r="AF501" i="5"/>
  <c r="AF382" i="5"/>
  <c r="AF417" i="5"/>
  <c r="AF438" i="5"/>
  <c r="AF248" i="5"/>
  <c r="AF318" i="5"/>
  <c r="AF289" i="5"/>
  <c r="AF235" i="5"/>
  <c r="AF180" i="5"/>
  <c r="AF89" i="5"/>
  <c r="AF379" i="5"/>
  <c r="AF339" i="5"/>
  <c r="AF298" i="5"/>
  <c r="AF228" i="5"/>
  <c r="AF90" i="5"/>
  <c r="AF510" i="5"/>
  <c r="AF547" i="5"/>
  <c r="AF551" i="5"/>
  <c r="AF555" i="5"/>
  <c r="AF495" i="5"/>
  <c r="AF444" i="5"/>
  <c r="AF478" i="5"/>
  <c r="AF366" i="5"/>
  <c r="AF483" i="5"/>
  <c r="AF408" i="5"/>
  <c r="AF373" i="5"/>
  <c r="AF387" i="5"/>
  <c r="AF329" i="5"/>
  <c r="AF281" i="5"/>
  <c r="AF250" i="5"/>
  <c r="AF206" i="5"/>
  <c r="AF146" i="5"/>
  <c r="AF24" i="5"/>
  <c r="AF553" i="5"/>
  <c r="AF450" i="5"/>
  <c r="AF481" i="5"/>
  <c r="AF398" i="5"/>
  <c r="AF513" i="5"/>
  <c r="AF543" i="5"/>
  <c r="AF559" i="5"/>
  <c r="AF548" i="5"/>
  <c r="AF552" i="5"/>
  <c r="AF469" i="5"/>
  <c r="AF556" i="5"/>
  <c r="AF523" i="5"/>
  <c r="AF500" i="5"/>
  <c r="AF470" i="5"/>
  <c r="AF446" i="5"/>
  <c r="AF223" i="5"/>
  <c r="AF480" i="5"/>
  <c r="AF457" i="5"/>
  <c r="AF378" i="5"/>
  <c r="AF526" i="5"/>
  <c r="AF485" i="5"/>
  <c r="AF422" i="5"/>
  <c r="AF412" i="5"/>
  <c r="AF338" i="5"/>
  <c r="AF375" i="5"/>
  <c r="AF280" i="5"/>
  <c r="AF391" i="5"/>
  <c r="AF293" i="5"/>
  <c r="AF330" i="5"/>
  <c r="AF262" i="5"/>
  <c r="AF285" i="5"/>
  <c r="AF319" i="5"/>
  <c r="AF258" i="5"/>
  <c r="AF197" i="5"/>
  <c r="AF212" i="5"/>
  <c r="AF207" i="5"/>
  <c r="AF157" i="5"/>
  <c r="AF113" i="5"/>
  <c r="AF91" i="5"/>
  <c r="AF92" i="5"/>
  <c r="AF23" i="5"/>
  <c r="AF165" i="5"/>
  <c r="AF129" i="5"/>
  <c r="AF81" i="5"/>
  <c r="AF70" i="5"/>
  <c r="AF19" i="5"/>
  <c r="AF560" i="5"/>
  <c r="AF502" i="5"/>
  <c r="AF535" i="5"/>
  <c r="AF509" i="5"/>
  <c r="AF479" i="5"/>
  <c r="AF455" i="5"/>
  <c r="AF426" i="5"/>
  <c r="AF504" i="5"/>
  <c r="AF468" i="5"/>
  <c r="AF424" i="5"/>
  <c r="AF533" i="5"/>
  <c r="AF497" i="5"/>
  <c r="AF447" i="5"/>
  <c r="AF364" i="5"/>
  <c r="AF377" i="5"/>
  <c r="AF414" i="5"/>
  <c r="AF332" i="5"/>
  <c r="AF428" i="5"/>
  <c r="AF355" i="5"/>
  <c r="AF360" i="5"/>
  <c r="AF294" i="5"/>
  <c r="AF313" i="5"/>
  <c r="AF227" i="5"/>
  <c r="AF286" i="5"/>
  <c r="AF226" i="5"/>
  <c r="AF233" i="5"/>
  <c r="AF242" i="5"/>
  <c r="AF176" i="5"/>
  <c r="AF161" i="5"/>
  <c r="AF128" i="5"/>
  <c r="AF54" i="5"/>
  <c r="AF68" i="5"/>
  <c r="AF55" i="5"/>
  <c r="AF67" i="5"/>
  <c r="AF20" i="5"/>
  <c r="AF524" i="5"/>
  <c r="AF489" i="5"/>
  <c r="AF544" i="5"/>
  <c r="AF518" i="5"/>
  <c r="AF401" i="5"/>
  <c r="AF541" i="5"/>
  <c r="AF557" i="5"/>
  <c r="AF508" i="5"/>
  <c r="AF356" i="5"/>
  <c r="AF530" i="5"/>
  <c r="AF488" i="5"/>
  <c r="AF429" i="5"/>
  <c r="AF322" i="5"/>
  <c r="AF545" i="5"/>
  <c r="AF528" i="5"/>
  <c r="AF519" i="5"/>
  <c r="AF503" i="5"/>
  <c r="AF484" i="5"/>
  <c r="AF473" i="5"/>
  <c r="AF463" i="5"/>
  <c r="AF449" i="5"/>
  <c r="AF432" i="5"/>
  <c r="AF345" i="5"/>
  <c r="AF507" i="5"/>
  <c r="AF486" i="5"/>
  <c r="AF474" i="5"/>
  <c r="AF459" i="5"/>
  <c r="AF439" i="5"/>
  <c r="AF421" i="5"/>
  <c r="AF536" i="5"/>
  <c r="AF527" i="5"/>
  <c r="AF515" i="5"/>
  <c r="AF491" i="5"/>
  <c r="AF460" i="5"/>
  <c r="AF434" i="5"/>
  <c r="AF397" i="5"/>
  <c r="AF419" i="5"/>
  <c r="AF389" i="5"/>
  <c r="AF363" i="5"/>
  <c r="AF314" i="5"/>
  <c r="AF390" i="5"/>
  <c r="AF351" i="5"/>
  <c r="AF306" i="5"/>
  <c r="AF208" i="5"/>
  <c r="AF405" i="5"/>
  <c r="AF372" i="5"/>
  <c r="AF340" i="5"/>
  <c r="AF260" i="5"/>
  <c r="AF344" i="5"/>
  <c r="AF310" i="5"/>
  <c r="AF272" i="5"/>
  <c r="AF215" i="5"/>
  <c r="AF296" i="5"/>
  <c r="AF261" i="5"/>
  <c r="AF328" i="5"/>
  <c r="AF299" i="5"/>
  <c r="AF276" i="5"/>
  <c r="AF241" i="5"/>
  <c r="AF205" i="5"/>
  <c r="AF240" i="5"/>
  <c r="AF221" i="5"/>
  <c r="AF187" i="5"/>
  <c r="AF220" i="5"/>
  <c r="AF82" i="5"/>
  <c r="AF185" i="5"/>
  <c r="AF188" i="5"/>
  <c r="AF132" i="5"/>
  <c r="AF144" i="5"/>
  <c r="AF110" i="5"/>
  <c r="AF109" i="5"/>
  <c r="AF98" i="5"/>
  <c r="AF29" i="5"/>
  <c r="AF59" i="5"/>
  <c r="AF50" i="5"/>
  <c r="AF27" i="5"/>
  <c r="AF550" i="5"/>
  <c r="AF493" i="5"/>
  <c r="AF549" i="5"/>
  <c r="AF538" i="5"/>
  <c r="AF443" i="5"/>
  <c r="AF542" i="5"/>
  <c r="AF558" i="5"/>
  <c r="AF525" i="5"/>
  <c r="AF451" i="5"/>
  <c r="AF546" i="5"/>
  <c r="AF499" i="5"/>
  <c r="AF431" i="5"/>
  <c r="AF374" i="5"/>
  <c r="AF554" i="5"/>
  <c r="AF529" i="5"/>
  <c r="AF520" i="5"/>
  <c r="AF506" i="5"/>
  <c r="AF492" i="5"/>
  <c r="AF476" i="5"/>
  <c r="AF465" i="5"/>
  <c r="AF454" i="5"/>
  <c r="AF440" i="5"/>
  <c r="AF420" i="5"/>
  <c r="AF512" i="5"/>
  <c r="AF498" i="5"/>
  <c r="AF477" i="5"/>
  <c r="AF462" i="5"/>
  <c r="AF452" i="5"/>
  <c r="AF423" i="5"/>
  <c r="AF359" i="5"/>
  <c r="AF532" i="5"/>
  <c r="AF516" i="5"/>
  <c r="AF496" i="5"/>
  <c r="AF464" i="5"/>
  <c r="AF435" i="5"/>
  <c r="AF400" i="5"/>
  <c r="AF263" i="5"/>
  <c r="AF392" i="5"/>
  <c r="AF365" i="5"/>
  <c r="AF320" i="5"/>
  <c r="AF402" i="5"/>
  <c r="AF353" i="5"/>
  <c r="AF309" i="5"/>
  <c r="AF239" i="5"/>
  <c r="AF407" i="5"/>
  <c r="AF376" i="5"/>
  <c r="AF342" i="5"/>
  <c r="AF265" i="5"/>
  <c r="AF350" i="5"/>
  <c r="AF317" i="5"/>
  <c r="AF275" i="5"/>
  <c r="AF218" i="5"/>
  <c r="AF300" i="5"/>
  <c r="AF264" i="5"/>
  <c r="AF333" i="5"/>
  <c r="AF304" i="5"/>
  <c r="AF278" i="5"/>
  <c r="AF244" i="5"/>
  <c r="AF210" i="5"/>
  <c r="AF139" i="5"/>
  <c r="AF222" i="5"/>
  <c r="AF190" i="5"/>
  <c r="AF224" i="5"/>
  <c r="AF173" i="5"/>
  <c r="AF159" i="5"/>
  <c r="AF108" i="5"/>
  <c r="AF136" i="5"/>
  <c r="AF150" i="5"/>
  <c r="AF111" i="5"/>
  <c r="AF101" i="5"/>
  <c r="AF80" i="5"/>
  <c r="AF64" i="5"/>
  <c r="AF63" i="5"/>
  <c r="AF51" i="5"/>
  <c r="AF28" i="5"/>
  <c r="AF32" i="5"/>
  <c r="AF34" i="5"/>
  <c r="AF26" i="5"/>
  <c r="AF56" i="5"/>
  <c r="AF46" i="5"/>
  <c r="AF33" i="5"/>
  <c r="AF73" i="5"/>
  <c r="AF71" i="5"/>
  <c r="AF87" i="5"/>
  <c r="AF84" i="5"/>
  <c r="AF94" i="5"/>
  <c r="AF126" i="5"/>
  <c r="AF93" i="5"/>
  <c r="AF116" i="5"/>
  <c r="AF135" i="5"/>
  <c r="AF153" i="5"/>
  <c r="AF114" i="5"/>
  <c r="AF145" i="5"/>
  <c r="AF170" i="5"/>
  <c r="AF119" i="5"/>
  <c r="AF167" i="5"/>
  <c r="AF164" i="5"/>
  <c r="AF200" i="5"/>
  <c r="AF179" i="5"/>
  <c r="AF209" i="5"/>
  <c r="AF229" i="5"/>
  <c r="AF251" i="5"/>
  <c r="AF191" i="5"/>
  <c r="AF213" i="5"/>
  <c r="AF225" i="5"/>
  <c r="AF236" i="5"/>
  <c r="AF177" i="5"/>
  <c r="AF202" i="5"/>
  <c r="AF214" i="5"/>
  <c r="AF231" i="5"/>
  <c r="AF201" i="5"/>
  <c r="AF266" i="5"/>
  <c r="AF279" i="5"/>
  <c r="AF292" i="5"/>
  <c r="AF308" i="5"/>
  <c r="AF325" i="5"/>
  <c r="AF171" i="5"/>
  <c r="AF253" i="5"/>
  <c r="AF269" i="5"/>
  <c r="AF288" i="5"/>
  <c r="AF303" i="5"/>
  <c r="AF323" i="5"/>
  <c r="AF234" i="5"/>
  <c r="AF267" i="5"/>
  <c r="AF284" i="5"/>
  <c r="AF302" i="5"/>
  <c r="AF321" i="5"/>
  <c r="AF331" i="5"/>
  <c r="AF352" i="5"/>
  <c r="AF252" i="5"/>
  <c r="AF274" i="5"/>
  <c r="AF301" i="5"/>
  <c r="AF349" i="5"/>
  <c r="AF367" i="5"/>
  <c r="AF381" i="5"/>
  <c r="AF393" i="5"/>
  <c r="AF409" i="5"/>
  <c r="AF441" i="5"/>
  <c r="AF254" i="5"/>
  <c r="AF283" i="5"/>
  <c r="AF312" i="5"/>
  <c r="AF343" i="5"/>
  <c r="AF361" i="5"/>
  <c r="AF383" i="5"/>
  <c r="AF404" i="5"/>
  <c r="AF418" i="5"/>
  <c r="AF334" i="5"/>
  <c r="AF346" i="5"/>
  <c r="AF370" i="5"/>
  <c r="AF380" i="5"/>
  <c r="AF395" i="5"/>
  <c r="AF413" i="5"/>
  <c r="AF336" i="5"/>
  <c r="AF388" i="5"/>
  <c r="AF403" i="5"/>
  <c r="AF425" i="5"/>
  <c r="AF436" i="5"/>
  <c r="AF456" i="5"/>
  <c r="AF472" i="5"/>
  <c r="AF490" i="5"/>
  <c r="AF39" i="5"/>
  <c r="AF43" i="5"/>
  <c r="AF41" i="5"/>
  <c r="AF60" i="5"/>
  <c r="AF49" i="5"/>
  <c r="AF38" i="5"/>
  <c r="AF77" i="5"/>
  <c r="AF79" i="5"/>
  <c r="AF96" i="5"/>
  <c r="AF86" i="5"/>
  <c r="AF106" i="5"/>
  <c r="AF148" i="5"/>
  <c r="AF102" i="5"/>
  <c r="AF123" i="5"/>
  <c r="AF140" i="5"/>
  <c r="AF155" i="5"/>
  <c r="AF127" i="5"/>
  <c r="AF120" i="5"/>
  <c r="AF181" i="5"/>
  <c r="AF137" i="5"/>
  <c r="AF175" i="5"/>
  <c r="AF166" i="5"/>
  <c r="AF204" i="5"/>
  <c r="AF186" i="5"/>
  <c r="AF216" i="5"/>
  <c r="AF232" i="5"/>
  <c r="AF178" i="5"/>
  <c r="AF195" i="5"/>
  <c r="AF217" i="5"/>
  <c r="AF230" i="5"/>
  <c r="AF238" i="5"/>
  <c r="AF194" i="5"/>
  <c r="AF203" i="5"/>
  <c r="AF219" i="5"/>
  <c r="AF237" i="5"/>
  <c r="AF246" i="5"/>
  <c r="AF270" i="5"/>
  <c r="AF282" i="5"/>
  <c r="AF297" i="5"/>
  <c r="AF311" i="5"/>
  <c r="AF327" i="5"/>
  <c r="AF183" i="5"/>
  <c r="AF259" i="5"/>
  <c r="AF271" i="5"/>
  <c r="AF291" i="5"/>
  <c r="AF307" i="5"/>
  <c r="AF198" i="5"/>
  <c r="AF247" i="5"/>
  <c r="AF268" i="5"/>
  <c r="AF290" i="5"/>
  <c r="AF305" i="5"/>
  <c r="AF326" i="5"/>
  <c r="AF341" i="5"/>
  <c r="AF358" i="5"/>
  <c r="AF255" i="5"/>
  <c r="AF277" i="5"/>
  <c r="AF324" i="5"/>
  <c r="AF354" i="5"/>
  <c r="AF368" i="5"/>
  <c r="AF386" i="5"/>
  <c r="AF396" i="5"/>
  <c r="AF410" i="5"/>
  <c r="AF193" i="5"/>
  <c r="AF257" i="5"/>
  <c r="AF295" i="5"/>
  <c r="AF315" i="5"/>
  <c r="AF347" i="5"/>
  <c r="AF369" i="5"/>
  <c r="AF385" i="5"/>
  <c r="AF411" i="5"/>
  <c r="AF249" i="5"/>
  <c r="AF335" i="5"/>
  <c r="AF357" i="5"/>
  <c r="AF371" i="5"/>
  <c r="AF384" i="5"/>
  <c r="AF399" i="5"/>
  <c r="AF416" i="5"/>
  <c r="AF348" i="5"/>
  <c r="AF394" i="5"/>
  <c r="AF406" i="5"/>
  <c r="AF433" i="5"/>
  <c r="AF442" i="5"/>
  <c r="AF458" i="5"/>
  <c r="AF475" i="5"/>
  <c r="AF174" i="5"/>
  <c r="AF118" i="5"/>
  <c r="AF162" i="5"/>
  <c r="AF134" i="5"/>
  <c r="AF182" i="5"/>
  <c r="AF163" i="5"/>
  <c r="AF143" i="5"/>
  <c r="AF115" i="5"/>
  <c r="AF88" i="5"/>
  <c r="AF149" i="5"/>
  <c r="AF131" i="5"/>
  <c r="AF117" i="5"/>
  <c r="AF107" i="5"/>
  <c r="AF156" i="5"/>
  <c r="AF124" i="5"/>
  <c r="AF104" i="5"/>
  <c r="AF95" i="5"/>
  <c r="AF57" i="5"/>
  <c r="AF61" i="5"/>
  <c r="AF74" i="5"/>
  <c r="AF78" i="5"/>
  <c r="AF69" i="5"/>
  <c r="AF66" i="5"/>
  <c r="AF47" i="5"/>
  <c r="AF65" i="5"/>
  <c r="AF52" i="5"/>
  <c r="AF25" i="5"/>
  <c r="AF40" i="5"/>
  <c r="AF42" i="5"/>
  <c r="AF21" i="5"/>
  <c r="AF211" i="5"/>
  <c r="AF189" i="5"/>
  <c r="AF158" i="5"/>
  <c r="AF192" i="5"/>
  <c r="AF168" i="5"/>
  <c r="AF130" i="5"/>
  <c r="AF172" i="5"/>
  <c r="AF152" i="5"/>
  <c r="AF122" i="5"/>
  <c r="AF184" i="5"/>
  <c r="AF169" i="5"/>
  <c r="AF138" i="5"/>
  <c r="AF141" i="5"/>
  <c r="AF121" i="5"/>
  <c r="AF103" i="5"/>
  <c r="AF154" i="5"/>
  <c r="AF147" i="5"/>
  <c r="AF133" i="5"/>
  <c r="AF125" i="5"/>
  <c r="AF112" i="5"/>
  <c r="AF105" i="5"/>
  <c r="AF160" i="5"/>
  <c r="AF142" i="5"/>
  <c r="AF85" i="5"/>
  <c r="AF99" i="5"/>
  <c r="AF100" i="5"/>
  <c r="AF83" i="5"/>
  <c r="AF97" i="5"/>
  <c r="AF48" i="5"/>
  <c r="AF75" i="5"/>
  <c r="AF35" i="5"/>
  <c r="AF76" i="5"/>
  <c r="AF53" i="5"/>
  <c r="AF30" i="5"/>
  <c r="AF58" i="5"/>
  <c r="AF72" i="5"/>
  <c r="AF62" i="5"/>
  <c r="AF44" i="5"/>
  <c r="AF37" i="5"/>
  <c r="AF22" i="5"/>
  <c r="AF36" i="5"/>
  <c r="AF45" i="5"/>
  <c r="AM29" i="5"/>
  <c r="AM34" i="5"/>
  <c r="AM36" i="5"/>
  <c r="AM40" i="5"/>
  <c r="AM45" i="5"/>
  <c r="AM22" i="5"/>
  <c r="AM25" i="5"/>
  <c r="AM26" i="5"/>
  <c r="AM27" i="5"/>
  <c r="AM31" i="5"/>
  <c r="AM37" i="5"/>
  <c r="AM43" i="5"/>
  <c r="AM20" i="5"/>
  <c r="AM30" i="5"/>
  <c r="AM33" i="5"/>
  <c r="AM38" i="5"/>
  <c r="AM41" i="5"/>
  <c r="AM44" i="5"/>
  <c r="AM46" i="5"/>
  <c r="AM50" i="5"/>
  <c r="AM32" i="5"/>
  <c r="AM35" i="5"/>
  <c r="AM42" i="5"/>
  <c r="AM56" i="5"/>
  <c r="AM60" i="5"/>
  <c r="AM64" i="5"/>
  <c r="AM67" i="5"/>
  <c r="AM68" i="5"/>
  <c r="AM73" i="5"/>
  <c r="AM21" i="5"/>
  <c r="AM28" i="5"/>
  <c r="AM39" i="5"/>
  <c r="AM48" i="5"/>
  <c r="AM52" i="5"/>
  <c r="AM63" i="5"/>
  <c r="AM24" i="5"/>
  <c r="AM51" i="5"/>
  <c r="AM55" i="5"/>
  <c r="AM58" i="5"/>
  <c r="AM61" i="5"/>
  <c r="AM66" i="5"/>
  <c r="AM54" i="5"/>
  <c r="AM57" i="5"/>
  <c r="AM70" i="5"/>
  <c r="AM72" i="5"/>
  <c r="AM78" i="5"/>
  <c r="AM49" i="5"/>
  <c r="AM53" i="5"/>
  <c r="AM71" i="5"/>
  <c r="AM75" i="5"/>
  <c r="AM79" i="5"/>
  <c r="AM23" i="5"/>
  <c r="AM47" i="5"/>
  <c r="AM59" i="5"/>
  <c r="AM62" i="5"/>
  <c r="AM65" i="5"/>
  <c r="AM69" i="5"/>
  <c r="AM76" i="5"/>
  <c r="AM77" i="5"/>
  <c r="AM80" i="5"/>
  <c r="AM82" i="5"/>
  <c r="AM84" i="5"/>
  <c r="AM93" i="5"/>
  <c r="AM83" i="5"/>
  <c r="AM88" i="5"/>
  <c r="AM89" i="5"/>
  <c r="AM90" i="5"/>
  <c r="AM91" i="5"/>
  <c r="AM92" i="5"/>
  <c r="AM95" i="5"/>
  <c r="AM96" i="5"/>
  <c r="AM97" i="5"/>
  <c r="AM98" i="5"/>
  <c r="AM74" i="5"/>
  <c r="AM102" i="5"/>
  <c r="AM105" i="5"/>
  <c r="AM108" i="5"/>
  <c r="AM86" i="5"/>
  <c r="AM87" i="5"/>
  <c r="AM103" i="5"/>
  <c r="AM109" i="5"/>
  <c r="AM94" i="5"/>
  <c r="AM99" i="5"/>
  <c r="AM110" i="5"/>
  <c r="AM114" i="5"/>
  <c r="AM121" i="5"/>
  <c r="AM129" i="5"/>
  <c r="AM131" i="5"/>
  <c r="AM140" i="5"/>
  <c r="AM144" i="5"/>
  <c r="AM151" i="5"/>
  <c r="AM81" i="5"/>
  <c r="AM85" i="5"/>
  <c r="AM100" i="5"/>
  <c r="AM106" i="5"/>
  <c r="AM111" i="5"/>
  <c r="AM112" i="5"/>
  <c r="AM117" i="5"/>
  <c r="AM120" i="5"/>
  <c r="AM123" i="5"/>
  <c r="AM125" i="5"/>
  <c r="AM126" i="5"/>
  <c r="AM128" i="5"/>
  <c r="AM133" i="5"/>
  <c r="AM135" i="5"/>
  <c r="AM138" i="5"/>
  <c r="AM146" i="5"/>
  <c r="AM147" i="5"/>
  <c r="AM149" i="5"/>
  <c r="AM154" i="5"/>
  <c r="AM155" i="5"/>
  <c r="AM107" i="5"/>
  <c r="AM113" i="5"/>
  <c r="AM119" i="5"/>
  <c r="AM124" i="5"/>
  <c r="AM127" i="5"/>
  <c r="AM137" i="5"/>
  <c r="AM139" i="5"/>
  <c r="AM142" i="5"/>
  <c r="AM145" i="5"/>
  <c r="AM148" i="5"/>
  <c r="AM101" i="5"/>
  <c r="AM104" i="5"/>
  <c r="AM132" i="5"/>
  <c r="AM160" i="5"/>
  <c r="AM163" i="5"/>
  <c r="AM167" i="5"/>
  <c r="AM169" i="5"/>
  <c r="AM175" i="5"/>
  <c r="AM177" i="5"/>
  <c r="AM181" i="5"/>
  <c r="AM116" i="5"/>
  <c r="AM141" i="5"/>
  <c r="AM150" i="5"/>
  <c r="AM153" i="5"/>
  <c r="AM159" i="5"/>
  <c r="AM164" i="5"/>
  <c r="AM166" i="5"/>
  <c r="AM170" i="5"/>
  <c r="AM172" i="5"/>
  <c r="AM176" i="5"/>
  <c r="AM180" i="5"/>
  <c r="AM185" i="5"/>
  <c r="AM115" i="5"/>
  <c r="AM122" i="5"/>
  <c r="AM134" i="5"/>
  <c r="AM143" i="5"/>
  <c r="AM152" i="5"/>
  <c r="AM156" i="5"/>
  <c r="AM158" i="5"/>
  <c r="AM162" i="5"/>
  <c r="AM168" i="5"/>
  <c r="AM173" i="5"/>
  <c r="AM183" i="5"/>
  <c r="AM187" i="5"/>
  <c r="AM197" i="5"/>
  <c r="AM198" i="5"/>
  <c r="AM201" i="5"/>
  <c r="AM203" i="5"/>
  <c r="AM118" i="5"/>
  <c r="AM130" i="5"/>
  <c r="AM136" i="5"/>
  <c r="AM165" i="5"/>
  <c r="AM171" i="5"/>
  <c r="AM174" i="5"/>
  <c r="AM190" i="5"/>
  <c r="AM205" i="5"/>
  <c r="AM208" i="5"/>
  <c r="AM211" i="5"/>
  <c r="AM213" i="5"/>
  <c r="AM216" i="5"/>
  <c r="AM221" i="5"/>
  <c r="AM225" i="5"/>
  <c r="AM230" i="5"/>
  <c r="AM233" i="5"/>
  <c r="AM236" i="5"/>
  <c r="AM243" i="5"/>
  <c r="AM179" i="5"/>
  <c r="AM182" i="5"/>
  <c r="AM194" i="5"/>
  <c r="AM195" i="5"/>
  <c r="AM196" i="5"/>
  <c r="AM204" i="5"/>
  <c r="AM210" i="5"/>
  <c r="AM212" i="5"/>
  <c r="AM214" i="5"/>
  <c r="AM217" i="5"/>
  <c r="AM219" i="5"/>
  <c r="AM222" i="5"/>
  <c r="AM226" i="5"/>
  <c r="AM228" i="5"/>
  <c r="AM235" i="5"/>
  <c r="AM238" i="5"/>
  <c r="AM242" i="5"/>
  <c r="AM244" i="5"/>
  <c r="AM161" i="5"/>
  <c r="AM178" i="5"/>
  <c r="AM184" i="5"/>
  <c r="AM186" i="5"/>
  <c r="AM199" i="5"/>
  <c r="AM200" i="5"/>
  <c r="AM202" i="5"/>
  <c r="AM215" i="5"/>
  <c r="AM231" i="5"/>
  <c r="AM234" i="5"/>
  <c r="AM237" i="5"/>
  <c r="AM239" i="5"/>
  <c r="AM240" i="5"/>
  <c r="AM189" i="5"/>
  <c r="AM191" i="5"/>
  <c r="AM193" i="5"/>
  <c r="AM220" i="5"/>
  <c r="AM223" i="5"/>
  <c r="AM246" i="5"/>
  <c r="AM259" i="5"/>
  <c r="AM261" i="5"/>
  <c r="AM264" i="5"/>
  <c r="AM266" i="5"/>
  <c r="AM271" i="5"/>
  <c r="AM274" i="5"/>
  <c r="AM276" i="5"/>
  <c r="AM279" i="5"/>
  <c r="AM281" i="5"/>
  <c r="AM282" i="5"/>
  <c r="AM285" i="5"/>
  <c r="AM288" i="5"/>
  <c r="AM291" i="5"/>
  <c r="AM296" i="5"/>
  <c r="AM300" i="5"/>
  <c r="AM303" i="5"/>
  <c r="AM307" i="5"/>
  <c r="AM313" i="5"/>
  <c r="AM318" i="5"/>
  <c r="AM323" i="5"/>
  <c r="AM327" i="5"/>
  <c r="AM157" i="5"/>
  <c r="AM207" i="5"/>
  <c r="AM247" i="5"/>
  <c r="AM253" i="5"/>
  <c r="AM256" i="5"/>
  <c r="AM262" i="5"/>
  <c r="AM269" i="5"/>
  <c r="AM272" i="5"/>
  <c r="AM278" i="5"/>
  <c r="AM284" i="5"/>
  <c r="AM290" i="5"/>
  <c r="AM294" i="5"/>
  <c r="AM298" i="5"/>
  <c r="AM305" i="5"/>
  <c r="AM317" i="5"/>
  <c r="AM321" i="5"/>
  <c r="AM326" i="5"/>
  <c r="AM331" i="5"/>
  <c r="AM188" i="5"/>
  <c r="AM192" i="5"/>
  <c r="AM227" i="5"/>
  <c r="AM232" i="5"/>
  <c r="AM241" i="5"/>
  <c r="AM248" i="5"/>
  <c r="AM249" i="5"/>
  <c r="AM251" i="5"/>
  <c r="AM255" i="5"/>
  <c r="AM257" i="5"/>
  <c r="AM263" i="5"/>
  <c r="AM265" i="5"/>
  <c r="AM268" i="5"/>
  <c r="AM275" i="5"/>
  <c r="AM283" i="5"/>
  <c r="AM287" i="5"/>
  <c r="AM295" i="5"/>
  <c r="AM301" i="5"/>
  <c r="AM302" i="5"/>
  <c r="AM306" i="5"/>
  <c r="AM309" i="5"/>
  <c r="AM310" i="5"/>
  <c r="AM312" i="5"/>
  <c r="AM314" i="5"/>
  <c r="AM315" i="5"/>
  <c r="AM320" i="5"/>
  <c r="AM322" i="5"/>
  <c r="AM324" i="5"/>
  <c r="AM329" i="5"/>
  <c r="AM330" i="5"/>
  <c r="AM332" i="5"/>
  <c r="AM337" i="5"/>
  <c r="AM339" i="5"/>
  <c r="AM343" i="5"/>
  <c r="AM344" i="5"/>
  <c r="AM346" i="5"/>
  <c r="AM351" i="5"/>
  <c r="AM357" i="5"/>
  <c r="AM358" i="5"/>
  <c r="AM206" i="5"/>
  <c r="AM218" i="5"/>
  <c r="AM224" i="5"/>
  <c r="AM258" i="5"/>
  <c r="AM299" i="5"/>
  <c r="AM316" i="5"/>
  <c r="AM319" i="5"/>
  <c r="AM335" i="5"/>
  <c r="AM338" i="5"/>
  <c r="AM352" i="5"/>
  <c r="AM360" i="5"/>
  <c r="AM367" i="5"/>
  <c r="AM369" i="5"/>
  <c r="AM373" i="5"/>
  <c r="AM376" i="5"/>
  <c r="AM383" i="5"/>
  <c r="AM385" i="5"/>
  <c r="AM393" i="5"/>
  <c r="AM404" i="5"/>
  <c r="AM409" i="5"/>
  <c r="AM410" i="5"/>
  <c r="AM411" i="5"/>
  <c r="AM414" i="5"/>
  <c r="AM420" i="5"/>
  <c r="AM423" i="5"/>
  <c r="AM428" i="5"/>
  <c r="AM431" i="5"/>
  <c r="AM435" i="5"/>
  <c r="AM436" i="5"/>
  <c r="AM440" i="5"/>
  <c r="AM250" i="5"/>
  <c r="AM252" i="5"/>
  <c r="AM260" i="5"/>
  <c r="AM277" i="5"/>
  <c r="AM293" i="5"/>
  <c r="AM304" i="5"/>
  <c r="AM334" i="5"/>
  <c r="AM345" i="5"/>
  <c r="AM350" i="5"/>
  <c r="AM356" i="5"/>
  <c r="AM359" i="5"/>
  <c r="AM361" i="5"/>
  <c r="AM363" i="5"/>
  <c r="AM365" i="5"/>
  <c r="AM370" i="5"/>
  <c r="AM375" i="5"/>
  <c r="AM377" i="5"/>
  <c r="AM380" i="5"/>
  <c r="AM384" i="5"/>
  <c r="AM386" i="5"/>
  <c r="AM389" i="5"/>
  <c r="AM390" i="5"/>
  <c r="AM392" i="5"/>
  <c r="AM399" i="5"/>
  <c r="AM402" i="5"/>
  <c r="AM408" i="5"/>
  <c r="AM413" i="5"/>
  <c r="AM417" i="5"/>
  <c r="AM418" i="5"/>
  <c r="AM419" i="5"/>
  <c r="AM209" i="5"/>
  <c r="AM245" i="5"/>
  <c r="AM254" i="5"/>
  <c r="AM267" i="5"/>
  <c r="AM273" i="5"/>
  <c r="AM280" i="5"/>
  <c r="AM286" i="5"/>
  <c r="AM289" i="5"/>
  <c r="AM292" i="5"/>
  <c r="AM333" i="5"/>
  <c r="AM336" i="5"/>
  <c r="AM340" i="5"/>
  <c r="AM341" i="5"/>
  <c r="AM342" i="5"/>
  <c r="AM348" i="5"/>
  <c r="AM349" i="5"/>
  <c r="AM355" i="5"/>
  <c r="AM364" i="5"/>
  <c r="AM366" i="5"/>
  <c r="AM371" i="5"/>
  <c r="AM374" i="5"/>
  <c r="AM378" i="5"/>
  <c r="AM379" i="5"/>
  <c r="AM388" i="5"/>
  <c r="AM395" i="5"/>
  <c r="AM398" i="5"/>
  <c r="AM400" i="5"/>
  <c r="AM406" i="5"/>
  <c r="AM415" i="5"/>
  <c r="AM416" i="5"/>
  <c r="AM311" i="5"/>
  <c r="AM354" i="5"/>
  <c r="AM362" i="5"/>
  <c r="AM368" i="5"/>
  <c r="AM401" i="5"/>
  <c r="AM422" i="5"/>
  <c r="AM442" i="5"/>
  <c r="AM452" i="5"/>
  <c r="AM457" i="5"/>
  <c r="AM458" i="5"/>
  <c r="AM459" i="5"/>
  <c r="AM460" i="5"/>
  <c r="AM471" i="5"/>
  <c r="AM472" i="5"/>
  <c r="AM475" i="5"/>
  <c r="AM478" i="5"/>
  <c r="AM490" i="5"/>
  <c r="AM496" i="5"/>
  <c r="AM497" i="5"/>
  <c r="AM504" i="5"/>
  <c r="AM515" i="5"/>
  <c r="AM525" i="5"/>
  <c r="AM526" i="5"/>
  <c r="AM531" i="5"/>
  <c r="AM532" i="5"/>
  <c r="AM270" i="5"/>
  <c r="AM325" i="5"/>
  <c r="AM382" i="5"/>
  <c r="AM391" i="5"/>
  <c r="AM394" i="5"/>
  <c r="AM397" i="5"/>
  <c r="AM403" i="5"/>
  <c r="AM412" i="5"/>
  <c r="AM426" i="5"/>
  <c r="AM427" i="5"/>
  <c r="AM429" i="5"/>
  <c r="AM439" i="5"/>
  <c r="AM446" i="5"/>
  <c r="AM447" i="5"/>
  <c r="AM461" i="5"/>
  <c r="AM462" i="5"/>
  <c r="AM465" i="5"/>
  <c r="AM467" i="5"/>
  <c r="AM468" i="5"/>
  <c r="AM470" i="5"/>
  <c r="AM474" i="5"/>
  <c r="AM477" i="5"/>
  <c r="AM480" i="5"/>
  <c r="AM484" i="5"/>
  <c r="AM498" i="5"/>
  <c r="AM506" i="5"/>
  <c r="AM507" i="5"/>
  <c r="AM511" i="5"/>
  <c r="AM512" i="5"/>
  <c r="AM514" i="5"/>
  <c r="AM516" i="5"/>
  <c r="AM519" i="5"/>
  <c r="AM308" i="5"/>
  <c r="AM347" i="5"/>
  <c r="AM353" i="5"/>
  <c r="AM381" i="5"/>
  <c r="AM387" i="5"/>
  <c r="AM396" i="5"/>
  <c r="AM405" i="5"/>
  <c r="AM430" i="5"/>
  <c r="AM432" i="5"/>
  <c r="AM434" i="5"/>
  <c r="AM441" i="5"/>
  <c r="AM443" i="5"/>
  <c r="AM444" i="5"/>
  <c r="AM451" i="5"/>
  <c r="AM453" i="5"/>
  <c r="AM454" i="5"/>
  <c r="AM455" i="5"/>
  <c r="AM463" i="5"/>
  <c r="AM466" i="5"/>
  <c r="AM469" i="5"/>
  <c r="AM473" i="5"/>
  <c r="AM476" i="5"/>
  <c r="AM479" i="5"/>
  <c r="AM482" i="5"/>
  <c r="AM486" i="5"/>
  <c r="AM487" i="5"/>
  <c r="AM488" i="5"/>
  <c r="AM489" i="5"/>
  <c r="AM492" i="5"/>
  <c r="AM493" i="5"/>
  <c r="AM494" i="5"/>
  <c r="AM495" i="5"/>
  <c r="AM499" i="5"/>
  <c r="AM500" i="5"/>
  <c r="AM502" i="5"/>
  <c r="AM503" i="5"/>
  <c r="AM505" i="5"/>
  <c r="AM508" i="5"/>
  <c r="AM509" i="5"/>
  <c r="AM510" i="5"/>
  <c r="AM518" i="5"/>
  <c r="AM520" i="5"/>
  <c r="AM522" i="5"/>
  <c r="AM523" i="5"/>
  <c r="AM530" i="5"/>
  <c r="AM539" i="5"/>
  <c r="AM545" i="5"/>
  <c r="AM554" i="5"/>
  <c r="AM555" i="5"/>
  <c r="AM556" i="5"/>
  <c r="AM229" i="5"/>
  <c r="AM297" i="5"/>
  <c r="AM328" i="5"/>
  <c r="AM421" i="5"/>
  <c r="AM425" i="5"/>
  <c r="AM449" i="5"/>
  <c r="AM456" i="5"/>
  <c r="AM485" i="5"/>
  <c r="AM513" i="5"/>
  <c r="AM517" i="5"/>
  <c r="AM521" i="5"/>
  <c r="AM527" i="5"/>
  <c r="AM529" i="5"/>
  <c r="AM534" i="5"/>
  <c r="AM536" i="5"/>
  <c r="AM540" i="5"/>
  <c r="AM548" i="5"/>
  <c r="AM553" i="5"/>
  <c r="AM557" i="5"/>
  <c r="AM560" i="5"/>
  <c r="AM558" i="5"/>
  <c r="AM433" i="5"/>
  <c r="AM437" i="5"/>
  <c r="AM445" i="5"/>
  <c r="AM448" i="5"/>
  <c r="AM524" i="5"/>
  <c r="AM538" i="5"/>
  <c r="AM543" i="5"/>
  <c r="AM544" i="5"/>
  <c r="AM549" i="5"/>
  <c r="AM550" i="5"/>
  <c r="AM551" i="5"/>
  <c r="AM407" i="5"/>
  <c r="AM424" i="5"/>
  <c r="AM481" i="5"/>
  <c r="AM491" i="5"/>
  <c r="AM501" i="5"/>
  <c r="AM528" i="5"/>
  <c r="AM533" i="5"/>
  <c r="AM535" i="5"/>
  <c r="AM541" i="5"/>
  <c r="AM542" i="5"/>
  <c r="AM547" i="5"/>
  <c r="AM552" i="5"/>
  <c r="AM559" i="5"/>
  <c r="AM372" i="5"/>
  <c r="AM438" i="5"/>
  <c r="AM450" i="5"/>
  <c r="AM464" i="5"/>
  <c r="AM483" i="5"/>
  <c r="AM537" i="5"/>
  <c r="AM546" i="5"/>
  <c r="AM19" i="5"/>
  <c r="B32" i="5"/>
  <c r="AG29" i="5"/>
  <c r="AG30" i="5"/>
  <c r="AG33" i="5"/>
  <c r="AG35" i="5"/>
  <c r="AG38" i="5"/>
  <c r="AG44" i="5"/>
  <c r="AG46" i="5"/>
  <c r="AG21" i="5"/>
  <c r="AG24" i="5"/>
  <c r="AG28" i="5"/>
  <c r="AG32" i="5"/>
  <c r="AG39" i="5"/>
  <c r="AG42" i="5"/>
  <c r="AG45" i="5"/>
  <c r="AG27" i="5"/>
  <c r="AG31" i="5"/>
  <c r="AG34" i="5"/>
  <c r="AG36" i="5"/>
  <c r="AG40" i="5"/>
  <c r="AG43" i="5"/>
  <c r="AG47" i="5"/>
  <c r="AG48" i="5"/>
  <c r="AG49" i="5"/>
  <c r="AG51" i="5"/>
  <c r="AG25" i="5"/>
  <c r="AG37" i="5"/>
  <c r="AG50" i="5"/>
  <c r="AG53" i="5"/>
  <c r="AG54" i="5"/>
  <c r="AG57" i="5"/>
  <c r="AG61" i="5"/>
  <c r="AG64" i="5"/>
  <c r="AG41" i="5"/>
  <c r="AG56" i="5"/>
  <c r="AG60" i="5"/>
  <c r="AG62" i="5"/>
  <c r="AG65" i="5"/>
  <c r="AG67" i="5"/>
  <c r="AG68" i="5"/>
  <c r="AG20" i="5"/>
  <c r="AG23" i="5"/>
  <c r="AG58" i="5"/>
  <c r="AG59" i="5"/>
  <c r="AG63" i="5"/>
  <c r="AG66" i="5"/>
  <c r="AG26" i="5"/>
  <c r="AG80" i="5"/>
  <c r="AG22" i="5"/>
  <c r="AG69" i="5"/>
  <c r="AG70" i="5"/>
  <c r="AG73" i="5"/>
  <c r="AG52" i="5"/>
  <c r="AG55" i="5"/>
  <c r="AG72" i="5"/>
  <c r="AG76" i="5"/>
  <c r="AG77" i="5"/>
  <c r="AG78" i="5"/>
  <c r="AG81" i="5"/>
  <c r="AG86" i="5"/>
  <c r="AG90" i="5"/>
  <c r="AG93" i="5"/>
  <c r="AG94" i="5"/>
  <c r="AG74" i="5"/>
  <c r="AG87" i="5"/>
  <c r="AG96" i="5"/>
  <c r="AG97" i="5"/>
  <c r="AG98" i="5"/>
  <c r="AG102" i="5"/>
  <c r="AG103" i="5"/>
  <c r="AG105" i="5"/>
  <c r="AG107" i="5"/>
  <c r="AG75" i="5"/>
  <c r="AG79" i="5"/>
  <c r="AG82" i="5"/>
  <c r="AG85" i="5"/>
  <c r="AG88" i="5"/>
  <c r="AG91" i="5"/>
  <c r="AG101" i="5"/>
  <c r="AG108" i="5"/>
  <c r="AG83" i="5"/>
  <c r="AG100" i="5"/>
  <c r="AG113" i="5"/>
  <c r="AG114" i="5"/>
  <c r="AG115" i="5"/>
  <c r="AG121" i="5"/>
  <c r="AG127" i="5"/>
  <c r="AG132" i="5"/>
  <c r="AG136" i="5"/>
  <c r="AG141" i="5"/>
  <c r="AG143" i="5"/>
  <c r="AG145" i="5"/>
  <c r="AG71" i="5"/>
  <c r="AG89" i="5"/>
  <c r="AG104" i="5"/>
  <c r="AG124" i="5"/>
  <c r="AG126" i="5"/>
  <c r="AG142" i="5"/>
  <c r="AG148" i="5"/>
  <c r="AG151" i="5"/>
  <c r="AG156" i="5"/>
  <c r="AG92" i="5"/>
  <c r="AG99" i="5"/>
  <c r="AG106" i="5"/>
  <c r="AG109" i="5"/>
  <c r="AG118" i="5"/>
  <c r="AG119" i="5"/>
  <c r="AG120" i="5"/>
  <c r="AG122" i="5"/>
  <c r="AG130" i="5"/>
  <c r="AG134" i="5"/>
  <c r="AG137" i="5"/>
  <c r="AG138" i="5"/>
  <c r="AG139" i="5"/>
  <c r="AG146" i="5"/>
  <c r="AG152" i="5"/>
  <c r="AG84" i="5"/>
  <c r="AG110" i="5"/>
  <c r="AG116" i="5"/>
  <c r="AG123" i="5"/>
  <c r="AG129" i="5"/>
  <c r="AG135" i="5"/>
  <c r="AG144" i="5"/>
  <c r="AG147" i="5"/>
  <c r="AG150" i="5"/>
  <c r="AG153" i="5"/>
  <c r="AG158" i="5"/>
  <c r="AG171" i="5"/>
  <c r="AG173" i="5"/>
  <c r="AG177" i="5"/>
  <c r="AG178" i="5"/>
  <c r="AG179" i="5"/>
  <c r="AG183" i="5"/>
  <c r="AG187" i="5"/>
  <c r="AG112" i="5"/>
  <c r="AG125" i="5"/>
  <c r="AG128" i="5"/>
  <c r="AG131" i="5"/>
  <c r="AG149" i="5"/>
  <c r="AG161" i="5"/>
  <c r="AG163" i="5"/>
  <c r="AG165" i="5"/>
  <c r="AG169" i="5"/>
  <c r="AG170" i="5"/>
  <c r="AG181" i="5"/>
  <c r="AG182" i="5"/>
  <c r="AG184" i="5"/>
  <c r="AG95" i="5"/>
  <c r="AG111" i="5"/>
  <c r="AG133" i="5"/>
  <c r="AG140" i="5"/>
  <c r="AG155" i="5"/>
  <c r="AG157" i="5"/>
  <c r="AG160" i="5"/>
  <c r="AG162" i="5"/>
  <c r="AG167" i="5"/>
  <c r="AG172" i="5"/>
  <c r="AG175" i="5"/>
  <c r="AG185" i="5"/>
  <c r="AG186" i="5"/>
  <c r="AG189" i="5"/>
  <c r="AG190" i="5"/>
  <c r="AG194" i="5"/>
  <c r="AG197" i="5"/>
  <c r="AG198" i="5"/>
  <c r="AG199" i="5"/>
  <c r="AG201" i="5"/>
  <c r="AG206" i="5"/>
  <c r="AG154" i="5"/>
  <c r="AG176" i="5"/>
  <c r="AG193" i="5"/>
  <c r="AG208" i="5"/>
  <c r="AG215" i="5"/>
  <c r="AG218" i="5"/>
  <c r="AG223" i="5"/>
  <c r="AG227" i="5"/>
  <c r="AG234" i="5"/>
  <c r="AG239" i="5"/>
  <c r="AG245" i="5"/>
  <c r="AG247" i="5"/>
  <c r="AG248" i="5"/>
  <c r="AG164" i="5"/>
  <c r="AG192" i="5"/>
  <c r="AG207" i="5"/>
  <c r="AG209" i="5"/>
  <c r="AG211" i="5"/>
  <c r="AG216" i="5"/>
  <c r="AG220" i="5"/>
  <c r="AG224" i="5"/>
  <c r="AG229" i="5"/>
  <c r="AG232" i="5"/>
  <c r="AG242" i="5"/>
  <c r="AG243" i="5"/>
  <c r="AG159" i="5"/>
  <c r="AG166" i="5"/>
  <c r="AG188" i="5"/>
  <c r="AG191" i="5"/>
  <c r="AG195" i="5"/>
  <c r="AG212" i="5"/>
  <c r="AG213" i="5"/>
  <c r="AG217" i="5"/>
  <c r="AG221" i="5"/>
  <c r="AG222" i="5"/>
  <c r="AG225" i="5"/>
  <c r="AG230" i="5"/>
  <c r="AG233" i="5"/>
  <c r="AG235" i="5"/>
  <c r="AG236" i="5"/>
  <c r="AG238" i="5"/>
  <c r="AG240" i="5"/>
  <c r="AG214" i="5"/>
  <c r="AG228" i="5"/>
  <c r="AG249" i="5"/>
  <c r="AG251" i="5"/>
  <c r="AG252" i="5"/>
  <c r="AG254" i="5"/>
  <c r="AG255" i="5"/>
  <c r="AG257" i="5"/>
  <c r="AG260" i="5"/>
  <c r="AG263" i="5"/>
  <c r="AG265" i="5"/>
  <c r="AG273" i="5"/>
  <c r="AG274" i="5"/>
  <c r="AG277" i="5"/>
  <c r="AG280" i="5"/>
  <c r="AG283" i="5"/>
  <c r="AG287" i="5"/>
  <c r="AG293" i="5"/>
  <c r="AG295" i="5"/>
  <c r="AG301" i="5"/>
  <c r="AG306" i="5"/>
  <c r="AG309" i="5"/>
  <c r="AG312" i="5"/>
  <c r="AG314" i="5"/>
  <c r="AG315" i="5"/>
  <c r="AG320" i="5"/>
  <c r="AG322" i="5"/>
  <c r="AG324" i="5"/>
  <c r="AG332" i="5"/>
  <c r="AG203" i="5"/>
  <c r="AG205" i="5"/>
  <c r="AG210" i="5"/>
  <c r="AG219" i="5"/>
  <c r="AG241" i="5"/>
  <c r="AG246" i="5"/>
  <c r="AG250" i="5"/>
  <c r="AG258" i="5"/>
  <c r="AG266" i="5"/>
  <c r="AG270" i="5"/>
  <c r="AG276" i="5"/>
  <c r="AG278" i="5"/>
  <c r="AG279" i="5"/>
  <c r="AG282" i="5"/>
  <c r="AG286" i="5"/>
  <c r="AG289" i="5"/>
  <c r="AG292" i="5"/>
  <c r="AG297" i="5"/>
  <c r="AG299" i="5"/>
  <c r="AG304" i="5"/>
  <c r="AG308" i="5"/>
  <c r="AG311" i="5"/>
  <c r="AG316" i="5"/>
  <c r="AG319" i="5"/>
  <c r="AG325" i="5"/>
  <c r="AG327" i="5"/>
  <c r="AG328" i="5"/>
  <c r="AG117" i="5"/>
  <c r="AG196" i="5"/>
  <c r="AG200" i="5"/>
  <c r="AG237" i="5"/>
  <c r="AG244" i="5"/>
  <c r="AG253" i="5"/>
  <c r="AG259" i="5"/>
  <c r="AG261" i="5"/>
  <c r="AG264" i="5"/>
  <c r="AG269" i="5"/>
  <c r="AG271" i="5"/>
  <c r="AG281" i="5"/>
  <c r="AG285" i="5"/>
  <c r="AG288" i="5"/>
  <c r="AG291" i="5"/>
  <c r="AG296" i="5"/>
  <c r="AG300" i="5"/>
  <c r="AG303" i="5"/>
  <c r="AG307" i="5"/>
  <c r="AG313" i="5"/>
  <c r="AG318" i="5"/>
  <c r="AG323" i="5"/>
  <c r="AG335" i="5"/>
  <c r="AG336" i="5"/>
  <c r="AG338" i="5"/>
  <c r="AG342" i="5"/>
  <c r="AG343" i="5"/>
  <c r="AG345" i="5"/>
  <c r="AG348" i="5"/>
  <c r="AG349" i="5"/>
  <c r="AG354" i="5"/>
  <c r="AG356" i="5"/>
  <c r="AG359" i="5"/>
  <c r="AG174" i="5"/>
  <c r="AG231" i="5"/>
  <c r="AG284" i="5"/>
  <c r="AG290" i="5"/>
  <c r="AG310" i="5"/>
  <c r="AG330" i="5"/>
  <c r="AG341" i="5"/>
  <c r="AG364" i="5"/>
  <c r="AG366" i="5"/>
  <c r="AG374" i="5"/>
  <c r="AG378" i="5"/>
  <c r="AG382" i="5"/>
  <c r="AG388" i="5"/>
  <c r="AG394" i="5"/>
  <c r="AG397" i="5"/>
  <c r="AG398" i="5"/>
  <c r="AG400" i="5"/>
  <c r="AG401" i="5"/>
  <c r="AG403" i="5"/>
  <c r="AG406" i="5"/>
  <c r="AG415" i="5"/>
  <c r="AG420" i="5"/>
  <c r="AG421" i="5"/>
  <c r="AG424" i="5"/>
  <c r="AG429" i="5"/>
  <c r="AG433" i="5"/>
  <c r="AG436" i="5"/>
  <c r="AG437" i="5"/>
  <c r="AG180" i="5"/>
  <c r="AG226" i="5"/>
  <c r="AG262" i="5"/>
  <c r="AG267" i="5"/>
  <c r="AG268" i="5"/>
  <c r="AG298" i="5"/>
  <c r="AG321" i="5"/>
  <c r="AG326" i="5"/>
  <c r="AG329" i="5"/>
  <c r="AG333" i="5"/>
  <c r="AG340" i="5"/>
  <c r="AG355" i="5"/>
  <c r="AG362" i="5"/>
  <c r="AG367" i="5"/>
  <c r="AG368" i="5"/>
  <c r="AG372" i="5"/>
  <c r="AG376" i="5"/>
  <c r="AG381" i="5"/>
  <c r="AG386" i="5"/>
  <c r="AG387" i="5"/>
  <c r="AG391" i="5"/>
  <c r="AG393" i="5"/>
  <c r="AG396" i="5"/>
  <c r="AG405" i="5"/>
  <c r="AG407" i="5"/>
  <c r="AG409" i="5"/>
  <c r="AG410" i="5"/>
  <c r="AG202" i="5"/>
  <c r="AG317" i="5"/>
  <c r="AG339" i="5"/>
  <c r="AG347" i="5"/>
  <c r="AG351" i="5"/>
  <c r="AG352" i="5"/>
  <c r="AG353" i="5"/>
  <c r="AG360" i="5"/>
  <c r="AG361" i="5"/>
  <c r="AG369" i="5"/>
  <c r="AG373" i="5"/>
  <c r="AG375" i="5"/>
  <c r="AG383" i="5"/>
  <c r="AG385" i="5"/>
  <c r="AG390" i="5"/>
  <c r="AG402" i="5"/>
  <c r="AG404" i="5"/>
  <c r="AG411" i="5"/>
  <c r="AG414" i="5"/>
  <c r="AG417" i="5"/>
  <c r="AG418" i="5"/>
  <c r="AG168" i="5"/>
  <c r="AG256" i="5"/>
  <c r="AG275" i="5"/>
  <c r="AG305" i="5"/>
  <c r="AG334" i="5"/>
  <c r="AG344" i="5"/>
  <c r="AG346" i="5"/>
  <c r="AG350" i="5"/>
  <c r="AG371" i="5"/>
  <c r="AG379" i="5"/>
  <c r="AG412" i="5"/>
  <c r="AG419" i="5"/>
  <c r="AG427" i="5"/>
  <c r="AG431" i="5"/>
  <c r="AG438" i="5"/>
  <c r="AG443" i="5"/>
  <c r="AG445" i="5"/>
  <c r="AG450" i="5"/>
  <c r="AG451" i="5"/>
  <c r="AG466" i="5"/>
  <c r="AG469" i="5"/>
  <c r="AG481" i="5"/>
  <c r="AG487" i="5"/>
  <c r="AG488" i="5"/>
  <c r="AG489" i="5"/>
  <c r="AG493" i="5"/>
  <c r="AG494" i="5"/>
  <c r="AG499" i="5"/>
  <c r="AG502" i="5"/>
  <c r="AG508" i="5"/>
  <c r="AG510" i="5"/>
  <c r="AG513" i="5"/>
  <c r="AG518" i="5"/>
  <c r="AG522" i="5"/>
  <c r="AG530" i="5"/>
  <c r="AG294" i="5"/>
  <c r="AG331" i="5"/>
  <c r="AG357" i="5"/>
  <c r="AG370" i="5"/>
  <c r="AG384" i="5"/>
  <c r="AG408" i="5"/>
  <c r="AG422" i="5"/>
  <c r="AG425" i="5"/>
  <c r="AG434" i="5"/>
  <c r="AG435" i="5"/>
  <c r="AG442" i="5"/>
  <c r="AG447" i="5"/>
  <c r="AG448" i="5"/>
  <c r="AG456" i="5"/>
  <c r="AG458" i="5"/>
  <c r="AG460" i="5"/>
  <c r="AG464" i="5"/>
  <c r="AG472" i="5"/>
  <c r="AG475" i="5"/>
  <c r="AG483" i="5"/>
  <c r="AG485" i="5"/>
  <c r="AG490" i="5"/>
  <c r="AG491" i="5"/>
  <c r="AG496" i="5"/>
  <c r="AG497" i="5"/>
  <c r="AG501" i="5"/>
  <c r="AG515" i="5"/>
  <c r="AG516" i="5"/>
  <c r="AG517" i="5"/>
  <c r="AG272" i="5"/>
  <c r="AG302" i="5"/>
  <c r="AG337" i="5"/>
  <c r="AG363" i="5"/>
  <c r="AG399" i="5"/>
  <c r="AG423" i="5"/>
  <c r="AG439" i="5"/>
  <c r="AG452" i="5"/>
  <c r="AG453" i="5"/>
  <c r="AG457" i="5"/>
  <c r="AG459" i="5"/>
  <c r="AG462" i="5"/>
  <c r="AG468" i="5"/>
  <c r="AG471" i="5"/>
  <c r="AG474" i="5"/>
  <c r="AG477" i="5"/>
  <c r="AG478" i="5"/>
  <c r="AG480" i="5"/>
  <c r="AG486" i="5"/>
  <c r="AG498" i="5"/>
  <c r="AG504" i="5"/>
  <c r="AG505" i="5"/>
  <c r="AG507" i="5"/>
  <c r="AG512" i="5"/>
  <c r="AG514" i="5"/>
  <c r="AG524" i="5"/>
  <c r="AG525" i="5"/>
  <c r="AG531" i="5"/>
  <c r="AG543" i="5"/>
  <c r="AG546" i="5"/>
  <c r="AG548" i="5"/>
  <c r="AG549" i="5"/>
  <c r="AG550" i="5"/>
  <c r="AG551" i="5"/>
  <c r="AG553" i="5"/>
  <c r="AG557" i="5"/>
  <c r="AG559" i="5"/>
  <c r="AG204" i="5"/>
  <c r="AG380" i="5"/>
  <c r="AG392" i="5"/>
  <c r="AG416" i="5"/>
  <c r="AG463" i="5"/>
  <c r="AG473" i="5"/>
  <c r="AG476" i="5"/>
  <c r="AG479" i="5"/>
  <c r="AG482" i="5"/>
  <c r="AG492" i="5"/>
  <c r="AG506" i="5"/>
  <c r="AG509" i="5"/>
  <c r="AG520" i="5"/>
  <c r="AG528" i="5"/>
  <c r="AG535" i="5"/>
  <c r="AG539" i="5"/>
  <c r="AG541" i="5"/>
  <c r="AG542" i="5"/>
  <c r="AG547" i="5"/>
  <c r="AG554" i="5"/>
  <c r="AG441" i="5"/>
  <c r="AG444" i="5"/>
  <c r="AG455" i="5"/>
  <c r="AG465" i="5"/>
  <c r="AG484" i="5"/>
  <c r="AG495" i="5"/>
  <c r="AG519" i="5"/>
  <c r="AG526" i="5"/>
  <c r="AG533" i="5"/>
  <c r="AG545" i="5"/>
  <c r="AG552" i="5"/>
  <c r="AG555" i="5"/>
  <c r="AG532" i="5"/>
  <c r="AG536" i="5"/>
  <c r="AG540" i="5"/>
  <c r="AG358" i="5"/>
  <c r="AG365" i="5"/>
  <c r="AG377" i="5"/>
  <c r="AG389" i="5"/>
  <c r="AG395" i="5"/>
  <c r="AG413" i="5"/>
  <c r="AG426" i="5"/>
  <c r="AG428" i="5"/>
  <c r="AG430" i="5"/>
  <c r="AG432" i="5"/>
  <c r="AG454" i="5"/>
  <c r="AG461" i="5"/>
  <c r="AG467" i="5"/>
  <c r="AG511" i="5"/>
  <c r="AG523" i="5"/>
  <c r="AG529" i="5"/>
  <c r="AG537" i="5"/>
  <c r="AG556" i="5"/>
  <c r="AG558" i="5"/>
  <c r="AG560" i="5"/>
  <c r="AG440" i="5"/>
  <c r="AG446" i="5"/>
  <c r="AG449" i="5"/>
  <c r="AG470" i="5"/>
  <c r="AG500" i="5"/>
  <c r="AG503" i="5"/>
  <c r="AG521" i="5"/>
  <c r="AG527" i="5"/>
  <c r="AG534" i="5"/>
  <c r="AG538" i="5"/>
  <c r="AG544" i="5"/>
  <c r="AG19" i="5"/>
  <c r="B31" i="5"/>
  <c r="AJ22" i="5"/>
  <c r="AJ23" i="5"/>
  <c r="AJ25" i="5"/>
  <c r="AJ26" i="5"/>
  <c r="AJ31" i="5"/>
  <c r="AJ37" i="5"/>
  <c r="AJ43" i="5"/>
  <c r="AJ48" i="5"/>
  <c r="AJ20" i="5"/>
  <c r="AJ29" i="5"/>
  <c r="AJ30" i="5"/>
  <c r="AJ33" i="5"/>
  <c r="AJ38" i="5"/>
  <c r="AJ41" i="5"/>
  <c r="AJ44" i="5"/>
  <c r="AJ46" i="5"/>
  <c r="AJ21" i="5"/>
  <c r="AJ24" i="5"/>
  <c r="AJ28" i="5"/>
  <c r="AJ32" i="5"/>
  <c r="AJ35" i="5"/>
  <c r="AJ39" i="5"/>
  <c r="AJ42" i="5"/>
  <c r="AJ45" i="5"/>
  <c r="AJ52" i="5"/>
  <c r="AJ63" i="5"/>
  <c r="AJ69" i="5"/>
  <c r="AJ34" i="5"/>
  <c r="AJ51" i="5"/>
  <c r="AJ53" i="5"/>
  <c r="AJ55" i="5"/>
  <c r="AJ59" i="5"/>
  <c r="AJ61" i="5"/>
  <c r="AJ66" i="5"/>
  <c r="AJ27" i="5"/>
  <c r="AJ36" i="5"/>
  <c r="AJ47" i="5"/>
  <c r="AJ49" i="5"/>
  <c r="AJ50" i="5"/>
  <c r="AJ54" i="5"/>
  <c r="AJ56" i="5"/>
  <c r="AJ57" i="5"/>
  <c r="AJ62" i="5"/>
  <c r="AJ65" i="5"/>
  <c r="AJ71" i="5"/>
  <c r="AJ75" i="5"/>
  <c r="AJ79" i="5"/>
  <c r="AJ40" i="5"/>
  <c r="AJ60" i="5"/>
  <c r="AJ76" i="5"/>
  <c r="AJ77" i="5"/>
  <c r="AJ58" i="5"/>
  <c r="AJ68" i="5"/>
  <c r="AJ73" i="5"/>
  <c r="AJ74" i="5"/>
  <c r="AJ83" i="5"/>
  <c r="AJ88" i="5"/>
  <c r="AJ91" i="5"/>
  <c r="AJ67" i="5"/>
  <c r="AJ70" i="5"/>
  <c r="AJ72" i="5"/>
  <c r="AJ82" i="5"/>
  <c r="AJ78" i="5"/>
  <c r="AJ81" i="5"/>
  <c r="AJ85" i="5"/>
  <c r="AJ93" i="5"/>
  <c r="AJ94" i="5"/>
  <c r="AJ99" i="5"/>
  <c r="AJ101" i="5"/>
  <c r="AJ104" i="5"/>
  <c r="AJ109" i="5"/>
  <c r="AJ84" i="5"/>
  <c r="AJ89" i="5"/>
  <c r="AJ90" i="5"/>
  <c r="AJ92" i="5"/>
  <c r="AJ95" i="5"/>
  <c r="AJ96" i="5"/>
  <c r="AJ98" i="5"/>
  <c r="AJ100" i="5"/>
  <c r="AJ107" i="5"/>
  <c r="AJ97" i="5"/>
  <c r="AJ103" i="5"/>
  <c r="AJ106" i="5"/>
  <c r="AJ111" i="5"/>
  <c r="AJ112" i="5"/>
  <c r="AJ117" i="5"/>
  <c r="AJ118" i="5"/>
  <c r="AJ120" i="5"/>
  <c r="AJ125" i="5"/>
  <c r="AJ126" i="5"/>
  <c r="AJ128" i="5"/>
  <c r="AJ135" i="5"/>
  <c r="AJ138" i="5"/>
  <c r="AJ146" i="5"/>
  <c r="AJ149" i="5"/>
  <c r="AJ152" i="5"/>
  <c r="AJ158" i="5"/>
  <c r="AJ161" i="5"/>
  <c r="AJ87" i="5"/>
  <c r="AJ115" i="5"/>
  <c r="AJ116" i="5"/>
  <c r="AJ122" i="5"/>
  <c r="AJ127" i="5"/>
  <c r="AJ130" i="5"/>
  <c r="AJ132" i="5"/>
  <c r="AJ134" i="5"/>
  <c r="AJ136" i="5"/>
  <c r="AJ141" i="5"/>
  <c r="AJ143" i="5"/>
  <c r="AJ145" i="5"/>
  <c r="AJ153" i="5"/>
  <c r="AJ157" i="5"/>
  <c r="AJ64" i="5"/>
  <c r="AJ80" i="5"/>
  <c r="AJ86" i="5"/>
  <c r="AJ102" i="5"/>
  <c r="AJ105" i="5"/>
  <c r="AJ108" i="5"/>
  <c r="AJ110" i="5"/>
  <c r="AJ114" i="5"/>
  <c r="AJ121" i="5"/>
  <c r="AJ123" i="5"/>
  <c r="AJ129" i="5"/>
  <c r="AJ131" i="5"/>
  <c r="AJ133" i="5"/>
  <c r="AJ140" i="5"/>
  <c r="AJ144" i="5"/>
  <c r="AJ147" i="5"/>
  <c r="AJ150" i="5"/>
  <c r="AJ151" i="5"/>
  <c r="AJ154" i="5"/>
  <c r="AJ155" i="5"/>
  <c r="AJ113" i="5"/>
  <c r="AJ139" i="5"/>
  <c r="AJ159" i="5"/>
  <c r="AJ164" i="5"/>
  <c r="AJ166" i="5"/>
  <c r="AJ168" i="5"/>
  <c r="AJ174" i="5"/>
  <c r="AJ176" i="5"/>
  <c r="AJ180" i="5"/>
  <c r="AJ185" i="5"/>
  <c r="AJ186" i="5"/>
  <c r="AJ156" i="5"/>
  <c r="AJ173" i="5"/>
  <c r="AJ178" i="5"/>
  <c r="AJ179" i="5"/>
  <c r="AJ183" i="5"/>
  <c r="AJ119" i="5"/>
  <c r="AJ137" i="5"/>
  <c r="AJ165" i="5"/>
  <c r="AJ170" i="5"/>
  <c r="AJ171" i="5"/>
  <c r="AJ182" i="5"/>
  <c r="AJ184" i="5"/>
  <c r="AJ188" i="5"/>
  <c r="AJ191" i="5"/>
  <c r="AJ196" i="5"/>
  <c r="AJ200" i="5"/>
  <c r="AJ205" i="5"/>
  <c r="AJ207" i="5"/>
  <c r="AJ124" i="5"/>
  <c r="AJ142" i="5"/>
  <c r="AJ148" i="5"/>
  <c r="AJ160" i="5"/>
  <c r="AJ162" i="5"/>
  <c r="AJ194" i="5"/>
  <c r="AJ195" i="5"/>
  <c r="AJ203" i="5"/>
  <c r="AJ204" i="5"/>
  <c r="AJ210" i="5"/>
  <c r="AJ214" i="5"/>
  <c r="AJ217" i="5"/>
  <c r="AJ219" i="5"/>
  <c r="AJ222" i="5"/>
  <c r="AJ226" i="5"/>
  <c r="AJ228" i="5"/>
  <c r="AJ235" i="5"/>
  <c r="AJ238" i="5"/>
  <c r="AJ240" i="5"/>
  <c r="AJ242" i="5"/>
  <c r="AJ244" i="5"/>
  <c r="AJ167" i="5"/>
  <c r="AJ197" i="5"/>
  <c r="AJ199" i="5"/>
  <c r="AJ202" i="5"/>
  <c r="AJ215" i="5"/>
  <c r="AJ231" i="5"/>
  <c r="AJ234" i="5"/>
  <c r="AJ237" i="5"/>
  <c r="AJ239" i="5"/>
  <c r="AJ169" i="5"/>
  <c r="AJ172" i="5"/>
  <c r="AJ175" i="5"/>
  <c r="AJ181" i="5"/>
  <c r="AJ187" i="5"/>
  <c r="AJ189" i="5"/>
  <c r="AJ192" i="5"/>
  <c r="AJ193" i="5"/>
  <c r="AJ198" i="5"/>
  <c r="AJ201" i="5"/>
  <c r="AJ206" i="5"/>
  <c r="AJ209" i="5"/>
  <c r="AJ216" i="5"/>
  <c r="AJ218" i="5"/>
  <c r="AJ220" i="5"/>
  <c r="AJ223" i="5"/>
  <c r="AJ224" i="5"/>
  <c r="AJ227" i="5"/>
  <c r="AJ229" i="5"/>
  <c r="AJ232" i="5"/>
  <c r="AJ241" i="5"/>
  <c r="AJ163" i="5"/>
  <c r="AJ208" i="5"/>
  <c r="AJ211" i="5"/>
  <c r="AJ233" i="5"/>
  <c r="AJ236" i="5"/>
  <c r="AJ243" i="5"/>
  <c r="AJ247" i="5"/>
  <c r="AJ253" i="5"/>
  <c r="AJ256" i="5"/>
  <c r="AJ262" i="5"/>
  <c r="AJ269" i="5"/>
  <c r="AJ272" i="5"/>
  <c r="AJ278" i="5"/>
  <c r="AJ284" i="5"/>
  <c r="AJ290" i="5"/>
  <c r="AJ294" i="5"/>
  <c r="AJ298" i="5"/>
  <c r="AJ302" i="5"/>
  <c r="AJ305" i="5"/>
  <c r="AJ310" i="5"/>
  <c r="AJ317" i="5"/>
  <c r="AJ321" i="5"/>
  <c r="AJ326" i="5"/>
  <c r="AJ329" i="5"/>
  <c r="AJ330" i="5"/>
  <c r="AJ331" i="5"/>
  <c r="AJ177" i="5"/>
  <c r="AJ225" i="5"/>
  <c r="AJ230" i="5"/>
  <c r="AJ248" i="5"/>
  <c r="AJ249" i="5"/>
  <c r="AJ251" i="5"/>
  <c r="AJ254" i="5"/>
  <c r="AJ255" i="5"/>
  <c r="AJ257" i="5"/>
  <c r="AJ263" i="5"/>
  <c r="AJ265" i="5"/>
  <c r="AJ268" i="5"/>
  <c r="AJ275" i="5"/>
  <c r="AJ280" i="5"/>
  <c r="AJ283" i="5"/>
  <c r="AJ287" i="5"/>
  <c r="AJ293" i="5"/>
  <c r="AJ295" i="5"/>
  <c r="AJ301" i="5"/>
  <c r="AJ306" i="5"/>
  <c r="AJ309" i="5"/>
  <c r="AJ312" i="5"/>
  <c r="AJ314" i="5"/>
  <c r="AJ315" i="5"/>
  <c r="AJ320" i="5"/>
  <c r="AJ322" i="5"/>
  <c r="AJ324" i="5"/>
  <c r="AJ332" i="5"/>
  <c r="AJ190" i="5"/>
  <c r="AJ213" i="5"/>
  <c r="AJ221" i="5"/>
  <c r="AJ245" i="5"/>
  <c r="AJ250" i="5"/>
  <c r="AJ252" i="5"/>
  <c r="AJ258" i="5"/>
  <c r="AJ260" i="5"/>
  <c r="AJ267" i="5"/>
  <c r="AJ270" i="5"/>
  <c r="AJ273" i="5"/>
  <c r="AJ276" i="5"/>
  <c r="AJ277" i="5"/>
  <c r="AJ282" i="5"/>
  <c r="AJ286" i="5"/>
  <c r="AJ289" i="5"/>
  <c r="AJ292" i="5"/>
  <c r="AJ297" i="5"/>
  <c r="AJ299" i="5"/>
  <c r="AJ304" i="5"/>
  <c r="AJ308" i="5"/>
  <c r="AJ311" i="5"/>
  <c r="AJ316" i="5"/>
  <c r="AJ319" i="5"/>
  <c r="AJ325" i="5"/>
  <c r="AJ328" i="5"/>
  <c r="AJ333" i="5"/>
  <c r="AJ334" i="5"/>
  <c r="AJ340" i="5"/>
  <c r="AJ347" i="5"/>
  <c r="AJ353" i="5"/>
  <c r="AJ355" i="5"/>
  <c r="AJ212" i="5"/>
  <c r="AJ246" i="5"/>
  <c r="AJ281" i="5"/>
  <c r="AJ296" i="5"/>
  <c r="AJ307" i="5"/>
  <c r="AJ313" i="5"/>
  <c r="AJ327" i="5"/>
  <c r="AJ337" i="5"/>
  <c r="AJ344" i="5"/>
  <c r="AJ345" i="5"/>
  <c r="AJ346" i="5"/>
  <c r="AJ350" i="5"/>
  <c r="AJ356" i="5"/>
  <c r="AJ357" i="5"/>
  <c r="AJ359" i="5"/>
  <c r="AJ363" i="5"/>
  <c r="AJ365" i="5"/>
  <c r="AJ370" i="5"/>
  <c r="AJ371" i="5"/>
  <c r="AJ377" i="5"/>
  <c r="AJ379" i="5"/>
  <c r="AJ380" i="5"/>
  <c r="AJ384" i="5"/>
  <c r="AJ389" i="5"/>
  <c r="AJ390" i="5"/>
  <c r="AJ392" i="5"/>
  <c r="AJ399" i="5"/>
  <c r="AJ408" i="5"/>
  <c r="AJ412" i="5"/>
  <c r="AJ413" i="5"/>
  <c r="AJ416" i="5"/>
  <c r="AJ419" i="5"/>
  <c r="AJ426" i="5"/>
  <c r="AJ427" i="5"/>
  <c r="AJ432" i="5"/>
  <c r="AJ434" i="5"/>
  <c r="AJ439" i="5"/>
  <c r="AJ271" i="5"/>
  <c r="AJ274" i="5"/>
  <c r="AJ318" i="5"/>
  <c r="AJ336" i="5"/>
  <c r="AJ341" i="5"/>
  <c r="AJ342" i="5"/>
  <c r="AJ348" i="5"/>
  <c r="AJ349" i="5"/>
  <c r="AJ354" i="5"/>
  <c r="AJ358" i="5"/>
  <c r="AJ364" i="5"/>
  <c r="AJ366" i="5"/>
  <c r="AJ374" i="5"/>
  <c r="AJ378" i="5"/>
  <c r="AJ388" i="5"/>
  <c r="AJ394" i="5"/>
  <c r="AJ395" i="5"/>
  <c r="AJ398" i="5"/>
  <c r="AJ400" i="5"/>
  <c r="AJ406" i="5"/>
  <c r="AJ415" i="5"/>
  <c r="AJ420" i="5"/>
  <c r="AJ259" i="5"/>
  <c r="AJ264" i="5"/>
  <c r="AJ300" i="5"/>
  <c r="AJ303" i="5"/>
  <c r="AJ323" i="5"/>
  <c r="AJ343" i="5"/>
  <c r="AJ362" i="5"/>
  <c r="AJ368" i="5"/>
  <c r="AJ372" i="5"/>
  <c r="AJ376" i="5"/>
  <c r="AJ381" i="5"/>
  <c r="AJ382" i="5"/>
  <c r="AJ386" i="5"/>
  <c r="AJ387" i="5"/>
  <c r="AJ391" i="5"/>
  <c r="AJ396" i="5"/>
  <c r="AJ397" i="5"/>
  <c r="AJ401" i="5"/>
  <c r="AJ403" i="5"/>
  <c r="AJ405" i="5"/>
  <c r="AJ407" i="5"/>
  <c r="AJ409" i="5"/>
  <c r="AJ410" i="5"/>
  <c r="AJ338" i="5"/>
  <c r="AJ352" i="5"/>
  <c r="AJ385" i="5"/>
  <c r="AJ428" i="5"/>
  <c r="AJ429" i="5"/>
  <c r="AJ430" i="5"/>
  <c r="AJ440" i="5"/>
  <c r="AJ444" i="5"/>
  <c r="AJ446" i="5"/>
  <c r="AJ453" i="5"/>
  <c r="AJ461" i="5"/>
  <c r="AJ465" i="5"/>
  <c r="AJ467" i="5"/>
  <c r="AJ470" i="5"/>
  <c r="AJ476" i="5"/>
  <c r="AJ477" i="5"/>
  <c r="AJ479" i="5"/>
  <c r="AJ480" i="5"/>
  <c r="AJ482" i="5"/>
  <c r="AJ484" i="5"/>
  <c r="AJ492" i="5"/>
  <c r="AJ495" i="5"/>
  <c r="AJ500" i="5"/>
  <c r="AJ505" i="5"/>
  <c r="AJ506" i="5"/>
  <c r="AJ511" i="5"/>
  <c r="AJ512" i="5"/>
  <c r="AJ519" i="5"/>
  <c r="AJ523" i="5"/>
  <c r="AJ537" i="5"/>
  <c r="AJ288" i="5"/>
  <c r="AJ361" i="5"/>
  <c r="AJ367" i="5"/>
  <c r="AJ373" i="5"/>
  <c r="AJ418" i="5"/>
  <c r="AJ431" i="5"/>
  <c r="AJ436" i="5"/>
  <c r="AJ438" i="5"/>
  <c r="AJ441" i="5"/>
  <c r="AJ443" i="5"/>
  <c r="AJ449" i="5"/>
  <c r="AJ450" i="5"/>
  <c r="AJ451" i="5"/>
  <c r="AJ454" i="5"/>
  <c r="AJ455" i="5"/>
  <c r="AJ463" i="5"/>
  <c r="AJ466" i="5"/>
  <c r="AJ469" i="5"/>
  <c r="AJ473" i="5"/>
  <c r="AJ481" i="5"/>
  <c r="AJ487" i="5"/>
  <c r="AJ488" i="5"/>
  <c r="AJ489" i="5"/>
  <c r="AJ493" i="5"/>
  <c r="AJ494" i="5"/>
  <c r="AJ499" i="5"/>
  <c r="AJ502" i="5"/>
  <c r="AJ503" i="5"/>
  <c r="AJ508" i="5"/>
  <c r="AJ509" i="5"/>
  <c r="AJ510" i="5"/>
  <c r="AJ513" i="5"/>
  <c r="AJ518" i="5"/>
  <c r="AJ520" i="5"/>
  <c r="AJ521" i="5"/>
  <c r="AJ266" i="5"/>
  <c r="AJ335" i="5"/>
  <c r="AJ339" i="5"/>
  <c r="AJ351" i="5"/>
  <c r="AJ375" i="5"/>
  <c r="AJ393" i="5"/>
  <c r="AJ402" i="5"/>
  <c r="AJ411" i="5"/>
  <c r="AJ414" i="5"/>
  <c r="AJ417" i="5"/>
  <c r="AJ421" i="5"/>
  <c r="AJ422" i="5"/>
  <c r="AJ424" i="5"/>
  <c r="AJ425" i="5"/>
  <c r="AJ433" i="5"/>
  <c r="AJ435" i="5"/>
  <c r="AJ437" i="5"/>
  <c r="AJ442" i="5"/>
  <c r="AJ445" i="5"/>
  <c r="AJ448" i="5"/>
  <c r="AJ456" i="5"/>
  <c r="AJ458" i="5"/>
  <c r="AJ460" i="5"/>
  <c r="AJ464" i="5"/>
  <c r="AJ472" i="5"/>
  <c r="AJ483" i="5"/>
  <c r="AJ485" i="5"/>
  <c r="AJ490" i="5"/>
  <c r="AJ491" i="5"/>
  <c r="AJ496" i="5"/>
  <c r="AJ501" i="5"/>
  <c r="AJ517" i="5"/>
  <c r="AJ526" i="5"/>
  <c r="AJ527" i="5"/>
  <c r="AJ533" i="5"/>
  <c r="AJ534" i="5"/>
  <c r="AJ536" i="5"/>
  <c r="AJ538" i="5"/>
  <c r="AJ540" i="5"/>
  <c r="AJ542" i="5"/>
  <c r="AJ544" i="5"/>
  <c r="AJ547" i="5"/>
  <c r="AJ552" i="5"/>
  <c r="AJ558" i="5"/>
  <c r="AJ261" i="5"/>
  <c r="AJ279" i="5"/>
  <c r="AJ285" i="5"/>
  <c r="AJ291" i="5"/>
  <c r="AJ404" i="5"/>
  <c r="AJ423" i="5"/>
  <c r="AJ452" i="5"/>
  <c r="AJ459" i="5"/>
  <c r="AJ524" i="5"/>
  <c r="AJ532" i="5"/>
  <c r="AJ549" i="5"/>
  <c r="AJ550" i="5"/>
  <c r="AJ559" i="5"/>
  <c r="AJ556" i="5"/>
  <c r="AJ369" i="5"/>
  <c r="AJ462" i="5"/>
  <c r="AJ468" i="5"/>
  <c r="AJ516" i="5"/>
  <c r="AJ522" i="5"/>
  <c r="AJ528" i="5"/>
  <c r="AJ530" i="5"/>
  <c r="AJ535" i="5"/>
  <c r="AJ539" i="5"/>
  <c r="AJ541" i="5"/>
  <c r="AJ546" i="5"/>
  <c r="AJ551" i="5"/>
  <c r="AJ554" i="5"/>
  <c r="AJ548" i="5"/>
  <c r="AJ560" i="5"/>
  <c r="AJ383" i="5"/>
  <c r="AJ447" i="5"/>
  <c r="AJ457" i="5"/>
  <c r="AJ471" i="5"/>
  <c r="AJ475" i="5"/>
  <c r="AJ478" i="5"/>
  <c r="AJ486" i="5"/>
  <c r="AJ498" i="5"/>
  <c r="AJ504" i="5"/>
  <c r="AJ515" i="5"/>
  <c r="AJ525" i="5"/>
  <c r="AJ531" i="5"/>
  <c r="AJ555" i="5"/>
  <c r="AJ557" i="5"/>
  <c r="AJ360" i="5"/>
  <c r="AJ474" i="5"/>
  <c r="AJ497" i="5"/>
  <c r="AJ507" i="5"/>
  <c r="AJ514" i="5"/>
  <c r="AJ529" i="5"/>
  <c r="AJ543" i="5"/>
  <c r="AJ545" i="5"/>
  <c r="AJ553" i="5"/>
  <c r="AJ19" i="5"/>
  <c r="B76" i="2"/>
  <c r="AO2" i="4" s="1"/>
  <c r="B24" i="3"/>
  <c r="B74" i="2"/>
  <c r="B10" i="2"/>
  <c r="B16" i="3"/>
  <c r="B14" i="3"/>
  <c r="B12" i="3"/>
  <c r="B9" i="2"/>
  <c r="B12" i="10" s="1"/>
  <c r="B8" i="2"/>
  <c r="H59" i="1" s="1"/>
  <c r="B7" i="2"/>
  <c r="B10" i="10" s="1"/>
  <c r="AS73" i="10" l="1"/>
  <c r="AS247" i="10"/>
  <c r="AS402" i="10"/>
  <c r="AS484" i="10"/>
  <c r="AS243" i="10"/>
  <c r="AS527" i="10"/>
  <c r="AS394" i="10"/>
  <c r="AS357" i="10"/>
  <c r="AS258" i="10"/>
  <c r="AS348" i="10"/>
  <c r="AS83" i="10"/>
  <c r="AS191" i="10"/>
  <c r="AS168" i="10"/>
  <c r="AS400" i="10"/>
  <c r="AS538" i="10"/>
  <c r="AS42" i="10"/>
  <c r="AS69" i="10"/>
  <c r="AS188" i="10"/>
  <c r="AS283" i="10"/>
  <c r="AS313" i="10"/>
  <c r="AS310" i="10"/>
  <c r="AS420" i="10"/>
  <c r="AS391" i="10"/>
  <c r="AS456" i="10"/>
  <c r="AS457" i="10"/>
  <c r="AS535" i="10"/>
  <c r="AS347" i="10"/>
  <c r="AS314" i="10"/>
  <c r="AS492" i="10"/>
  <c r="AS542" i="10"/>
  <c r="AS101" i="10"/>
  <c r="AS272" i="10"/>
  <c r="AS132" i="10"/>
  <c r="AS164" i="10"/>
  <c r="AS254" i="10"/>
  <c r="AS414" i="10"/>
  <c r="AS436" i="10"/>
  <c r="AS497" i="10"/>
  <c r="AS499" i="10"/>
  <c r="AS530" i="10"/>
  <c r="B112" i="2"/>
  <c r="K112" i="2" s="1"/>
  <c r="B183" i="2"/>
  <c r="T7" i="5" s="1"/>
  <c r="V7" i="5" s="1"/>
  <c r="B18" i="5"/>
  <c r="B18" i="10"/>
  <c r="BV8" i="4"/>
  <c r="BV24" i="4"/>
  <c r="BV40" i="4"/>
  <c r="BV56" i="4"/>
  <c r="BV72" i="4"/>
  <c r="BV88" i="4"/>
  <c r="BV104" i="4"/>
  <c r="BV120" i="4"/>
  <c r="BV136" i="4"/>
  <c r="BV152" i="4"/>
  <c r="BV39" i="4"/>
  <c r="BV71" i="4"/>
  <c r="BV17" i="4"/>
  <c r="BV33" i="4"/>
  <c r="BV49" i="4"/>
  <c r="BV65" i="4"/>
  <c r="BV81" i="4"/>
  <c r="BV97" i="4"/>
  <c r="BV113" i="4"/>
  <c r="BV129" i="4"/>
  <c r="BV145" i="4"/>
  <c r="BV10" i="4"/>
  <c r="BV26" i="4"/>
  <c r="BV42" i="4"/>
  <c r="BV58" i="4"/>
  <c r="BV74" i="4"/>
  <c r="BV90" i="4"/>
  <c r="BV106" i="4"/>
  <c r="BV122" i="4"/>
  <c r="BV138" i="4"/>
  <c r="BV154" i="4"/>
  <c r="BV27" i="4"/>
  <c r="BV59" i="4"/>
  <c r="BV111" i="4"/>
  <c r="BV99" i="4"/>
  <c r="BV87" i="4"/>
  <c r="BV151" i="4"/>
  <c r="BV139" i="4"/>
  <c r="BV20" i="4"/>
  <c r="BV44" i="4"/>
  <c r="BV64" i="4"/>
  <c r="BV84" i="4"/>
  <c r="BV108" i="4"/>
  <c r="BV128" i="4"/>
  <c r="BV148" i="4"/>
  <c r="BV47" i="4"/>
  <c r="BV9" i="4"/>
  <c r="BV29" i="4"/>
  <c r="BV53" i="4"/>
  <c r="BV73" i="4"/>
  <c r="BV93" i="4"/>
  <c r="BV117" i="4"/>
  <c r="BV137" i="4"/>
  <c r="BV157" i="4"/>
  <c r="BV30" i="4"/>
  <c r="BV50" i="4"/>
  <c r="BV70" i="4"/>
  <c r="BV94" i="4"/>
  <c r="BV114" i="4"/>
  <c r="BV134" i="4"/>
  <c r="BV11" i="4"/>
  <c r="BV43" i="4"/>
  <c r="BV95" i="4"/>
  <c r="BV115" i="4"/>
  <c r="BV119" i="4"/>
  <c r="BV123" i="4"/>
  <c r="BV28" i="4"/>
  <c r="BV48" i="4"/>
  <c r="BV68" i="4"/>
  <c r="BV92" i="4"/>
  <c r="BV112" i="4"/>
  <c r="BV132" i="4"/>
  <c r="BV156" i="4"/>
  <c r="BV55" i="4"/>
  <c r="BV13" i="4"/>
  <c r="BV37" i="4"/>
  <c r="BV57" i="4"/>
  <c r="BV77" i="4"/>
  <c r="BV101" i="4"/>
  <c r="BV121" i="4"/>
  <c r="BV141" i="4"/>
  <c r="BV14" i="4"/>
  <c r="BV34" i="4"/>
  <c r="BV54" i="4"/>
  <c r="BV78" i="4"/>
  <c r="BV98" i="4"/>
  <c r="BV118" i="4"/>
  <c r="BV142" i="4"/>
  <c r="BV19" i="4"/>
  <c r="BV51" i="4"/>
  <c r="BV127" i="4"/>
  <c r="BV131" i="4"/>
  <c r="BV135" i="4"/>
  <c r="BV155" i="4"/>
  <c r="BV12" i="4"/>
  <c r="BV32" i="4"/>
  <c r="BV52" i="4"/>
  <c r="BV76" i="4"/>
  <c r="BV96" i="4"/>
  <c r="BV116" i="4"/>
  <c r="BV140" i="4"/>
  <c r="BV15" i="4"/>
  <c r="BV63" i="4"/>
  <c r="BV21" i="4"/>
  <c r="BV41" i="4"/>
  <c r="BV61" i="4"/>
  <c r="BV85" i="4"/>
  <c r="BV105" i="4"/>
  <c r="BV125" i="4"/>
  <c r="BV149" i="4"/>
  <c r="BV18" i="4"/>
  <c r="BV38" i="4"/>
  <c r="BV62" i="4"/>
  <c r="BV82" i="4"/>
  <c r="BV102" i="4"/>
  <c r="BV126" i="4"/>
  <c r="BV146" i="4"/>
  <c r="BV23" i="4"/>
  <c r="BV67" i="4"/>
  <c r="BV143" i="4"/>
  <c r="BV147" i="4"/>
  <c r="BV91" i="4"/>
  <c r="BV80" i="4"/>
  <c r="BV31" i="4"/>
  <c r="BV69" i="4"/>
  <c r="BV153" i="4"/>
  <c r="BV86" i="4"/>
  <c r="BV35" i="4"/>
  <c r="BV107" i="4"/>
  <c r="BV16" i="4"/>
  <c r="BV100" i="4"/>
  <c r="BV79" i="4"/>
  <c r="BV89" i="4"/>
  <c r="BV22" i="4"/>
  <c r="BV110" i="4"/>
  <c r="BV75" i="4"/>
  <c r="BV36" i="4"/>
  <c r="BV124" i="4"/>
  <c r="BV25" i="4"/>
  <c r="BV109" i="4"/>
  <c r="BV46" i="4"/>
  <c r="BV130" i="4"/>
  <c r="BV83" i="4"/>
  <c r="BV60" i="4"/>
  <c r="BV144" i="4"/>
  <c r="BV45" i="4"/>
  <c r="BV133" i="4"/>
  <c r="BV66" i="4"/>
  <c r="BV150" i="4"/>
  <c r="BV103" i="4"/>
  <c r="B29" i="10"/>
  <c r="AS24" i="10"/>
  <c r="AS51" i="10"/>
  <c r="AS97" i="10"/>
  <c r="AS45" i="10"/>
  <c r="AS145" i="10"/>
  <c r="AS32" i="10"/>
  <c r="AS60" i="10"/>
  <c r="AS75" i="10"/>
  <c r="AS150" i="10"/>
  <c r="AS197" i="10"/>
  <c r="AS135" i="10"/>
  <c r="AS128" i="10"/>
  <c r="AS160" i="10"/>
  <c r="AS207" i="10"/>
  <c r="AS255" i="10"/>
  <c r="AS287" i="10"/>
  <c r="AS212" i="10"/>
  <c r="AS228" i="10"/>
  <c r="AS331" i="10"/>
  <c r="AS356" i="10"/>
  <c r="AS333" i="10"/>
  <c r="AS374" i="10"/>
  <c r="AS408" i="10"/>
  <c r="AS365" i="10"/>
  <c r="AS432" i="10"/>
  <c r="AS482" i="10"/>
  <c r="AS475" i="10"/>
  <c r="AS494" i="10"/>
  <c r="AS496" i="10"/>
  <c r="AS537" i="10"/>
  <c r="AS81" i="10"/>
  <c r="AS57" i="10"/>
  <c r="AS129" i="10"/>
  <c r="AS22" i="10"/>
  <c r="AS23" i="10"/>
  <c r="AS41" i="10"/>
  <c r="AS169" i="10"/>
  <c r="AS185" i="10"/>
  <c r="AS86" i="10"/>
  <c r="AS118" i="10"/>
  <c r="AS268" i="10"/>
  <c r="AS68" i="10"/>
  <c r="AS221" i="10"/>
  <c r="AS237" i="10"/>
  <c r="AS244" i="10"/>
  <c r="AS190" i="10"/>
  <c r="AS206" i="10"/>
  <c r="AS301" i="10"/>
  <c r="AS315" i="10"/>
  <c r="AS324" i="10"/>
  <c r="AS340" i="10"/>
  <c r="AS282" i="10"/>
  <c r="AS298" i="10"/>
  <c r="AS346" i="10"/>
  <c r="AS424" i="10"/>
  <c r="AS427" i="10"/>
  <c r="AS460" i="10"/>
  <c r="AS397" i="10"/>
  <c r="AS413" i="10"/>
  <c r="AS429" i="10"/>
  <c r="AS448" i="10"/>
  <c r="AS446" i="10"/>
  <c r="AS463" i="10"/>
  <c r="AS490" i="10"/>
  <c r="AS461" i="10"/>
  <c r="AS477" i="10"/>
  <c r="AS508" i="10"/>
  <c r="AS543" i="10"/>
  <c r="AS548" i="10"/>
  <c r="AS85" i="10"/>
  <c r="AS149" i="10"/>
  <c r="AS95" i="10"/>
  <c r="AS138" i="10"/>
  <c r="AS154" i="10"/>
  <c r="AS201" i="10"/>
  <c r="AS187" i="10"/>
  <c r="AS259" i="10"/>
  <c r="AS291" i="10"/>
  <c r="AS368" i="10"/>
  <c r="AS216" i="10"/>
  <c r="AS232" i="10"/>
  <c r="AS304" i="10"/>
  <c r="AS194" i="10"/>
  <c r="AS319" i="10"/>
  <c r="AS344" i="10"/>
  <c r="AS321" i="10"/>
  <c r="AS353" i="10"/>
  <c r="AS318" i="10"/>
  <c r="AS350" i="10"/>
  <c r="AS366" i="10"/>
  <c r="AS396" i="10"/>
  <c r="AS428" i="10"/>
  <c r="AS398" i="10"/>
  <c r="AS464" i="10"/>
  <c r="AS479" i="10"/>
  <c r="AS493" i="10"/>
  <c r="AS498" i="10"/>
  <c r="AS516" i="10"/>
  <c r="AS534" i="10"/>
  <c r="AS532" i="10"/>
  <c r="AS553" i="10"/>
  <c r="AS551" i="10"/>
  <c r="AS20" i="10"/>
  <c r="AS62" i="10"/>
  <c r="AS77" i="10"/>
  <c r="AS93" i="10"/>
  <c r="AS125" i="10"/>
  <c r="AS87" i="10"/>
  <c r="AS115" i="10"/>
  <c r="AS131" i="10"/>
  <c r="AS179" i="10"/>
  <c r="AS264" i="10"/>
  <c r="AS296" i="10"/>
  <c r="AS124" i="10"/>
  <c r="AS156" i="10"/>
  <c r="AS380" i="10"/>
  <c r="AS218" i="10"/>
  <c r="AS234" i="10"/>
  <c r="AS249" i="10"/>
  <c r="AS265" i="10"/>
  <c r="AS281" i="10"/>
  <c r="AS297" i="10"/>
  <c r="AS311" i="10"/>
  <c r="AS320" i="10"/>
  <c r="AS262" i="10"/>
  <c r="AS294" i="10"/>
  <c r="AS422" i="10"/>
  <c r="AS407" i="10"/>
  <c r="AS486" i="10"/>
  <c r="AS488" i="10"/>
  <c r="AS491" i="10"/>
  <c r="AS507" i="10"/>
  <c r="AS541" i="10"/>
  <c r="AS554" i="10"/>
  <c r="AS55" i="10"/>
  <c r="AS300" i="10"/>
  <c r="AS30" i="10"/>
  <c r="AS50" i="10"/>
  <c r="AS117" i="10"/>
  <c r="AS63" i="10"/>
  <c r="AS90" i="10"/>
  <c r="AS275" i="10"/>
  <c r="AS178" i="10"/>
  <c r="AS210" i="10"/>
  <c r="AS242" i="10"/>
  <c r="AS273" i="10"/>
  <c r="AS375" i="10"/>
  <c r="AS312" i="10"/>
  <c r="AS337" i="10"/>
  <c r="AS412" i="10"/>
  <c r="AS433" i="10"/>
  <c r="AS512" i="10"/>
  <c r="AS44" i="10"/>
  <c r="AS40" i="10"/>
  <c r="AS52" i="10"/>
  <c r="AS137" i="10"/>
  <c r="AS153" i="10"/>
  <c r="AS46" i="10"/>
  <c r="AS33" i="10"/>
  <c r="AS99" i="10"/>
  <c r="AS177" i="10"/>
  <c r="AS193" i="10"/>
  <c r="AS78" i="10"/>
  <c r="AS94" i="10"/>
  <c r="AS110" i="10"/>
  <c r="AS126" i="10"/>
  <c r="AS158" i="10"/>
  <c r="AS223" i="10"/>
  <c r="AS239" i="10"/>
  <c r="AS159" i="10"/>
  <c r="AS276" i="10"/>
  <c r="AS88" i="10"/>
  <c r="AS104" i="10"/>
  <c r="AS136" i="10"/>
  <c r="AS213" i="10"/>
  <c r="AS229" i="10"/>
  <c r="AS263" i="10"/>
  <c r="AS295" i="10"/>
  <c r="AS204" i="10"/>
  <c r="AS166" i="10"/>
  <c r="AS198" i="10"/>
  <c r="AS214" i="10"/>
  <c r="AS230" i="10"/>
  <c r="AS245" i="10"/>
  <c r="AS261" i="10"/>
  <c r="AS277" i="10"/>
  <c r="AS293" i="10"/>
  <c r="AS307" i="10"/>
  <c r="AS339" i="10"/>
  <c r="AS355" i="10"/>
  <c r="AS379" i="10"/>
  <c r="AS316" i="10"/>
  <c r="AS309" i="10"/>
  <c r="AS341" i="10"/>
  <c r="AS274" i="10"/>
  <c r="AS416" i="10"/>
  <c r="AS418" i="10"/>
  <c r="AS387" i="10"/>
  <c r="AS403" i="10"/>
  <c r="AS419" i="10"/>
  <c r="AS437" i="10"/>
  <c r="AS451" i="10"/>
  <c r="AS373" i="10"/>
  <c r="AS389" i="10"/>
  <c r="AS405" i="10"/>
  <c r="AS421" i="10"/>
  <c r="AS435" i="10"/>
  <c r="AS440" i="10"/>
  <c r="AS474" i="10"/>
  <c r="AS458" i="10"/>
  <c r="AS489" i="10"/>
  <c r="AS455" i="10"/>
  <c r="AS483" i="10"/>
  <c r="AS501" i="10"/>
  <c r="AS485" i="10"/>
  <c r="AS509" i="10"/>
  <c r="AS533" i="10"/>
  <c r="AS531" i="10"/>
  <c r="AS520" i="10"/>
  <c r="AS550" i="10"/>
  <c r="AS536" i="10"/>
  <c r="AS34" i="10"/>
  <c r="AS25" i="10"/>
  <c r="AS219" i="10"/>
  <c r="AS107" i="10"/>
  <c r="AS155" i="10"/>
  <c r="AS226" i="10"/>
  <c r="AS257" i="10"/>
  <c r="AS289" i="10"/>
  <c r="AS384" i="10"/>
  <c r="AS334" i="10"/>
  <c r="AS430" i="10"/>
  <c r="AS415" i="10"/>
  <c r="AS369" i="10"/>
  <c r="AS385" i="10"/>
  <c r="AS450" i="10"/>
  <c r="AS500" i="10"/>
  <c r="AS546" i="10"/>
  <c r="AS36" i="10"/>
  <c r="AS53" i="10"/>
  <c r="AS28" i="10"/>
  <c r="AS141" i="10"/>
  <c r="AS157" i="10"/>
  <c r="AS61" i="10"/>
  <c r="AS38" i="10"/>
  <c r="AS58" i="10"/>
  <c r="AS165" i="10"/>
  <c r="AS181" i="10"/>
  <c r="AS82" i="10"/>
  <c r="AS98" i="10"/>
  <c r="AS114" i="10"/>
  <c r="AS130" i="10"/>
  <c r="AS146" i="10"/>
  <c r="AS211" i="10"/>
  <c r="AS227" i="10"/>
  <c r="AS147" i="10"/>
  <c r="AS248" i="10"/>
  <c r="AS280" i="10"/>
  <c r="AS76" i="10"/>
  <c r="AS92" i="10"/>
  <c r="AS108" i="10"/>
  <c r="AS140" i="10"/>
  <c r="AS203" i="10"/>
  <c r="AS217" i="10"/>
  <c r="AS233" i="10"/>
  <c r="AS267" i="10"/>
  <c r="AS299" i="10"/>
  <c r="AS364" i="10"/>
  <c r="AS208" i="10"/>
  <c r="AS224" i="10"/>
  <c r="AS240" i="10"/>
  <c r="AS170" i="10"/>
  <c r="AS202" i="10"/>
  <c r="AS327" i="10"/>
  <c r="AS343" i="10"/>
  <c r="AS383" i="10"/>
  <c r="AS336" i="10"/>
  <c r="AS352" i="10"/>
  <c r="AS329" i="10"/>
  <c r="AS370" i="10"/>
  <c r="AS246" i="10"/>
  <c r="AS278" i="10"/>
  <c r="AS326" i="10"/>
  <c r="AS358" i="10"/>
  <c r="AS404" i="10"/>
  <c r="AS390" i="10"/>
  <c r="AS423" i="10"/>
  <c r="AS361" i="10"/>
  <c r="AS377" i="10"/>
  <c r="AS393" i="10"/>
  <c r="AS409" i="10"/>
  <c r="AS425" i="10"/>
  <c r="AS438" i="10"/>
  <c r="AS444" i="10"/>
  <c r="AS478" i="10"/>
  <c r="AS462" i="10"/>
  <c r="AS442" i="10"/>
  <c r="AS459" i="10"/>
  <c r="AS471" i="10"/>
  <c r="AS472" i="10"/>
  <c r="AS505" i="10"/>
  <c r="AS519" i="10"/>
  <c r="AS513" i="10"/>
  <c r="AS510" i="10"/>
  <c r="AS523" i="10"/>
  <c r="AS539" i="10"/>
  <c r="AS557" i="10"/>
  <c r="AS544" i="10"/>
  <c r="AS559" i="10"/>
  <c r="B54" i="10"/>
  <c r="B13" i="10"/>
  <c r="AS21" i="10"/>
  <c r="AS56" i="10"/>
  <c r="AS89" i="10"/>
  <c r="AS105" i="10"/>
  <c r="AS35" i="10"/>
  <c r="AS48" i="10"/>
  <c r="AS142" i="10"/>
  <c r="AS205" i="10"/>
  <c r="AS111" i="10"/>
  <c r="AS175" i="10"/>
  <c r="AS260" i="10"/>
  <c r="AS292" i="10"/>
  <c r="AS372" i="10"/>
  <c r="AS220" i="10"/>
  <c r="AS236" i="10"/>
  <c r="AS182" i="10"/>
  <c r="AS332" i="10"/>
  <c r="AS382" i="10"/>
  <c r="AS290" i="10"/>
  <c r="AS306" i="10"/>
  <c r="AS322" i="10"/>
  <c r="AS338" i="10"/>
  <c r="AS386" i="10"/>
  <c r="AS434" i="10"/>
  <c r="AS445" i="10"/>
  <c r="AS487" i="10"/>
  <c r="AS502" i="10"/>
  <c r="AS515" i="10"/>
  <c r="AS506" i="10"/>
  <c r="AS521" i="10"/>
  <c r="AS503" i="10"/>
  <c r="AS552" i="10"/>
  <c r="AS540" i="10"/>
  <c r="AS560" i="10"/>
  <c r="AM12" i="10"/>
  <c r="AG12" i="10"/>
  <c r="AP12" i="10"/>
  <c r="AJ12" i="10"/>
  <c r="AS47" i="10"/>
  <c r="AS113" i="10"/>
  <c r="AS71" i="10"/>
  <c r="AS102" i="10"/>
  <c r="AS215" i="10"/>
  <c r="AS119" i="10"/>
  <c r="AS183" i="10"/>
  <c r="AS96" i="10"/>
  <c r="AS112" i="10"/>
  <c r="AS144" i="10"/>
  <c r="AS271" i="10"/>
  <c r="AS303" i="10"/>
  <c r="AS367" i="10"/>
  <c r="AS222" i="10"/>
  <c r="AS238" i="10"/>
  <c r="AS253" i="10"/>
  <c r="AS269" i="10"/>
  <c r="AS285" i="10"/>
  <c r="AS308" i="10"/>
  <c r="AS317" i="10"/>
  <c r="AS349" i="10"/>
  <c r="AS266" i="10"/>
  <c r="AS330" i="10"/>
  <c r="AS392" i="10"/>
  <c r="AS395" i="10"/>
  <c r="AS411" i="10"/>
  <c r="AS381" i="10"/>
  <c r="AS466" i="10"/>
  <c r="AS476" i="10"/>
  <c r="AS525" i="10"/>
  <c r="AS514" i="10"/>
  <c r="AS511" i="10"/>
  <c r="AS526" i="10"/>
  <c r="AS545" i="10"/>
  <c r="AS558" i="10"/>
  <c r="AG13" i="10"/>
  <c r="AM13" i="10"/>
  <c r="AP13" i="10"/>
  <c r="AJ13" i="10"/>
  <c r="B51" i="10"/>
  <c r="AS26" i="10"/>
  <c r="AS49" i="10"/>
  <c r="AS66" i="10"/>
  <c r="AS133" i="10"/>
  <c r="AS31" i="10"/>
  <c r="AS79" i="10"/>
  <c r="AS173" i="10"/>
  <c r="AS189" i="10"/>
  <c r="AS106" i="10"/>
  <c r="AS122" i="10"/>
  <c r="AS235" i="10"/>
  <c r="AS123" i="10"/>
  <c r="AS171" i="10"/>
  <c r="AS256" i="10"/>
  <c r="AS288" i="10"/>
  <c r="AS70" i="10"/>
  <c r="AS116" i="10"/>
  <c r="AS148" i="10"/>
  <c r="AS209" i="10"/>
  <c r="AS225" i="10"/>
  <c r="AS241" i="10"/>
  <c r="AS360" i="10"/>
  <c r="AS305" i="10"/>
  <c r="AS351" i="10"/>
  <c r="AS328" i="10"/>
  <c r="AS270" i="10"/>
  <c r="AS302" i="10"/>
  <c r="AS401" i="10"/>
  <c r="AS417" i="10"/>
  <c r="AS452" i="10"/>
  <c r="AS441" i="10"/>
  <c r="AS470" i="10"/>
  <c r="AS467" i="10"/>
  <c r="AS480" i="10"/>
  <c r="AS518" i="10"/>
  <c r="AS556" i="10"/>
  <c r="T8" i="10"/>
  <c r="T12" i="10"/>
  <c r="T13" i="10"/>
  <c r="T7" i="10"/>
  <c r="B16" i="10"/>
  <c r="P15" i="10" s="1"/>
  <c r="B11" i="10"/>
  <c r="B40" i="10"/>
  <c r="B52" i="10" s="1"/>
  <c r="AI537" i="10"/>
  <c r="AH537" i="10"/>
  <c r="AI502" i="10"/>
  <c r="AH502" i="10"/>
  <c r="AH385" i="10"/>
  <c r="AI385" i="10"/>
  <c r="AH336" i="10"/>
  <c r="AI336" i="10"/>
  <c r="AH305" i="10"/>
  <c r="AI305" i="10"/>
  <c r="AH269" i="10"/>
  <c r="AI269" i="10"/>
  <c r="AH245" i="10"/>
  <c r="AI245" i="10"/>
  <c r="AI226" i="10"/>
  <c r="AH226" i="10"/>
  <c r="AI155" i="10"/>
  <c r="AH155" i="10"/>
  <c r="AH118" i="10"/>
  <c r="AI118" i="10"/>
  <c r="AH200" i="10"/>
  <c r="AI200" i="10"/>
  <c r="AI22" i="10"/>
  <c r="AH22" i="10"/>
  <c r="AH558" i="10"/>
  <c r="AI558" i="10"/>
  <c r="AH497" i="10"/>
  <c r="AI497" i="10"/>
  <c r="AI490" i="10"/>
  <c r="AH490" i="10"/>
  <c r="AH429" i="10"/>
  <c r="AI429" i="10"/>
  <c r="AI396" i="10"/>
  <c r="AH396" i="10"/>
  <c r="AH348" i="10"/>
  <c r="AI348" i="10"/>
  <c r="AI193" i="10"/>
  <c r="AH193" i="10"/>
  <c r="AH276" i="10"/>
  <c r="AI276" i="10"/>
  <c r="AI238" i="10"/>
  <c r="AH238" i="10"/>
  <c r="AH208" i="10"/>
  <c r="AI208" i="10"/>
  <c r="AI174" i="10"/>
  <c r="AH174" i="10"/>
  <c r="AH130" i="10"/>
  <c r="AI130" i="10"/>
  <c r="AH42" i="10"/>
  <c r="AI42" i="10"/>
  <c r="AH40" i="10"/>
  <c r="AI40" i="10"/>
  <c r="AI535" i="10"/>
  <c r="AH535" i="10"/>
  <c r="AH471" i="10"/>
  <c r="AI471" i="10"/>
  <c r="AI400" i="10"/>
  <c r="AH400" i="10"/>
  <c r="AI321" i="10"/>
  <c r="AH321" i="10"/>
  <c r="AH281" i="10"/>
  <c r="AI281" i="10"/>
  <c r="AI519" i="10"/>
  <c r="AH519" i="10"/>
  <c r="AI506" i="10"/>
  <c r="AH506" i="10"/>
  <c r="AI456" i="10"/>
  <c r="AH456" i="10"/>
  <c r="AI426" i="10"/>
  <c r="AH426" i="10"/>
  <c r="AH393" i="10"/>
  <c r="AI393" i="10"/>
  <c r="AI392" i="10"/>
  <c r="AH392" i="10"/>
  <c r="AI349" i="10"/>
  <c r="AH349" i="10"/>
  <c r="AI317" i="10"/>
  <c r="AH317" i="10"/>
  <c r="AH312" i="10"/>
  <c r="AI312" i="10"/>
  <c r="AH387" i="10"/>
  <c r="AI387" i="10"/>
  <c r="AI218" i="10"/>
  <c r="AH218" i="10"/>
  <c r="AI117" i="10"/>
  <c r="AH117" i="10"/>
  <c r="AI101" i="10"/>
  <c r="AH101" i="10"/>
  <c r="AI147" i="10"/>
  <c r="AH147" i="10"/>
  <c r="AH142" i="10"/>
  <c r="AI142" i="10"/>
  <c r="AH78" i="10"/>
  <c r="AI78" i="10"/>
  <c r="AI64" i="10"/>
  <c r="AH64" i="10"/>
  <c r="AH30" i="10"/>
  <c r="AI30" i="10"/>
  <c r="AH530" i="10"/>
  <c r="AI530" i="10"/>
  <c r="AI329" i="10"/>
  <c r="AH329" i="10"/>
  <c r="AH261" i="10"/>
  <c r="AI261" i="10"/>
  <c r="AH538" i="10"/>
  <c r="AI538" i="10"/>
  <c r="AI514" i="10"/>
  <c r="AH514" i="10"/>
  <c r="AI494" i="10"/>
  <c r="AH494" i="10"/>
  <c r="AI451" i="10"/>
  <c r="AH451" i="10"/>
  <c r="AH444" i="10"/>
  <c r="AI444" i="10"/>
  <c r="AH405" i="10"/>
  <c r="AI405" i="10"/>
  <c r="AI388" i="10"/>
  <c r="AH388" i="10"/>
  <c r="AH356" i="10"/>
  <c r="AI356" i="10"/>
  <c r="AH241" i="10"/>
  <c r="AI241" i="10"/>
  <c r="AH373" i="10"/>
  <c r="AI373" i="10"/>
  <c r="AH288" i="10"/>
  <c r="AI288" i="10"/>
  <c r="AH256" i="10"/>
  <c r="AI256" i="10"/>
  <c r="AI85" i="10"/>
  <c r="AH85" i="10"/>
  <c r="AI194" i="10"/>
  <c r="AH194" i="10"/>
  <c r="AH154" i="10"/>
  <c r="AI154" i="10"/>
  <c r="AH98" i="10"/>
  <c r="AI98" i="10"/>
  <c r="AI19" i="10"/>
  <c r="AH19" i="10"/>
  <c r="AI39" i="10"/>
  <c r="AH39" i="10"/>
  <c r="AH88" i="10"/>
  <c r="AI88" i="10"/>
  <c r="AI44" i="10"/>
  <c r="AH44" i="10"/>
  <c r="AI55" i="10"/>
  <c r="AH55" i="10"/>
  <c r="AI104" i="10"/>
  <c r="AH104" i="10"/>
  <c r="AI120" i="10"/>
  <c r="AH120" i="10"/>
  <c r="AI136" i="10"/>
  <c r="AH136" i="10"/>
  <c r="AI152" i="10"/>
  <c r="AH152" i="10"/>
  <c r="AI48" i="10"/>
  <c r="AH48" i="10"/>
  <c r="AH76" i="10"/>
  <c r="AI76" i="10"/>
  <c r="AH164" i="10"/>
  <c r="AI164" i="10"/>
  <c r="AI206" i="10"/>
  <c r="AH206" i="10"/>
  <c r="AI202" i="10"/>
  <c r="AH202" i="10"/>
  <c r="AH172" i="10"/>
  <c r="AI172" i="10"/>
  <c r="AI26" i="10"/>
  <c r="AH26" i="10"/>
  <c r="AI149" i="10"/>
  <c r="AH149" i="10"/>
  <c r="AI247" i="10"/>
  <c r="AH247" i="10"/>
  <c r="AI263" i="10"/>
  <c r="AH263" i="10"/>
  <c r="AI279" i="10"/>
  <c r="AH279" i="10"/>
  <c r="AI295" i="10"/>
  <c r="AH295" i="10"/>
  <c r="AH224" i="10"/>
  <c r="AI224" i="10"/>
  <c r="AH240" i="10"/>
  <c r="AI240" i="10"/>
  <c r="AH254" i="10"/>
  <c r="AI254" i="10"/>
  <c r="AH270" i="10"/>
  <c r="AI270" i="10"/>
  <c r="AH286" i="10"/>
  <c r="AI286" i="10"/>
  <c r="AI67" i="10"/>
  <c r="AH67" i="10"/>
  <c r="AI87" i="10"/>
  <c r="AH87" i="10"/>
  <c r="AI103" i="10"/>
  <c r="AH103" i="10"/>
  <c r="AI119" i="10"/>
  <c r="AH119" i="10"/>
  <c r="AI171" i="10"/>
  <c r="AH171" i="10"/>
  <c r="AI187" i="10"/>
  <c r="AH187" i="10"/>
  <c r="AI318" i="10"/>
  <c r="AH318" i="10"/>
  <c r="AI334" i="10"/>
  <c r="AH334" i="10"/>
  <c r="AI350" i="10"/>
  <c r="AH350" i="10"/>
  <c r="AH302" i="10"/>
  <c r="AI302" i="10"/>
  <c r="AI203" i="10"/>
  <c r="AH203" i="10"/>
  <c r="AI219" i="10"/>
  <c r="AH219" i="10"/>
  <c r="AI235" i="10"/>
  <c r="AH235" i="10"/>
  <c r="AH367" i="10"/>
  <c r="AI367" i="10"/>
  <c r="AI315" i="10"/>
  <c r="AH315" i="10"/>
  <c r="AI331" i="10"/>
  <c r="AH331" i="10"/>
  <c r="AI347" i="10"/>
  <c r="AH347" i="10"/>
  <c r="AI362" i="10"/>
  <c r="AH362" i="10"/>
  <c r="AH436" i="10"/>
  <c r="AI436" i="10"/>
  <c r="AH379" i="10"/>
  <c r="AI379" i="10"/>
  <c r="AH399" i="10"/>
  <c r="AI399" i="10"/>
  <c r="AH415" i="10"/>
  <c r="AI415" i="10"/>
  <c r="AI370" i="10"/>
  <c r="AH370" i="10"/>
  <c r="AH455" i="10"/>
  <c r="AI455" i="10"/>
  <c r="AI450" i="10"/>
  <c r="AH450" i="10"/>
  <c r="AI398" i="10"/>
  <c r="AH398" i="10"/>
  <c r="AI414" i="10"/>
  <c r="AH414" i="10"/>
  <c r="AI481" i="10"/>
  <c r="AH481" i="10"/>
  <c r="AH467" i="10"/>
  <c r="AI467" i="10"/>
  <c r="AI445" i="10"/>
  <c r="AH445" i="10"/>
  <c r="AI458" i="10"/>
  <c r="AH458" i="10"/>
  <c r="AI488" i="10"/>
  <c r="AH488" i="10"/>
  <c r="AI478" i="10"/>
  <c r="AH478" i="10"/>
  <c r="AH495" i="10"/>
  <c r="AI495" i="10"/>
  <c r="AI528" i="10"/>
  <c r="AH528" i="10"/>
  <c r="AH518" i="10"/>
  <c r="AI518" i="10"/>
  <c r="AI521" i="10"/>
  <c r="AH521" i="10"/>
  <c r="AI540" i="10"/>
  <c r="AH540" i="10"/>
  <c r="AH544" i="10"/>
  <c r="AI544" i="10"/>
  <c r="AI545" i="10"/>
  <c r="AH545" i="10"/>
  <c r="AQ560" i="10"/>
  <c r="AR560" i="10"/>
  <c r="AR521" i="10"/>
  <c r="AQ521" i="10"/>
  <c r="AR441" i="10"/>
  <c r="AQ441" i="10"/>
  <c r="AQ330" i="10"/>
  <c r="AR330" i="10"/>
  <c r="AR308" i="10"/>
  <c r="AQ308" i="10"/>
  <c r="AR288" i="10"/>
  <c r="AQ288" i="10"/>
  <c r="AR256" i="10"/>
  <c r="AQ256" i="10"/>
  <c r="AR171" i="10"/>
  <c r="AQ171" i="10"/>
  <c r="AR123" i="10"/>
  <c r="AQ123" i="10"/>
  <c r="AQ31" i="10"/>
  <c r="AR31" i="10"/>
  <c r="AQ48" i="10"/>
  <c r="AR48" i="10"/>
  <c r="AR129" i="10"/>
  <c r="AQ129" i="10"/>
  <c r="AR77" i="10"/>
  <c r="AQ77" i="10"/>
  <c r="AR29" i="10"/>
  <c r="AQ29" i="10"/>
  <c r="AR552" i="10"/>
  <c r="AQ552" i="10"/>
  <c r="AR517" i="10"/>
  <c r="AQ517" i="10"/>
  <c r="AR497" i="10"/>
  <c r="AQ497" i="10"/>
  <c r="AR454" i="10"/>
  <c r="AQ454" i="10"/>
  <c r="AR408" i="10"/>
  <c r="AQ408" i="10"/>
  <c r="AQ423" i="10"/>
  <c r="AR423" i="10"/>
  <c r="AQ437" i="10"/>
  <c r="AR437" i="10"/>
  <c r="AR374" i="10"/>
  <c r="AQ374" i="10"/>
  <c r="AR447" i="10"/>
  <c r="AQ447" i="10"/>
  <c r="AR333" i="10"/>
  <c r="AQ333" i="10"/>
  <c r="AQ432" i="10"/>
  <c r="AR432" i="10"/>
  <c r="AR336" i="10"/>
  <c r="AQ336" i="10"/>
  <c r="AQ287" i="10"/>
  <c r="AR287" i="10"/>
  <c r="AQ255" i="10"/>
  <c r="AR255" i="10"/>
  <c r="AR331" i="10"/>
  <c r="AQ331" i="10"/>
  <c r="AR211" i="10"/>
  <c r="AQ211" i="10"/>
  <c r="AQ132" i="10"/>
  <c r="AR132" i="10"/>
  <c r="AQ100" i="10"/>
  <c r="AR100" i="10"/>
  <c r="AR159" i="10"/>
  <c r="AQ159" i="10"/>
  <c r="AQ84" i="10"/>
  <c r="AR84" i="10"/>
  <c r="AR204" i="10"/>
  <c r="AQ204" i="10"/>
  <c r="AQ170" i="10"/>
  <c r="AR170" i="10"/>
  <c r="AR60" i="10"/>
  <c r="AQ60" i="10"/>
  <c r="AR141" i="10"/>
  <c r="AQ141" i="10"/>
  <c r="AQ78" i="10"/>
  <c r="AR78" i="10"/>
  <c r="AR38" i="10"/>
  <c r="AQ38" i="10"/>
  <c r="AR53" i="10"/>
  <c r="AQ53" i="10"/>
  <c r="AR531" i="10"/>
  <c r="AQ531" i="10"/>
  <c r="AR474" i="10"/>
  <c r="AQ474" i="10"/>
  <c r="AR378" i="10"/>
  <c r="AQ378" i="10"/>
  <c r="AQ436" i="10"/>
  <c r="AR436" i="10"/>
  <c r="AQ548" i="10"/>
  <c r="AR548" i="10"/>
  <c r="AR549" i="10"/>
  <c r="AQ549" i="10"/>
  <c r="AQ520" i="10"/>
  <c r="AR520" i="10"/>
  <c r="AR483" i="10"/>
  <c r="AQ483" i="10"/>
  <c r="AR482" i="10"/>
  <c r="AQ482" i="10"/>
  <c r="AQ403" i="10"/>
  <c r="AR403" i="10"/>
  <c r="AR418" i="10"/>
  <c r="AQ418" i="10"/>
  <c r="AQ358" i="10"/>
  <c r="AR358" i="10"/>
  <c r="AQ326" i="10"/>
  <c r="AR326" i="10"/>
  <c r="AQ361" i="10"/>
  <c r="AR361" i="10"/>
  <c r="AQ377" i="10"/>
  <c r="AR377" i="10"/>
  <c r="AR327" i="10"/>
  <c r="AQ327" i="10"/>
  <c r="AR223" i="10"/>
  <c r="AQ223" i="10"/>
  <c r="AR276" i="10"/>
  <c r="AQ276" i="10"/>
  <c r="AQ195" i="10"/>
  <c r="AR195" i="10"/>
  <c r="AQ208" i="10"/>
  <c r="AR208" i="10"/>
  <c r="AQ33" i="10"/>
  <c r="AR33" i="10"/>
  <c r="AR196" i="10"/>
  <c r="AQ196" i="10"/>
  <c r="AQ58" i="10"/>
  <c r="AR58" i="10"/>
  <c r="AR153" i="10"/>
  <c r="AQ153" i="10"/>
  <c r="AQ90" i="10"/>
  <c r="AR90" i="10"/>
  <c r="AR44" i="10"/>
  <c r="AQ44" i="10"/>
  <c r="AR513" i="10"/>
  <c r="AQ513" i="10"/>
  <c r="AQ492" i="10"/>
  <c r="AR492" i="10"/>
  <c r="AR410" i="10"/>
  <c r="AQ410" i="10"/>
  <c r="AR300" i="10"/>
  <c r="AQ300" i="10"/>
  <c r="AQ559" i="10"/>
  <c r="AR559" i="10"/>
  <c r="AQ536" i="10"/>
  <c r="AR536" i="10"/>
  <c r="AQ528" i="10"/>
  <c r="AR528" i="10"/>
  <c r="AR510" i="10"/>
  <c r="AQ510" i="10"/>
  <c r="AQ485" i="10"/>
  <c r="AR485" i="10"/>
  <c r="AR501" i="10"/>
  <c r="AQ501" i="10"/>
  <c r="AR458" i="10"/>
  <c r="AQ458" i="10"/>
  <c r="AR412" i="10"/>
  <c r="AQ412" i="10"/>
  <c r="AQ415" i="10"/>
  <c r="AR415" i="10"/>
  <c r="AR430" i="10"/>
  <c r="AQ430" i="10"/>
  <c r="AR435" i="10"/>
  <c r="AQ435" i="10"/>
  <c r="AQ369" i="10"/>
  <c r="AR369" i="10"/>
  <c r="AR337" i="10"/>
  <c r="AQ337" i="10"/>
  <c r="AR307" i="10"/>
  <c r="AQ307" i="10"/>
  <c r="AR312" i="10"/>
  <c r="AQ312" i="10"/>
  <c r="AQ275" i="10"/>
  <c r="AR275" i="10"/>
  <c r="AR355" i="10"/>
  <c r="AQ355" i="10"/>
  <c r="AR219" i="10"/>
  <c r="AQ219" i="10"/>
  <c r="AQ136" i="10"/>
  <c r="AR136" i="10"/>
  <c r="AQ104" i="10"/>
  <c r="AR104" i="10"/>
  <c r="AR151" i="10"/>
  <c r="AQ151" i="10"/>
  <c r="AQ92" i="10"/>
  <c r="AR92" i="10"/>
  <c r="AR28" i="10"/>
  <c r="AQ28" i="10"/>
  <c r="AQ174" i="10"/>
  <c r="AR174" i="10"/>
  <c r="AR63" i="10"/>
  <c r="AQ63" i="10"/>
  <c r="AR117" i="10"/>
  <c r="AQ117" i="10"/>
  <c r="AR52" i="10"/>
  <c r="AQ52" i="10"/>
  <c r="AR46" i="10"/>
  <c r="AQ46" i="10"/>
  <c r="AR30" i="10"/>
  <c r="AQ30" i="10"/>
  <c r="AR34" i="10"/>
  <c r="AQ34" i="10"/>
  <c r="AQ250" i="10"/>
  <c r="AR250" i="10"/>
  <c r="AR61" i="10"/>
  <c r="AQ61" i="10"/>
  <c r="AR176" i="10"/>
  <c r="AQ176" i="10"/>
  <c r="AR192" i="10"/>
  <c r="AQ192" i="10"/>
  <c r="AR134" i="10"/>
  <c r="AQ134" i="10"/>
  <c r="AQ246" i="10"/>
  <c r="AR246" i="10"/>
  <c r="AQ278" i="10"/>
  <c r="AR278" i="10"/>
  <c r="AR110" i="10"/>
  <c r="AQ110" i="10"/>
  <c r="AR126" i="10"/>
  <c r="AQ126" i="10"/>
  <c r="AR146" i="10"/>
  <c r="AQ146" i="10"/>
  <c r="AQ202" i="10"/>
  <c r="AR202" i="10"/>
  <c r="AQ224" i="10"/>
  <c r="AR224" i="10"/>
  <c r="AQ240" i="10"/>
  <c r="AR240" i="10"/>
  <c r="AR177" i="10"/>
  <c r="AQ177" i="10"/>
  <c r="AR193" i="10"/>
  <c r="AQ193" i="10"/>
  <c r="AQ210" i="10"/>
  <c r="AR210" i="10"/>
  <c r="AQ226" i="10"/>
  <c r="AR226" i="10"/>
  <c r="AQ242" i="10"/>
  <c r="AR242" i="10"/>
  <c r="AR257" i="10"/>
  <c r="AQ257" i="10"/>
  <c r="AR273" i="10"/>
  <c r="AQ273" i="10"/>
  <c r="AR289" i="10"/>
  <c r="AQ289" i="10"/>
  <c r="AR213" i="10"/>
  <c r="AQ213" i="10"/>
  <c r="AR229" i="10"/>
  <c r="AQ229" i="10"/>
  <c r="AQ371" i="10"/>
  <c r="AR371" i="10"/>
  <c r="AQ389" i="10"/>
  <c r="AR389" i="10"/>
  <c r="AQ405" i="10"/>
  <c r="AR405" i="10"/>
  <c r="AQ421" i="10"/>
  <c r="AR421" i="10"/>
  <c r="AQ375" i="10"/>
  <c r="AR375" i="10"/>
  <c r="AQ385" i="10"/>
  <c r="AR385" i="10"/>
  <c r="AR440" i="10"/>
  <c r="AQ440" i="10"/>
  <c r="AR455" i="10"/>
  <c r="AQ455" i="10"/>
  <c r="AR471" i="10"/>
  <c r="AQ471" i="10"/>
  <c r="AR489" i="10"/>
  <c r="AQ489" i="10"/>
  <c r="AQ495" i="10"/>
  <c r="AR495" i="10"/>
  <c r="AR519" i="10"/>
  <c r="AQ519" i="10"/>
  <c r="AQ544" i="10"/>
  <c r="AR544" i="10"/>
  <c r="AI533" i="10"/>
  <c r="AH533" i="10"/>
  <c r="AI461" i="10"/>
  <c r="AH461" i="10"/>
  <c r="AI353" i="10"/>
  <c r="AH353" i="10"/>
  <c r="AH320" i="10"/>
  <c r="AI320" i="10"/>
  <c r="AH297" i="10"/>
  <c r="AI297" i="10"/>
  <c r="AH257" i="10"/>
  <c r="AI257" i="10"/>
  <c r="AI181" i="10"/>
  <c r="AH181" i="10"/>
  <c r="AI210" i="10"/>
  <c r="AH210" i="10"/>
  <c r="AI139" i="10"/>
  <c r="AH139" i="10"/>
  <c r="AH102" i="10"/>
  <c r="AI102" i="10"/>
  <c r="AI66" i="10"/>
  <c r="AH66" i="10"/>
  <c r="AH34" i="10"/>
  <c r="AI34" i="10"/>
  <c r="AH553" i="10"/>
  <c r="AI553" i="10"/>
  <c r="AH487" i="10"/>
  <c r="AI487" i="10"/>
  <c r="AH483" i="10"/>
  <c r="AI483" i="10"/>
  <c r="AH413" i="10"/>
  <c r="AI413" i="10"/>
  <c r="AH380" i="10"/>
  <c r="AI380" i="10"/>
  <c r="AH332" i="10"/>
  <c r="AI332" i="10"/>
  <c r="AH217" i="10"/>
  <c r="AI217" i="10"/>
  <c r="AI177" i="10"/>
  <c r="AH177" i="10"/>
  <c r="AH268" i="10"/>
  <c r="AI268" i="10"/>
  <c r="AI222" i="10"/>
  <c r="AH222" i="10"/>
  <c r="AI151" i="10"/>
  <c r="AH151" i="10"/>
  <c r="AI62" i="10"/>
  <c r="AH62" i="10"/>
  <c r="AI166" i="10"/>
  <c r="AH166" i="10"/>
  <c r="AH114" i="10"/>
  <c r="AI114" i="10"/>
  <c r="AI35" i="10"/>
  <c r="AH35" i="10"/>
  <c r="AH69" i="10"/>
  <c r="AI69" i="10"/>
  <c r="AI520" i="10"/>
  <c r="AH520" i="10"/>
  <c r="AH440" i="10"/>
  <c r="AI440" i="10"/>
  <c r="AI384" i="10"/>
  <c r="AH384" i="10"/>
  <c r="AI205" i="10"/>
  <c r="AH205" i="10"/>
  <c r="AH265" i="10"/>
  <c r="AI265" i="10"/>
  <c r="AI527" i="10"/>
  <c r="AH527" i="10"/>
  <c r="AI498" i="10"/>
  <c r="AH498" i="10"/>
  <c r="AI480" i="10"/>
  <c r="AH480" i="10"/>
  <c r="AI422" i="10"/>
  <c r="AH422" i="10"/>
  <c r="AI465" i="10"/>
  <c r="AH465" i="10"/>
  <c r="AH376" i="10"/>
  <c r="AI376" i="10"/>
  <c r="AI341" i="10"/>
  <c r="AH341" i="10"/>
  <c r="AI309" i="10"/>
  <c r="AH309" i="10"/>
  <c r="AH229" i="10"/>
  <c r="AI229" i="10"/>
  <c r="AI189" i="10"/>
  <c r="AH189" i="10"/>
  <c r="AI129" i="10"/>
  <c r="AH129" i="10"/>
  <c r="AI113" i="10"/>
  <c r="AH113" i="10"/>
  <c r="AI97" i="10"/>
  <c r="AH97" i="10"/>
  <c r="AI131" i="10"/>
  <c r="AH131" i="10"/>
  <c r="AH126" i="10"/>
  <c r="AI126" i="10"/>
  <c r="AH56" i="10"/>
  <c r="AI56" i="10"/>
  <c r="AI52" i="10"/>
  <c r="AH52" i="10"/>
  <c r="AH57" i="10"/>
  <c r="AI57" i="10"/>
  <c r="AI510" i="10"/>
  <c r="AH510" i="10"/>
  <c r="AH301" i="10"/>
  <c r="AI301" i="10"/>
  <c r="AI550" i="10"/>
  <c r="AH550" i="10"/>
  <c r="AI515" i="10"/>
  <c r="AH515" i="10"/>
  <c r="AH509" i="10"/>
  <c r="AI509" i="10"/>
  <c r="AI468" i="10"/>
  <c r="AH468" i="10"/>
  <c r="AI447" i="10"/>
  <c r="AH447" i="10"/>
  <c r="AI430" i="10"/>
  <c r="AH430" i="10"/>
  <c r="AH389" i="10"/>
  <c r="AI389" i="10"/>
  <c r="AH372" i="10"/>
  <c r="AI372" i="10"/>
  <c r="AH340" i="10"/>
  <c r="AI340" i="10"/>
  <c r="AH225" i="10"/>
  <c r="AI225" i="10"/>
  <c r="AI185" i="10"/>
  <c r="AH185" i="10"/>
  <c r="AH280" i="10"/>
  <c r="AI280" i="10"/>
  <c r="AH248" i="10"/>
  <c r="AI248" i="10"/>
  <c r="AI159" i="10"/>
  <c r="AH159" i="10"/>
  <c r="AI186" i="10"/>
  <c r="AH186" i="10"/>
  <c r="AH138" i="10"/>
  <c r="AI138" i="10"/>
  <c r="AH82" i="10"/>
  <c r="AI82" i="10"/>
  <c r="AH23" i="10"/>
  <c r="AI23" i="10"/>
  <c r="AH168" i="10"/>
  <c r="AI168" i="10"/>
  <c r="AI46" i="10"/>
  <c r="AH46" i="10"/>
  <c r="AI59" i="10"/>
  <c r="AH59" i="10"/>
  <c r="AI108" i="10"/>
  <c r="AH108" i="10"/>
  <c r="AI124" i="10"/>
  <c r="AH124" i="10"/>
  <c r="AI140" i="10"/>
  <c r="AH140" i="10"/>
  <c r="AI156" i="10"/>
  <c r="AH156" i="10"/>
  <c r="AI63" i="10"/>
  <c r="AH63" i="10"/>
  <c r="AH80" i="10"/>
  <c r="AI80" i="10"/>
  <c r="AH180" i="10"/>
  <c r="AI180" i="10"/>
  <c r="AI20" i="10"/>
  <c r="AH20" i="10"/>
  <c r="AI58" i="10"/>
  <c r="AH58" i="10"/>
  <c r="AH176" i="10"/>
  <c r="AI176" i="10"/>
  <c r="AI137" i="10"/>
  <c r="AH137" i="10"/>
  <c r="AI153" i="10"/>
  <c r="AH153" i="10"/>
  <c r="AI251" i="10"/>
  <c r="AH251" i="10"/>
  <c r="AI267" i="10"/>
  <c r="AH267" i="10"/>
  <c r="AI283" i="10"/>
  <c r="AH283" i="10"/>
  <c r="AH212" i="10"/>
  <c r="AI212" i="10"/>
  <c r="AH228" i="10"/>
  <c r="AI228" i="10"/>
  <c r="AH244" i="10"/>
  <c r="AI244" i="10"/>
  <c r="AH258" i="10"/>
  <c r="AI258" i="10"/>
  <c r="AH274" i="10"/>
  <c r="AI274" i="10"/>
  <c r="AH290" i="10"/>
  <c r="AI290" i="10"/>
  <c r="AI75" i="10"/>
  <c r="AH75" i="10"/>
  <c r="AI91" i="10"/>
  <c r="AH91" i="10"/>
  <c r="AI107" i="10"/>
  <c r="AH107" i="10"/>
  <c r="AI123" i="10"/>
  <c r="AH123" i="10"/>
  <c r="AI175" i="10"/>
  <c r="AH175" i="10"/>
  <c r="AI191" i="10"/>
  <c r="AH191" i="10"/>
  <c r="AI322" i="10"/>
  <c r="AH322" i="10"/>
  <c r="AI338" i="10"/>
  <c r="AH338" i="10"/>
  <c r="AI354" i="10"/>
  <c r="AH354" i="10"/>
  <c r="AI303" i="10"/>
  <c r="AH303" i="10"/>
  <c r="AI207" i="10"/>
  <c r="AH207" i="10"/>
  <c r="AI223" i="10"/>
  <c r="AH223" i="10"/>
  <c r="AI239" i="10"/>
  <c r="AH239" i="10"/>
  <c r="AI306" i="10"/>
  <c r="AH306" i="10"/>
  <c r="AI319" i="10"/>
  <c r="AH319" i="10"/>
  <c r="AI335" i="10"/>
  <c r="AH335" i="10"/>
  <c r="AI351" i="10"/>
  <c r="AH351" i="10"/>
  <c r="AI366" i="10"/>
  <c r="AH366" i="10"/>
  <c r="AI437" i="10"/>
  <c r="AH437" i="10"/>
  <c r="AH383" i="10"/>
  <c r="AI383" i="10"/>
  <c r="AH403" i="10"/>
  <c r="AI403" i="10"/>
  <c r="AH419" i="10"/>
  <c r="AI419" i="10"/>
  <c r="AI374" i="10"/>
  <c r="AH374" i="10"/>
  <c r="AI438" i="10"/>
  <c r="AH438" i="10"/>
  <c r="AI386" i="10"/>
  <c r="AH386" i="10"/>
  <c r="AI402" i="10"/>
  <c r="AH402" i="10"/>
  <c r="AI418" i="10"/>
  <c r="AH418" i="10"/>
  <c r="AI485" i="10"/>
  <c r="AH485" i="10"/>
  <c r="AI428" i="10"/>
  <c r="AH428" i="10"/>
  <c r="AI449" i="10"/>
  <c r="AH449" i="10"/>
  <c r="AI462" i="10"/>
  <c r="AH462" i="10"/>
  <c r="AI492" i="10"/>
  <c r="AH492" i="10"/>
  <c r="AI482" i="10"/>
  <c r="AH482" i="10"/>
  <c r="AI511" i="10"/>
  <c r="AH511" i="10"/>
  <c r="AH499" i="10"/>
  <c r="AI499" i="10"/>
  <c r="AI508" i="10"/>
  <c r="AH508" i="10"/>
  <c r="AI525" i="10"/>
  <c r="AH525" i="10"/>
  <c r="AI548" i="10"/>
  <c r="AH548" i="10"/>
  <c r="AI555" i="10"/>
  <c r="AH555" i="10"/>
  <c r="AI549" i="10"/>
  <c r="AH549" i="10"/>
  <c r="AR546" i="10"/>
  <c r="AQ546" i="10"/>
  <c r="AQ487" i="10"/>
  <c r="AR487" i="10"/>
  <c r="AR394" i="10"/>
  <c r="AQ394" i="10"/>
  <c r="AQ314" i="10"/>
  <c r="AR314" i="10"/>
  <c r="AQ387" i="10"/>
  <c r="AR387" i="10"/>
  <c r="AR280" i="10"/>
  <c r="AQ280" i="10"/>
  <c r="AR248" i="10"/>
  <c r="AQ248" i="10"/>
  <c r="AR155" i="10"/>
  <c r="AQ155" i="10"/>
  <c r="AR107" i="10"/>
  <c r="AQ107" i="10"/>
  <c r="AR91" i="10"/>
  <c r="AQ91" i="10"/>
  <c r="AQ19" i="10"/>
  <c r="AR19" i="10"/>
  <c r="AR113" i="10"/>
  <c r="AQ113" i="10"/>
  <c r="AR56" i="10"/>
  <c r="AQ56" i="10"/>
  <c r="AR538" i="10"/>
  <c r="AQ538" i="10"/>
  <c r="AR504" i="10"/>
  <c r="AQ504" i="10"/>
  <c r="AQ493" i="10"/>
  <c r="AR493" i="10"/>
  <c r="AQ446" i="10"/>
  <c r="AR446" i="10"/>
  <c r="AR400" i="10"/>
  <c r="AQ400" i="10"/>
  <c r="AQ407" i="10"/>
  <c r="AR407" i="10"/>
  <c r="AR422" i="10"/>
  <c r="AQ422" i="10"/>
  <c r="AR428" i="10"/>
  <c r="AQ428" i="10"/>
  <c r="AR357" i="10"/>
  <c r="AQ357" i="10"/>
  <c r="AR325" i="10"/>
  <c r="AQ325" i="10"/>
  <c r="AR368" i="10"/>
  <c r="AQ368" i="10"/>
  <c r="AR320" i="10"/>
  <c r="AQ320" i="10"/>
  <c r="AQ279" i="10"/>
  <c r="AR279" i="10"/>
  <c r="AQ247" i="10"/>
  <c r="AR247" i="10"/>
  <c r="AR315" i="10"/>
  <c r="AQ315" i="10"/>
  <c r="AQ156" i="10"/>
  <c r="AR156" i="10"/>
  <c r="AQ124" i="10"/>
  <c r="AR124" i="10"/>
  <c r="AQ199" i="10"/>
  <c r="AR199" i="10"/>
  <c r="AR143" i="10"/>
  <c r="AQ143" i="10"/>
  <c r="AQ41" i="10"/>
  <c r="AR41" i="10"/>
  <c r="AQ194" i="10"/>
  <c r="AR194" i="10"/>
  <c r="AR95" i="10"/>
  <c r="AQ95" i="10"/>
  <c r="AR22" i="10"/>
  <c r="AQ22" i="10"/>
  <c r="AR125" i="10"/>
  <c r="AQ125" i="10"/>
  <c r="AR57" i="10"/>
  <c r="AQ57" i="10"/>
  <c r="AR73" i="10"/>
  <c r="AQ73" i="10"/>
  <c r="AR62" i="10"/>
  <c r="AQ62" i="10"/>
  <c r="AR488" i="10"/>
  <c r="AQ488" i="10"/>
  <c r="AR424" i="10"/>
  <c r="AQ424" i="10"/>
  <c r="AR366" i="10"/>
  <c r="AQ366" i="10"/>
  <c r="AR324" i="10"/>
  <c r="AQ324" i="10"/>
  <c r="AR553" i="10"/>
  <c r="AQ553" i="10"/>
  <c r="AQ532" i="10"/>
  <c r="AR532" i="10"/>
  <c r="AR484" i="10"/>
  <c r="AQ484" i="10"/>
  <c r="AR508" i="10"/>
  <c r="AQ508" i="10"/>
  <c r="AR468" i="10"/>
  <c r="AQ468" i="10"/>
  <c r="AQ461" i="10"/>
  <c r="AR461" i="10"/>
  <c r="AR402" i="10"/>
  <c r="AQ402" i="10"/>
  <c r="AQ350" i="10"/>
  <c r="AR350" i="10"/>
  <c r="AQ318" i="10"/>
  <c r="AR318" i="10"/>
  <c r="AR348" i="10"/>
  <c r="AQ348" i="10"/>
  <c r="AQ304" i="10"/>
  <c r="AR304" i="10"/>
  <c r="AR311" i="10"/>
  <c r="AQ311" i="10"/>
  <c r="AR244" i="10"/>
  <c r="AQ244" i="10"/>
  <c r="AR268" i="10"/>
  <c r="AQ268" i="10"/>
  <c r="AR179" i="10"/>
  <c r="AQ179" i="10"/>
  <c r="AR115" i="10"/>
  <c r="AQ115" i="10"/>
  <c r="AQ23" i="10"/>
  <c r="AR23" i="10"/>
  <c r="AR99" i="10"/>
  <c r="AQ99" i="10"/>
  <c r="AQ43" i="10"/>
  <c r="AR43" i="10"/>
  <c r="AR137" i="10"/>
  <c r="AQ137" i="10"/>
  <c r="AQ74" i="10"/>
  <c r="AR74" i="10"/>
  <c r="AR24" i="10"/>
  <c r="AQ24" i="10"/>
  <c r="AR529" i="10"/>
  <c r="AQ529" i="10"/>
  <c r="AQ496" i="10"/>
  <c r="AR496" i="10"/>
  <c r="AR376" i="10"/>
  <c r="AQ376" i="10"/>
  <c r="AQ373" i="10"/>
  <c r="AR373" i="10"/>
  <c r="AR557" i="10"/>
  <c r="AQ557" i="10"/>
  <c r="AR550" i="10"/>
  <c r="AQ550" i="10"/>
  <c r="AR537" i="10"/>
  <c r="AQ537" i="10"/>
  <c r="AR509" i="10"/>
  <c r="AQ509" i="10"/>
  <c r="AQ481" i="10"/>
  <c r="AR481" i="10"/>
  <c r="AR494" i="10"/>
  <c r="AQ494" i="10"/>
  <c r="AR478" i="10"/>
  <c r="AQ478" i="10"/>
  <c r="AR404" i="10"/>
  <c r="AQ404" i="10"/>
  <c r="AQ399" i="10"/>
  <c r="AR399" i="10"/>
  <c r="AR414" i="10"/>
  <c r="AQ414" i="10"/>
  <c r="AQ438" i="10"/>
  <c r="AR438" i="10"/>
  <c r="AQ365" i="10"/>
  <c r="AR365" i="10"/>
  <c r="AR329" i="10"/>
  <c r="AQ329" i="10"/>
  <c r="AR364" i="10"/>
  <c r="AQ364" i="10"/>
  <c r="AQ299" i="10"/>
  <c r="AR299" i="10"/>
  <c r="AQ267" i="10"/>
  <c r="AR267" i="10"/>
  <c r="AR339" i="10"/>
  <c r="AQ339" i="10"/>
  <c r="AQ160" i="10"/>
  <c r="AR160" i="10"/>
  <c r="AQ128" i="10"/>
  <c r="AR128" i="10"/>
  <c r="AQ207" i="10"/>
  <c r="AR207" i="10"/>
  <c r="AR135" i="10"/>
  <c r="AQ135" i="10"/>
  <c r="AQ76" i="10"/>
  <c r="AR76" i="10"/>
  <c r="AR97" i="10"/>
  <c r="AQ97" i="10"/>
  <c r="AQ166" i="10"/>
  <c r="AR166" i="10"/>
  <c r="AR200" i="10"/>
  <c r="AQ200" i="10"/>
  <c r="AR101" i="10"/>
  <c r="AQ101" i="10"/>
  <c r="AR45" i="10"/>
  <c r="AQ45" i="10"/>
  <c r="AR36" i="10"/>
  <c r="AQ36" i="10"/>
  <c r="AQ32" i="10"/>
  <c r="AR32" i="10"/>
  <c r="AR40" i="10"/>
  <c r="AQ40" i="10"/>
  <c r="AQ274" i="10"/>
  <c r="AR274" i="10"/>
  <c r="AR164" i="10"/>
  <c r="AQ164" i="10"/>
  <c r="AR180" i="10"/>
  <c r="AQ180" i="10"/>
  <c r="AQ198" i="10"/>
  <c r="AR198" i="10"/>
  <c r="AR150" i="10"/>
  <c r="AQ150" i="10"/>
  <c r="AQ254" i="10"/>
  <c r="AR254" i="10"/>
  <c r="AQ286" i="10"/>
  <c r="AR286" i="10"/>
  <c r="AR114" i="10"/>
  <c r="AQ114" i="10"/>
  <c r="AR130" i="10"/>
  <c r="AQ130" i="10"/>
  <c r="AR158" i="10"/>
  <c r="AQ158" i="10"/>
  <c r="AQ212" i="10"/>
  <c r="AR212" i="10"/>
  <c r="AQ228" i="10"/>
  <c r="AR228" i="10"/>
  <c r="AR165" i="10"/>
  <c r="AQ165" i="10"/>
  <c r="AR181" i="10"/>
  <c r="AQ181" i="10"/>
  <c r="AR197" i="10"/>
  <c r="AQ197" i="10"/>
  <c r="AQ214" i="10"/>
  <c r="AR214" i="10"/>
  <c r="AQ230" i="10"/>
  <c r="AR230" i="10"/>
  <c r="AR245" i="10"/>
  <c r="AQ245" i="10"/>
  <c r="AR261" i="10"/>
  <c r="AQ261" i="10"/>
  <c r="AR277" i="10"/>
  <c r="AQ277" i="10"/>
  <c r="AR293" i="10"/>
  <c r="AQ293" i="10"/>
  <c r="AR217" i="10"/>
  <c r="AQ217" i="10"/>
  <c r="AR233" i="10"/>
  <c r="AQ233" i="10"/>
  <c r="AQ379" i="10"/>
  <c r="AR379" i="10"/>
  <c r="AQ393" i="10"/>
  <c r="AR393" i="10"/>
  <c r="AQ409" i="10"/>
  <c r="AR409" i="10"/>
  <c r="AQ425" i="10"/>
  <c r="AR425" i="10"/>
  <c r="AQ383" i="10"/>
  <c r="AR383" i="10"/>
  <c r="AR431" i="10"/>
  <c r="AQ431" i="10"/>
  <c r="AR444" i="10"/>
  <c r="AQ444" i="10"/>
  <c r="AR459" i="10"/>
  <c r="AQ459" i="10"/>
  <c r="AR475" i="10"/>
  <c r="AQ475" i="10"/>
  <c r="AR505" i="10"/>
  <c r="AQ505" i="10"/>
  <c r="AQ499" i="10"/>
  <c r="AR499" i="10"/>
  <c r="AR539" i="10"/>
  <c r="AQ539" i="10"/>
  <c r="AI77" i="10"/>
  <c r="AH77" i="10"/>
  <c r="AI551" i="10"/>
  <c r="AH551" i="10"/>
  <c r="AH417" i="10"/>
  <c r="AI417" i="10"/>
  <c r="AI313" i="10"/>
  <c r="AH313" i="10"/>
  <c r="AH237" i="10"/>
  <c r="AI237" i="10"/>
  <c r="AH285" i="10"/>
  <c r="AI285" i="10"/>
  <c r="AH253" i="10"/>
  <c r="AI253" i="10"/>
  <c r="AI165" i="10"/>
  <c r="AH165" i="10"/>
  <c r="AI89" i="10"/>
  <c r="AH89" i="10"/>
  <c r="AH150" i="10"/>
  <c r="AI150" i="10"/>
  <c r="AH86" i="10"/>
  <c r="AI86" i="10"/>
  <c r="AH45" i="10"/>
  <c r="AI45" i="10"/>
  <c r="AH21" i="10"/>
  <c r="AI21" i="10"/>
  <c r="AI543" i="10"/>
  <c r="AH543" i="10"/>
  <c r="AI460" i="10"/>
  <c r="AH460" i="10"/>
  <c r="AH452" i="10"/>
  <c r="AI452" i="10"/>
  <c r="AH397" i="10"/>
  <c r="AI397" i="10"/>
  <c r="AH365" i="10"/>
  <c r="AI365" i="10"/>
  <c r="AH316" i="10"/>
  <c r="AI316" i="10"/>
  <c r="AI201" i="10"/>
  <c r="AH201" i="10"/>
  <c r="AH292" i="10"/>
  <c r="AI292" i="10"/>
  <c r="AH260" i="10"/>
  <c r="AI260" i="10"/>
  <c r="AI133" i="10"/>
  <c r="AH133" i="10"/>
  <c r="AI135" i="10"/>
  <c r="AH135" i="10"/>
  <c r="AI190" i="10"/>
  <c r="AH190" i="10"/>
  <c r="AH162" i="10"/>
  <c r="AI162" i="10"/>
  <c r="AH90" i="10"/>
  <c r="AI90" i="10"/>
  <c r="AH32" i="10"/>
  <c r="AI32" i="10"/>
  <c r="AH557" i="10"/>
  <c r="AI557" i="10"/>
  <c r="AH493" i="10"/>
  <c r="AI493" i="10"/>
  <c r="AI457" i="10"/>
  <c r="AH457" i="10"/>
  <c r="AH361" i="10"/>
  <c r="AI361" i="10"/>
  <c r="AH381" i="10"/>
  <c r="AI381" i="10"/>
  <c r="AH542" i="10"/>
  <c r="AI542" i="10"/>
  <c r="AI516" i="10"/>
  <c r="AH516" i="10"/>
  <c r="AI486" i="10"/>
  <c r="AH486" i="10"/>
  <c r="AH479" i="10"/>
  <c r="AI479" i="10"/>
  <c r="AH425" i="10"/>
  <c r="AI425" i="10"/>
  <c r="AI424" i="10"/>
  <c r="AH424" i="10"/>
  <c r="AH369" i="10"/>
  <c r="AI369" i="10"/>
  <c r="AI333" i="10"/>
  <c r="AH333" i="10"/>
  <c r="AH344" i="10"/>
  <c r="AI344" i="10"/>
  <c r="AH213" i="10"/>
  <c r="AI213" i="10"/>
  <c r="AI173" i="10"/>
  <c r="AH173" i="10"/>
  <c r="AI125" i="10"/>
  <c r="AH125" i="10"/>
  <c r="AI109" i="10"/>
  <c r="AH109" i="10"/>
  <c r="AI81" i="10"/>
  <c r="AH81" i="10"/>
  <c r="AH204" i="10"/>
  <c r="AI204" i="10"/>
  <c r="AH110" i="10"/>
  <c r="AI110" i="10"/>
  <c r="AH49" i="10"/>
  <c r="AI49" i="10"/>
  <c r="AI28" i="10"/>
  <c r="AH28" i="10"/>
  <c r="AH50" i="10"/>
  <c r="AI50" i="10"/>
  <c r="AI435" i="10"/>
  <c r="AH435" i="10"/>
  <c r="AH289" i="10"/>
  <c r="AI289" i="10"/>
  <c r="AH546" i="10"/>
  <c r="AI546" i="10"/>
  <c r="AI523" i="10"/>
  <c r="AH523" i="10"/>
  <c r="AH501" i="10"/>
  <c r="AI501" i="10"/>
  <c r="AI476" i="10"/>
  <c r="AH476" i="10"/>
  <c r="AI443" i="10"/>
  <c r="AH443" i="10"/>
  <c r="AI431" i="10"/>
  <c r="AH431" i="10"/>
  <c r="AI420" i="10"/>
  <c r="AH420" i="10"/>
  <c r="AI368" i="10"/>
  <c r="AH368" i="10"/>
  <c r="AH324" i="10"/>
  <c r="AI324" i="10"/>
  <c r="AH209" i="10"/>
  <c r="AI209" i="10"/>
  <c r="AI169" i="10"/>
  <c r="AH169" i="10"/>
  <c r="AH272" i="10"/>
  <c r="AI272" i="10"/>
  <c r="AI230" i="10"/>
  <c r="AH230" i="10"/>
  <c r="AI143" i="10"/>
  <c r="AH143" i="10"/>
  <c r="AI178" i="10"/>
  <c r="AH178" i="10"/>
  <c r="AH122" i="10"/>
  <c r="AI122" i="10"/>
  <c r="AI25" i="10"/>
  <c r="AH25" i="10"/>
  <c r="AI31" i="10"/>
  <c r="AH31" i="10"/>
  <c r="AH41" i="10"/>
  <c r="AI41" i="10"/>
  <c r="AH192" i="10"/>
  <c r="AI192" i="10"/>
  <c r="AI51" i="10"/>
  <c r="AH51" i="10"/>
  <c r="AH61" i="10"/>
  <c r="AI61" i="10"/>
  <c r="AI112" i="10"/>
  <c r="AH112" i="10"/>
  <c r="AI128" i="10"/>
  <c r="AH128" i="10"/>
  <c r="AI144" i="10"/>
  <c r="AH144" i="10"/>
  <c r="AI160" i="10"/>
  <c r="AH160" i="10"/>
  <c r="AI65" i="10"/>
  <c r="AH65" i="10"/>
  <c r="AH92" i="10"/>
  <c r="AI92" i="10"/>
  <c r="AH184" i="10"/>
  <c r="AI184" i="10"/>
  <c r="AI29" i="10"/>
  <c r="AH29" i="10"/>
  <c r="AI60" i="10"/>
  <c r="AH60" i="10"/>
  <c r="AI141" i="10"/>
  <c r="AH141" i="10"/>
  <c r="AI157" i="10"/>
  <c r="AH157" i="10"/>
  <c r="AI255" i="10"/>
  <c r="AH255" i="10"/>
  <c r="AI271" i="10"/>
  <c r="AH271" i="10"/>
  <c r="AI287" i="10"/>
  <c r="AH287" i="10"/>
  <c r="AH216" i="10"/>
  <c r="AI216" i="10"/>
  <c r="AH232" i="10"/>
  <c r="AI232" i="10"/>
  <c r="AH246" i="10"/>
  <c r="AI246" i="10"/>
  <c r="AH262" i="10"/>
  <c r="AI262" i="10"/>
  <c r="AH278" i="10"/>
  <c r="AI278" i="10"/>
  <c r="AH294" i="10"/>
  <c r="AI294" i="10"/>
  <c r="AI79" i="10"/>
  <c r="AH79" i="10"/>
  <c r="AI95" i="10"/>
  <c r="AH95" i="10"/>
  <c r="AI111" i="10"/>
  <c r="AH111" i="10"/>
  <c r="AI127" i="10"/>
  <c r="AH127" i="10"/>
  <c r="AI179" i="10"/>
  <c r="AH179" i="10"/>
  <c r="AI310" i="10"/>
  <c r="AH310" i="10"/>
  <c r="AI326" i="10"/>
  <c r="AH326" i="10"/>
  <c r="AI342" i="10"/>
  <c r="AH342" i="10"/>
  <c r="AI358" i="10"/>
  <c r="AH358" i="10"/>
  <c r="AI195" i="10"/>
  <c r="AH195" i="10"/>
  <c r="AI211" i="10"/>
  <c r="AH211" i="10"/>
  <c r="AI227" i="10"/>
  <c r="AH227" i="10"/>
  <c r="AI243" i="10"/>
  <c r="AH243" i="10"/>
  <c r="AI307" i="10"/>
  <c r="AH307" i="10"/>
  <c r="AI323" i="10"/>
  <c r="AH323" i="10"/>
  <c r="AI339" i="10"/>
  <c r="AH339" i="10"/>
  <c r="AI355" i="10"/>
  <c r="AH355" i="10"/>
  <c r="AH432" i="10"/>
  <c r="AI432" i="10"/>
  <c r="AH371" i="10"/>
  <c r="AI371" i="10"/>
  <c r="AH391" i="10"/>
  <c r="AI391" i="10"/>
  <c r="AH407" i="10"/>
  <c r="AI407" i="10"/>
  <c r="AH423" i="10"/>
  <c r="AI423" i="10"/>
  <c r="AI378" i="10"/>
  <c r="AH378" i="10"/>
  <c r="AI442" i="10"/>
  <c r="AH442" i="10"/>
  <c r="AI390" i="10"/>
  <c r="AH390" i="10"/>
  <c r="AI406" i="10"/>
  <c r="AH406" i="10"/>
  <c r="AI473" i="10"/>
  <c r="AH473" i="10"/>
  <c r="AH459" i="10"/>
  <c r="AI459" i="10"/>
  <c r="AH434" i="10"/>
  <c r="AI434" i="10"/>
  <c r="AI453" i="10"/>
  <c r="AH453" i="10"/>
  <c r="AI466" i="10"/>
  <c r="AH466" i="10"/>
  <c r="AI496" i="10"/>
  <c r="AH496" i="10"/>
  <c r="AH489" i="10"/>
  <c r="AI489" i="10"/>
  <c r="AI504" i="10"/>
  <c r="AH504" i="10"/>
  <c r="AH503" i="10"/>
  <c r="AI503" i="10"/>
  <c r="AI512" i="10"/>
  <c r="AH512" i="10"/>
  <c r="AI529" i="10"/>
  <c r="AH529" i="10"/>
  <c r="AI531" i="10"/>
  <c r="AH531" i="10"/>
  <c r="AI556" i="10"/>
  <c r="AH556" i="10"/>
  <c r="AI552" i="10"/>
  <c r="AH552" i="10"/>
  <c r="AR530" i="10"/>
  <c r="AQ530" i="10"/>
  <c r="AR472" i="10"/>
  <c r="AQ472" i="10"/>
  <c r="AQ465" i="10"/>
  <c r="AR465" i="10"/>
  <c r="AR356" i="10"/>
  <c r="AQ356" i="10"/>
  <c r="AR335" i="10"/>
  <c r="AQ335" i="10"/>
  <c r="AR272" i="10"/>
  <c r="AQ272" i="10"/>
  <c r="AQ203" i="10"/>
  <c r="AR203" i="10"/>
  <c r="AR139" i="10"/>
  <c r="AQ139" i="10"/>
  <c r="AQ88" i="10"/>
  <c r="AR88" i="10"/>
  <c r="AR75" i="10"/>
  <c r="AQ75" i="10"/>
  <c r="AR161" i="10"/>
  <c r="AQ161" i="10"/>
  <c r="AQ98" i="10"/>
  <c r="AR98" i="10"/>
  <c r="AQ59" i="10"/>
  <c r="AR59" i="10"/>
  <c r="AR558" i="10"/>
  <c r="AQ558" i="10"/>
  <c r="AQ524" i="10"/>
  <c r="AR524" i="10"/>
  <c r="AR525" i="10"/>
  <c r="AQ525" i="10"/>
  <c r="AR470" i="10"/>
  <c r="AQ470" i="10"/>
  <c r="AR456" i="10"/>
  <c r="AQ456" i="10"/>
  <c r="AR392" i="10"/>
  <c r="AQ392" i="10"/>
  <c r="AQ391" i="10"/>
  <c r="AR391" i="10"/>
  <c r="AR406" i="10"/>
  <c r="AQ406" i="10"/>
  <c r="AR372" i="10"/>
  <c r="AQ372" i="10"/>
  <c r="AR349" i="10"/>
  <c r="AQ349" i="10"/>
  <c r="AR317" i="10"/>
  <c r="AQ317" i="10"/>
  <c r="AR360" i="10"/>
  <c r="AQ360" i="10"/>
  <c r="AQ303" i="10"/>
  <c r="AR303" i="10"/>
  <c r="AQ271" i="10"/>
  <c r="AR271" i="10"/>
  <c r="AQ381" i="10"/>
  <c r="AR381" i="10"/>
  <c r="AR243" i="10"/>
  <c r="AQ243" i="10"/>
  <c r="AQ148" i="10"/>
  <c r="AR148" i="10"/>
  <c r="AQ116" i="10"/>
  <c r="AR116" i="10"/>
  <c r="AR183" i="10"/>
  <c r="AQ183" i="10"/>
  <c r="AR119" i="10"/>
  <c r="AQ119" i="10"/>
  <c r="AR35" i="10"/>
  <c r="AQ35" i="10"/>
  <c r="AQ186" i="10"/>
  <c r="AR186" i="10"/>
  <c r="AR79" i="10"/>
  <c r="AQ79" i="10"/>
  <c r="AR89" i="10"/>
  <c r="AQ89" i="10"/>
  <c r="AR109" i="10"/>
  <c r="AQ109" i="10"/>
  <c r="AR54" i="10"/>
  <c r="AQ54" i="10"/>
  <c r="AR47" i="10"/>
  <c r="AQ47" i="10"/>
  <c r="AR26" i="10"/>
  <c r="AQ26" i="10"/>
  <c r="AR480" i="10"/>
  <c r="AQ480" i="10"/>
  <c r="AQ395" i="10"/>
  <c r="AR395" i="10"/>
  <c r="AQ338" i="10"/>
  <c r="AR338" i="10"/>
  <c r="AR351" i="10"/>
  <c r="AQ351" i="10"/>
  <c r="AR535" i="10"/>
  <c r="AQ535" i="10"/>
  <c r="AR527" i="10"/>
  <c r="AQ527" i="10"/>
  <c r="AR476" i="10"/>
  <c r="AQ476" i="10"/>
  <c r="AR502" i="10"/>
  <c r="AQ502" i="10"/>
  <c r="AQ457" i="10"/>
  <c r="AR457" i="10"/>
  <c r="AR449" i="10"/>
  <c r="AQ449" i="10"/>
  <c r="AR386" i="10"/>
  <c r="AQ386" i="10"/>
  <c r="AQ342" i="10"/>
  <c r="AR342" i="10"/>
  <c r="AQ310" i="10"/>
  <c r="AR310" i="10"/>
  <c r="AR332" i="10"/>
  <c r="AQ332" i="10"/>
  <c r="AR359" i="10"/>
  <c r="AQ359" i="10"/>
  <c r="AR305" i="10"/>
  <c r="AQ305" i="10"/>
  <c r="AR292" i="10"/>
  <c r="AQ292" i="10"/>
  <c r="AR260" i="10"/>
  <c r="AQ260" i="10"/>
  <c r="AR163" i="10"/>
  <c r="AQ163" i="10"/>
  <c r="AQ96" i="10"/>
  <c r="AR96" i="10"/>
  <c r="AR83" i="10"/>
  <c r="AQ83" i="10"/>
  <c r="AR85" i="10"/>
  <c r="AQ85" i="10"/>
  <c r="AR121" i="10"/>
  <c r="AQ121" i="10"/>
  <c r="AR93" i="10"/>
  <c r="AQ93" i="10"/>
  <c r="AR554" i="10"/>
  <c r="AQ554" i="10"/>
  <c r="AQ516" i="10"/>
  <c r="AR516" i="10"/>
  <c r="AQ427" i="10"/>
  <c r="AR427" i="10"/>
  <c r="AQ354" i="10"/>
  <c r="AR354" i="10"/>
  <c r="AR319" i="10"/>
  <c r="AQ319" i="10"/>
  <c r="AQ555" i="10"/>
  <c r="AR555" i="10"/>
  <c r="AQ551" i="10"/>
  <c r="AR551" i="10"/>
  <c r="AQ541" i="10"/>
  <c r="AR541" i="10"/>
  <c r="AQ491" i="10"/>
  <c r="AR491" i="10"/>
  <c r="AQ477" i="10"/>
  <c r="AR477" i="10"/>
  <c r="AR490" i="10"/>
  <c r="AQ490" i="10"/>
  <c r="AR464" i="10"/>
  <c r="AQ464" i="10"/>
  <c r="AR396" i="10"/>
  <c r="AQ396" i="10"/>
  <c r="AQ469" i="10"/>
  <c r="AR469" i="10"/>
  <c r="AR398" i="10"/>
  <c r="AQ398" i="10"/>
  <c r="AR380" i="10"/>
  <c r="AQ380" i="10"/>
  <c r="AR353" i="10"/>
  <c r="AQ353" i="10"/>
  <c r="AR321" i="10"/>
  <c r="AQ321" i="10"/>
  <c r="AR344" i="10"/>
  <c r="AQ344" i="10"/>
  <c r="AQ291" i="10"/>
  <c r="AR291" i="10"/>
  <c r="AQ259" i="10"/>
  <c r="AR259" i="10"/>
  <c r="AR323" i="10"/>
  <c r="AQ323" i="10"/>
  <c r="AQ152" i="10"/>
  <c r="AR152" i="10"/>
  <c r="AQ120" i="10"/>
  <c r="AR120" i="10"/>
  <c r="AR191" i="10"/>
  <c r="AQ191" i="10"/>
  <c r="AR127" i="10"/>
  <c r="AQ127" i="10"/>
  <c r="AQ68" i="10"/>
  <c r="AR68" i="10"/>
  <c r="AQ190" i="10"/>
  <c r="AR190" i="10"/>
  <c r="AR87" i="10"/>
  <c r="AQ87" i="10"/>
  <c r="AR149" i="10"/>
  <c r="AQ149" i="10"/>
  <c r="AQ86" i="10"/>
  <c r="AR86" i="10"/>
  <c r="AR81" i="10"/>
  <c r="AQ81" i="10"/>
  <c r="AR20" i="10"/>
  <c r="AQ20" i="10"/>
  <c r="AR37" i="10"/>
  <c r="AQ37" i="10"/>
  <c r="AR154" i="10"/>
  <c r="AQ154" i="10"/>
  <c r="AQ282" i="10"/>
  <c r="AR282" i="10"/>
  <c r="AR168" i="10"/>
  <c r="AQ168" i="10"/>
  <c r="AR184" i="10"/>
  <c r="AQ184" i="10"/>
  <c r="AQ206" i="10"/>
  <c r="AR206" i="10"/>
  <c r="AQ298" i="10"/>
  <c r="AR298" i="10"/>
  <c r="AQ262" i="10"/>
  <c r="AR262" i="10"/>
  <c r="AQ294" i="10"/>
  <c r="AR294" i="10"/>
  <c r="AR118" i="10"/>
  <c r="AQ118" i="10"/>
  <c r="AR138" i="10"/>
  <c r="AQ138" i="10"/>
  <c r="AQ258" i="10"/>
  <c r="AR258" i="10"/>
  <c r="AQ216" i="10"/>
  <c r="AR216" i="10"/>
  <c r="AQ232" i="10"/>
  <c r="AR232" i="10"/>
  <c r="AR169" i="10"/>
  <c r="AQ169" i="10"/>
  <c r="AR185" i="10"/>
  <c r="AQ185" i="10"/>
  <c r="AR201" i="10"/>
  <c r="AQ201" i="10"/>
  <c r="AQ218" i="10"/>
  <c r="AR218" i="10"/>
  <c r="AQ234" i="10"/>
  <c r="AR234" i="10"/>
  <c r="AR249" i="10"/>
  <c r="AQ249" i="10"/>
  <c r="AR265" i="10"/>
  <c r="AQ265" i="10"/>
  <c r="AR281" i="10"/>
  <c r="AQ281" i="10"/>
  <c r="AR297" i="10"/>
  <c r="AQ297" i="10"/>
  <c r="AR221" i="10"/>
  <c r="AQ221" i="10"/>
  <c r="AR237" i="10"/>
  <c r="AQ237" i="10"/>
  <c r="AR301" i="10"/>
  <c r="AQ301" i="10"/>
  <c r="AQ397" i="10"/>
  <c r="AR397" i="10"/>
  <c r="AQ413" i="10"/>
  <c r="AR413" i="10"/>
  <c r="AQ429" i="10"/>
  <c r="AR429" i="10"/>
  <c r="AR363" i="10"/>
  <c r="AQ363" i="10"/>
  <c r="AR498" i="10"/>
  <c r="AQ498" i="10"/>
  <c r="AR448" i="10"/>
  <c r="AQ448" i="10"/>
  <c r="AR463" i="10"/>
  <c r="AQ463" i="10"/>
  <c r="AR479" i="10"/>
  <c r="AQ479" i="10"/>
  <c r="AR486" i="10"/>
  <c r="AQ486" i="10"/>
  <c r="AQ534" i="10"/>
  <c r="AR534" i="10"/>
  <c r="AR543" i="10"/>
  <c r="AQ543" i="10"/>
  <c r="AH233" i="10"/>
  <c r="AI233" i="10"/>
  <c r="AI472" i="10"/>
  <c r="AH472" i="10"/>
  <c r="AH401" i="10"/>
  <c r="AI401" i="10"/>
  <c r="AH352" i="10"/>
  <c r="AI352" i="10"/>
  <c r="AH221" i="10"/>
  <c r="AI221" i="10"/>
  <c r="AH277" i="10"/>
  <c r="AI277" i="10"/>
  <c r="AH249" i="10"/>
  <c r="AI249" i="10"/>
  <c r="AI242" i="10"/>
  <c r="AH242" i="10"/>
  <c r="AI73" i="10"/>
  <c r="AH73" i="10"/>
  <c r="AH134" i="10"/>
  <c r="AI134" i="10"/>
  <c r="AH70" i="10"/>
  <c r="AI70" i="10"/>
  <c r="AI38" i="10"/>
  <c r="AH38" i="10"/>
  <c r="AH554" i="10"/>
  <c r="AI554" i="10"/>
  <c r="AH526" i="10"/>
  <c r="AI526" i="10"/>
  <c r="AI484" i="10"/>
  <c r="AH484" i="10"/>
  <c r="AI469" i="10"/>
  <c r="AH469" i="10"/>
  <c r="AI412" i="10"/>
  <c r="AH412" i="10"/>
  <c r="AI364" i="10"/>
  <c r="AH364" i="10"/>
  <c r="AH377" i="10"/>
  <c r="AI377" i="10"/>
  <c r="AH304" i="10"/>
  <c r="AI304" i="10"/>
  <c r="AH284" i="10"/>
  <c r="AI284" i="10"/>
  <c r="AH252" i="10"/>
  <c r="AI252" i="10"/>
  <c r="AI93" i="10"/>
  <c r="AH93" i="10"/>
  <c r="AH71" i="10"/>
  <c r="AI71" i="10"/>
  <c r="AI182" i="10"/>
  <c r="AH182" i="10"/>
  <c r="AH146" i="10"/>
  <c r="AI146" i="10"/>
  <c r="AH74" i="10"/>
  <c r="AI74" i="10"/>
  <c r="AH27" i="10"/>
  <c r="AI27" i="10"/>
  <c r="AI547" i="10"/>
  <c r="AH547" i="10"/>
  <c r="AI464" i="10"/>
  <c r="AH464" i="10"/>
  <c r="AI416" i="10"/>
  <c r="AH416" i="10"/>
  <c r="AI345" i="10"/>
  <c r="AH345" i="10"/>
  <c r="AH293" i="10"/>
  <c r="AI293" i="10"/>
  <c r="AI539" i="10"/>
  <c r="AH539" i="10"/>
  <c r="AH513" i="10"/>
  <c r="AI513" i="10"/>
  <c r="AH491" i="10"/>
  <c r="AI491" i="10"/>
  <c r="AH448" i="10"/>
  <c r="AI448" i="10"/>
  <c r="AH409" i="10"/>
  <c r="AI409" i="10"/>
  <c r="AI408" i="10"/>
  <c r="AH408" i="10"/>
  <c r="AI357" i="10"/>
  <c r="AH357" i="10"/>
  <c r="AI325" i="10"/>
  <c r="AH325" i="10"/>
  <c r="AH328" i="10"/>
  <c r="AI328" i="10"/>
  <c r="AI197" i="10"/>
  <c r="AH197" i="10"/>
  <c r="AI234" i="10"/>
  <c r="AH234" i="10"/>
  <c r="AI121" i="10"/>
  <c r="AH121" i="10"/>
  <c r="AI105" i="10"/>
  <c r="AH105" i="10"/>
  <c r="AI163" i="10"/>
  <c r="AH163" i="10"/>
  <c r="AH158" i="10"/>
  <c r="AI158" i="10"/>
  <c r="AH94" i="10"/>
  <c r="AI94" i="10"/>
  <c r="AH47" i="10"/>
  <c r="AI47" i="10"/>
  <c r="AH37" i="10"/>
  <c r="AI37" i="10"/>
  <c r="AH534" i="10"/>
  <c r="AI534" i="10"/>
  <c r="AI337" i="10"/>
  <c r="AH337" i="10"/>
  <c r="AH273" i="10"/>
  <c r="AI273" i="10"/>
  <c r="AH532" i="10"/>
  <c r="AI532" i="10"/>
  <c r="AH522" i="10"/>
  <c r="AI522" i="10"/>
  <c r="AH505" i="10"/>
  <c r="AI505" i="10"/>
  <c r="AH475" i="10"/>
  <c r="AI475" i="10"/>
  <c r="AI439" i="10"/>
  <c r="AH439" i="10"/>
  <c r="AH421" i="10"/>
  <c r="AI421" i="10"/>
  <c r="AI404" i="10"/>
  <c r="AH404" i="10"/>
  <c r="AI360" i="10"/>
  <c r="AH360" i="10"/>
  <c r="AH308" i="10"/>
  <c r="AI308" i="10"/>
  <c r="AH300" i="10"/>
  <c r="AI300" i="10"/>
  <c r="AH296" i="10"/>
  <c r="AI296" i="10"/>
  <c r="AH264" i="10"/>
  <c r="AI264" i="10"/>
  <c r="AI214" i="10"/>
  <c r="AH214" i="10"/>
  <c r="AH196" i="10"/>
  <c r="AI196" i="10"/>
  <c r="AI170" i="10"/>
  <c r="AH170" i="10"/>
  <c r="AH106" i="10"/>
  <c r="AI106" i="10"/>
  <c r="AH54" i="10"/>
  <c r="AI54" i="10"/>
  <c r="AI33" i="10"/>
  <c r="AH33" i="10"/>
  <c r="AH84" i="10"/>
  <c r="AI84" i="10"/>
  <c r="AI198" i="10"/>
  <c r="AH198" i="10"/>
  <c r="AI53" i="10"/>
  <c r="AH53" i="10"/>
  <c r="AI100" i="10"/>
  <c r="AH100" i="10"/>
  <c r="AI116" i="10"/>
  <c r="AH116" i="10"/>
  <c r="AI132" i="10"/>
  <c r="AH132" i="10"/>
  <c r="AI148" i="10"/>
  <c r="AH148" i="10"/>
  <c r="AI43" i="10"/>
  <c r="AH43" i="10"/>
  <c r="AH72" i="10"/>
  <c r="AI72" i="10"/>
  <c r="AH96" i="10"/>
  <c r="AI96" i="10"/>
  <c r="AH188" i="10"/>
  <c r="AI188" i="10"/>
  <c r="AI36" i="10"/>
  <c r="AH36" i="10"/>
  <c r="AH68" i="10"/>
  <c r="AI68" i="10"/>
  <c r="AI24" i="10"/>
  <c r="AH24" i="10"/>
  <c r="AI145" i="10"/>
  <c r="AH145" i="10"/>
  <c r="AI161" i="10"/>
  <c r="AH161" i="10"/>
  <c r="AI259" i="10"/>
  <c r="AH259" i="10"/>
  <c r="AI275" i="10"/>
  <c r="AH275" i="10"/>
  <c r="AI291" i="10"/>
  <c r="AH291" i="10"/>
  <c r="AH220" i="10"/>
  <c r="AI220" i="10"/>
  <c r="AH236" i="10"/>
  <c r="AI236" i="10"/>
  <c r="AH250" i="10"/>
  <c r="AI250" i="10"/>
  <c r="AH266" i="10"/>
  <c r="AI266" i="10"/>
  <c r="AH282" i="10"/>
  <c r="AI282" i="10"/>
  <c r="AH298" i="10"/>
  <c r="AI298" i="10"/>
  <c r="AI83" i="10"/>
  <c r="AH83" i="10"/>
  <c r="AI99" i="10"/>
  <c r="AH99" i="10"/>
  <c r="AI115" i="10"/>
  <c r="AH115" i="10"/>
  <c r="AI167" i="10"/>
  <c r="AH167" i="10"/>
  <c r="AI183" i="10"/>
  <c r="AH183" i="10"/>
  <c r="AI314" i="10"/>
  <c r="AH314" i="10"/>
  <c r="AI330" i="10"/>
  <c r="AH330" i="10"/>
  <c r="AI346" i="10"/>
  <c r="AH346" i="10"/>
  <c r="AI299" i="10"/>
  <c r="AH299" i="10"/>
  <c r="AI199" i="10"/>
  <c r="AH199" i="10"/>
  <c r="AI215" i="10"/>
  <c r="AH215" i="10"/>
  <c r="AI231" i="10"/>
  <c r="AH231" i="10"/>
  <c r="AH363" i="10"/>
  <c r="AI363" i="10"/>
  <c r="AI311" i="10"/>
  <c r="AH311" i="10"/>
  <c r="AI327" i="10"/>
  <c r="AH327" i="10"/>
  <c r="AI343" i="10"/>
  <c r="AH343" i="10"/>
  <c r="AI359" i="10"/>
  <c r="AH359" i="10"/>
  <c r="AI433" i="10"/>
  <c r="AH433" i="10"/>
  <c r="AH375" i="10"/>
  <c r="AI375" i="10"/>
  <c r="AH395" i="10"/>
  <c r="AI395" i="10"/>
  <c r="AH411" i="10"/>
  <c r="AI411" i="10"/>
  <c r="AH427" i="10"/>
  <c r="AI427" i="10"/>
  <c r="AI382" i="10"/>
  <c r="AH382" i="10"/>
  <c r="AI446" i="10"/>
  <c r="AH446" i="10"/>
  <c r="AI394" i="10"/>
  <c r="AH394" i="10"/>
  <c r="AI410" i="10"/>
  <c r="AH410" i="10"/>
  <c r="AI477" i="10"/>
  <c r="AH477" i="10"/>
  <c r="AH463" i="10"/>
  <c r="AI463" i="10"/>
  <c r="AI441" i="10"/>
  <c r="AH441" i="10"/>
  <c r="AI454" i="10"/>
  <c r="AH454" i="10"/>
  <c r="AI470" i="10"/>
  <c r="AH470" i="10"/>
  <c r="AI474" i="10"/>
  <c r="AH474" i="10"/>
  <c r="AI500" i="10"/>
  <c r="AH500" i="10"/>
  <c r="AI524" i="10"/>
  <c r="AH524" i="10"/>
  <c r="AI507" i="10"/>
  <c r="AH507" i="10"/>
  <c r="AI517" i="10"/>
  <c r="AH517" i="10"/>
  <c r="AI536" i="10"/>
  <c r="AH536" i="10"/>
  <c r="AI541" i="10"/>
  <c r="AH541" i="10"/>
  <c r="AI560" i="10"/>
  <c r="AH560" i="10"/>
  <c r="AI559" i="10"/>
  <c r="AH559" i="10"/>
  <c r="AQ507" i="10"/>
  <c r="AR507" i="10"/>
  <c r="AR460" i="10"/>
  <c r="AQ460" i="10"/>
  <c r="AQ346" i="10"/>
  <c r="AR346" i="10"/>
  <c r="AR340" i="10"/>
  <c r="AQ340" i="10"/>
  <c r="AR296" i="10"/>
  <c r="AQ296" i="10"/>
  <c r="AR264" i="10"/>
  <c r="AQ264" i="10"/>
  <c r="AR187" i="10"/>
  <c r="AQ187" i="10"/>
  <c r="AR131" i="10"/>
  <c r="AQ131" i="10"/>
  <c r="AQ72" i="10"/>
  <c r="AR72" i="10"/>
  <c r="AR65" i="10"/>
  <c r="AQ65" i="10"/>
  <c r="AR145" i="10"/>
  <c r="AQ145" i="10"/>
  <c r="AQ82" i="10"/>
  <c r="AR82" i="10"/>
  <c r="AQ51" i="10"/>
  <c r="AR51" i="10"/>
  <c r="AR542" i="10"/>
  <c r="AQ542" i="10"/>
  <c r="AR523" i="10"/>
  <c r="AQ523" i="10"/>
  <c r="AR506" i="10"/>
  <c r="AQ506" i="10"/>
  <c r="AR462" i="10"/>
  <c r="AQ462" i="10"/>
  <c r="AR416" i="10"/>
  <c r="AQ416" i="10"/>
  <c r="AR384" i="10"/>
  <c r="AQ384" i="10"/>
  <c r="AR453" i="10"/>
  <c r="AQ453" i="10"/>
  <c r="AR390" i="10"/>
  <c r="AQ390" i="10"/>
  <c r="AR362" i="10"/>
  <c r="AQ362" i="10"/>
  <c r="AR341" i="10"/>
  <c r="AQ341" i="10"/>
  <c r="AR309" i="10"/>
  <c r="AQ309" i="10"/>
  <c r="AR352" i="10"/>
  <c r="AQ352" i="10"/>
  <c r="AQ295" i="10"/>
  <c r="AR295" i="10"/>
  <c r="AQ263" i="10"/>
  <c r="AR263" i="10"/>
  <c r="AR347" i="10"/>
  <c r="AQ347" i="10"/>
  <c r="AR227" i="10"/>
  <c r="AQ227" i="10"/>
  <c r="AQ140" i="10"/>
  <c r="AR140" i="10"/>
  <c r="AQ108" i="10"/>
  <c r="AR108" i="10"/>
  <c r="AR167" i="10"/>
  <c r="AQ167" i="10"/>
  <c r="AR103" i="10"/>
  <c r="AQ103" i="10"/>
  <c r="AR25" i="10"/>
  <c r="AQ25" i="10"/>
  <c r="AQ178" i="10"/>
  <c r="AR178" i="10"/>
  <c r="AR64" i="10"/>
  <c r="AQ64" i="10"/>
  <c r="AR157" i="10"/>
  <c r="AQ157" i="10"/>
  <c r="AQ94" i="10"/>
  <c r="AR94" i="10"/>
  <c r="AR50" i="10"/>
  <c r="AQ50" i="10"/>
  <c r="AQ55" i="10"/>
  <c r="AR55" i="10"/>
  <c r="AR547" i="10"/>
  <c r="AQ547" i="10"/>
  <c r="AQ450" i="10"/>
  <c r="AR450" i="10"/>
  <c r="AR426" i="10"/>
  <c r="AQ426" i="10"/>
  <c r="AR451" i="10"/>
  <c r="AQ451" i="10"/>
  <c r="AR231" i="10"/>
  <c r="AQ231" i="10"/>
  <c r="AR533" i="10"/>
  <c r="AQ533" i="10"/>
  <c r="AR500" i="10"/>
  <c r="AQ500" i="10"/>
  <c r="AR512" i="10"/>
  <c r="AQ512" i="10"/>
  <c r="AQ442" i="10"/>
  <c r="AR442" i="10"/>
  <c r="AQ419" i="10"/>
  <c r="AR419" i="10"/>
  <c r="AQ433" i="10"/>
  <c r="AR433" i="10"/>
  <c r="AR370" i="10"/>
  <c r="AQ370" i="10"/>
  <c r="AQ334" i="10"/>
  <c r="AR334" i="10"/>
  <c r="AR443" i="10"/>
  <c r="AQ443" i="10"/>
  <c r="AR316" i="10"/>
  <c r="AQ316" i="10"/>
  <c r="AR343" i="10"/>
  <c r="AQ343" i="10"/>
  <c r="AR239" i="10"/>
  <c r="AQ239" i="10"/>
  <c r="AR284" i="10"/>
  <c r="AQ284" i="10"/>
  <c r="AR252" i="10"/>
  <c r="AQ252" i="10"/>
  <c r="AR147" i="10"/>
  <c r="AQ147" i="10"/>
  <c r="AQ80" i="10"/>
  <c r="AR80" i="10"/>
  <c r="AR49" i="10"/>
  <c r="AQ49" i="10"/>
  <c r="AR67" i="10"/>
  <c r="AQ67" i="10"/>
  <c r="AR66" i="10"/>
  <c r="AQ66" i="10"/>
  <c r="AR105" i="10"/>
  <c r="AQ105" i="10"/>
  <c r="AQ69" i="10"/>
  <c r="AR69" i="10"/>
  <c r="AQ511" i="10"/>
  <c r="AR511" i="10"/>
  <c r="AQ503" i="10"/>
  <c r="AR503" i="10"/>
  <c r="AQ411" i="10"/>
  <c r="AR411" i="10"/>
  <c r="AQ322" i="10"/>
  <c r="AR322" i="10"/>
  <c r="AR215" i="10"/>
  <c r="AQ215" i="10"/>
  <c r="AQ556" i="10"/>
  <c r="AR556" i="10"/>
  <c r="AR545" i="10"/>
  <c r="AQ545" i="10"/>
  <c r="AR526" i="10"/>
  <c r="AQ526" i="10"/>
  <c r="AQ522" i="10"/>
  <c r="AR522" i="10"/>
  <c r="AQ473" i="10"/>
  <c r="AR473" i="10"/>
  <c r="AR466" i="10"/>
  <c r="AQ466" i="10"/>
  <c r="AR420" i="10"/>
  <c r="AQ420" i="10"/>
  <c r="AR388" i="10"/>
  <c r="AQ388" i="10"/>
  <c r="AR445" i="10"/>
  <c r="AQ445" i="10"/>
  <c r="AR382" i="10"/>
  <c r="AQ382" i="10"/>
  <c r="AR439" i="10"/>
  <c r="AQ439" i="10"/>
  <c r="AR345" i="10"/>
  <c r="AQ345" i="10"/>
  <c r="AR313" i="10"/>
  <c r="AQ313" i="10"/>
  <c r="AR328" i="10"/>
  <c r="AQ328" i="10"/>
  <c r="AQ283" i="10"/>
  <c r="AR283" i="10"/>
  <c r="AQ251" i="10"/>
  <c r="AR251" i="10"/>
  <c r="AR235" i="10"/>
  <c r="AQ235" i="10"/>
  <c r="AQ144" i="10"/>
  <c r="AR144" i="10"/>
  <c r="AQ112" i="10"/>
  <c r="AR112" i="10"/>
  <c r="AR175" i="10"/>
  <c r="AQ175" i="10"/>
  <c r="AR111" i="10"/>
  <c r="AQ111" i="10"/>
  <c r="AQ39" i="10"/>
  <c r="AR39" i="10"/>
  <c r="AQ182" i="10"/>
  <c r="AR182" i="10"/>
  <c r="AQ71" i="10"/>
  <c r="AR71" i="10"/>
  <c r="AR133" i="10"/>
  <c r="AQ133" i="10"/>
  <c r="AQ70" i="10"/>
  <c r="AR70" i="10"/>
  <c r="AR42" i="10"/>
  <c r="AQ42" i="10"/>
  <c r="AR27" i="10"/>
  <c r="AQ27" i="10"/>
  <c r="AR21" i="10"/>
  <c r="AQ21" i="10"/>
  <c r="AR162" i="10"/>
  <c r="AQ162" i="10"/>
  <c r="AQ290" i="10"/>
  <c r="AR290" i="10"/>
  <c r="AR172" i="10"/>
  <c r="AQ172" i="10"/>
  <c r="AR188" i="10"/>
  <c r="AQ188" i="10"/>
  <c r="AR102" i="10"/>
  <c r="AQ102" i="10"/>
  <c r="AQ270" i="10"/>
  <c r="AR270" i="10"/>
  <c r="AR106" i="10"/>
  <c r="AQ106" i="10"/>
  <c r="AR122" i="10"/>
  <c r="AQ122" i="10"/>
  <c r="AR142" i="10"/>
  <c r="AQ142" i="10"/>
  <c r="AQ266" i="10"/>
  <c r="AR266" i="10"/>
  <c r="AQ220" i="10"/>
  <c r="AR220" i="10"/>
  <c r="AQ236" i="10"/>
  <c r="AR236" i="10"/>
  <c r="AR173" i="10"/>
  <c r="AQ173" i="10"/>
  <c r="AR189" i="10"/>
  <c r="AQ189" i="10"/>
  <c r="AR205" i="10"/>
  <c r="AQ205" i="10"/>
  <c r="AQ222" i="10"/>
  <c r="AR222" i="10"/>
  <c r="AQ238" i="10"/>
  <c r="AR238" i="10"/>
  <c r="AR253" i="10"/>
  <c r="AQ253" i="10"/>
  <c r="AR269" i="10"/>
  <c r="AQ269" i="10"/>
  <c r="AR285" i="10"/>
  <c r="AQ285" i="10"/>
  <c r="AR209" i="10"/>
  <c r="AQ209" i="10"/>
  <c r="AR225" i="10"/>
  <c r="AQ225" i="10"/>
  <c r="AR241" i="10"/>
  <c r="AQ241" i="10"/>
  <c r="AQ302" i="10"/>
  <c r="AR302" i="10"/>
  <c r="AQ401" i="10"/>
  <c r="AR401" i="10"/>
  <c r="AQ417" i="10"/>
  <c r="AR417" i="10"/>
  <c r="AQ306" i="10"/>
  <c r="AR306" i="10"/>
  <c r="AR367" i="10"/>
  <c r="AQ367" i="10"/>
  <c r="AR434" i="10"/>
  <c r="AQ434" i="10"/>
  <c r="AR452" i="10"/>
  <c r="AQ452" i="10"/>
  <c r="AR467" i="10"/>
  <c r="AQ467" i="10"/>
  <c r="AR514" i="10"/>
  <c r="AQ514" i="10"/>
  <c r="AR518" i="10"/>
  <c r="AQ518" i="10"/>
  <c r="AR515" i="10"/>
  <c r="AQ515" i="10"/>
  <c r="AQ540" i="10"/>
  <c r="AR540" i="10"/>
  <c r="T560" i="10"/>
  <c r="T556" i="10"/>
  <c r="T552" i="10"/>
  <c r="T557" i="10"/>
  <c r="T547" i="10"/>
  <c r="T553" i="10"/>
  <c r="T549" i="10"/>
  <c r="T545" i="10"/>
  <c r="T537" i="10"/>
  <c r="T533" i="10"/>
  <c r="T527" i="10"/>
  <c r="T541" i="10"/>
  <c r="T535" i="10"/>
  <c r="T531" i="10"/>
  <c r="T529" i="10"/>
  <c r="T525" i="10"/>
  <c r="T521" i="10"/>
  <c r="T517" i="10"/>
  <c r="T512" i="10"/>
  <c r="T508" i="10"/>
  <c r="T504" i="10"/>
  <c r="T500" i="10"/>
  <c r="T496" i="10"/>
  <c r="T492" i="10"/>
  <c r="T488" i="10"/>
  <c r="T523" i="10"/>
  <c r="T498" i="10"/>
  <c r="T493" i="10"/>
  <c r="T450" i="10"/>
  <c r="T446" i="10"/>
  <c r="T442" i="10"/>
  <c r="T486" i="10"/>
  <c r="T482" i="10"/>
  <c r="T478" i="10"/>
  <c r="T474" i="10"/>
  <c r="T453" i="10"/>
  <c r="T449" i="10"/>
  <c r="T445" i="10"/>
  <c r="T441" i="10"/>
  <c r="T466" i="10"/>
  <c r="T462" i="10"/>
  <c r="T458" i="10"/>
  <c r="T454" i="10"/>
  <c r="T438" i="10"/>
  <c r="T428" i="10"/>
  <c r="T424" i="10"/>
  <c r="T420" i="10"/>
  <c r="T416" i="10"/>
  <c r="T412" i="10"/>
  <c r="T408" i="10"/>
  <c r="T404" i="10"/>
  <c r="T400" i="10"/>
  <c r="T396" i="10"/>
  <c r="T392" i="10"/>
  <c r="T388" i="10"/>
  <c r="T382" i="10"/>
  <c r="T378" i="10"/>
  <c r="T374" i="10"/>
  <c r="T370" i="10"/>
  <c r="T470" i="10"/>
  <c r="T386" i="10"/>
  <c r="T451" i="10"/>
  <c r="T447" i="10"/>
  <c r="T443" i="10"/>
  <c r="T439" i="10"/>
  <c r="T430" i="10"/>
  <c r="T426" i="10"/>
  <c r="T422" i="10"/>
  <c r="T418" i="10"/>
  <c r="T414" i="10"/>
  <c r="T410" i="10"/>
  <c r="T406" i="10"/>
  <c r="T402" i="10"/>
  <c r="T398" i="10"/>
  <c r="T394" i="10"/>
  <c r="T390" i="10"/>
  <c r="T383" i="10"/>
  <c r="T379" i="10"/>
  <c r="T375" i="10"/>
  <c r="T371" i="10"/>
  <c r="T366" i="10"/>
  <c r="T362" i="10"/>
  <c r="T307" i="10"/>
  <c r="T437" i="10"/>
  <c r="T433" i="10"/>
  <c r="T376" i="10"/>
  <c r="T368" i="10"/>
  <c r="T364" i="10"/>
  <c r="T360" i="10"/>
  <c r="T384" i="10"/>
  <c r="T359" i="10"/>
  <c r="T355" i="10"/>
  <c r="T351" i="10"/>
  <c r="T347" i="10"/>
  <c r="T343" i="10"/>
  <c r="T339" i="10"/>
  <c r="T335" i="10"/>
  <c r="T331" i="10"/>
  <c r="T327" i="10"/>
  <c r="T323" i="10"/>
  <c r="T319" i="10"/>
  <c r="T315" i="10"/>
  <c r="T311" i="10"/>
  <c r="T303" i="10"/>
  <c r="T299" i="10"/>
  <c r="T380" i="10"/>
  <c r="T372" i="10"/>
  <c r="T243" i="10"/>
  <c r="T239" i="10"/>
  <c r="T235" i="10"/>
  <c r="T231" i="10"/>
  <c r="T227" i="10"/>
  <c r="T223" i="10"/>
  <c r="T219" i="10"/>
  <c r="T215" i="10"/>
  <c r="T211" i="10"/>
  <c r="T163" i="10"/>
  <c r="T159" i="10"/>
  <c r="T155" i="10"/>
  <c r="T151" i="10"/>
  <c r="T147" i="10"/>
  <c r="T143" i="10"/>
  <c r="T139" i="10"/>
  <c r="T135" i="10"/>
  <c r="T131" i="10"/>
  <c r="T127" i="10"/>
  <c r="T123" i="10"/>
  <c r="T119" i="10"/>
  <c r="T115" i="10"/>
  <c r="T111" i="10"/>
  <c r="T107" i="10"/>
  <c r="T103" i="10"/>
  <c r="T356" i="10"/>
  <c r="T352" i="10"/>
  <c r="T348" i="10"/>
  <c r="T344" i="10"/>
  <c r="T340" i="10"/>
  <c r="T336" i="10"/>
  <c r="T332" i="10"/>
  <c r="T328" i="10"/>
  <c r="T324" i="10"/>
  <c r="T320" i="10"/>
  <c r="T316" i="10"/>
  <c r="T312" i="10"/>
  <c r="T308" i="10"/>
  <c r="T297" i="10"/>
  <c r="T295" i="10"/>
  <c r="T293" i="10"/>
  <c r="T291" i="10"/>
  <c r="T289" i="10"/>
  <c r="T287" i="10"/>
  <c r="T285" i="10"/>
  <c r="T283" i="10"/>
  <c r="T281" i="10"/>
  <c r="T279" i="10"/>
  <c r="T277" i="10"/>
  <c r="T275" i="10"/>
  <c r="T273" i="10"/>
  <c r="T271" i="10"/>
  <c r="T269" i="10"/>
  <c r="T267" i="10"/>
  <c r="T265" i="10"/>
  <c r="T263" i="10"/>
  <c r="T261" i="10"/>
  <c r="T259" i="10"/>
  <c r="T257" i="10"/>
  <c r="T255" i="10"/>
  <c r="T253" i="10"/>
  <c r="T251" i="10"/>
  <c r="T249" i="10"/>
  <c r="T247" i="10"/>
  <c r="T245" i="10"/>
  <c r="T244" i="10"/>
  <c r="T240" i="10"/>
  <c r="T236" i="10"/>
  <c r="T232" i="10"/>
  <c r="T228" i="10"/>
  <c r="T224" i="10"/>
  <c r="T220" i="10"/>
  <c r="T216" i="10"/>
  <c r="T212" i="10"/>
  <c r="T191" i="10"/>
  <c r="T187" i="10"/>
  <c r="T183" i="10"/>
  <c r="T179" i="10"/>
  <c r="T175" i="10"/>
  <c r="T171" i="10"/>
  <c r="T167" i="10"/>
  <c r="T301" i="10"/>
  <c r="T161" i="10"/>
  <c r="T157" i="10"/>
  <c r="T153" i="10"/>
  <c r="T149" i="10"/>
  <c r="T145" i="10"/>
  <c r="T141" i="10"/>
  <c r="T137" i="10"/>
  <c r="T133" i="10"/>
  <c r="T129" i="10"/>
  <c r="T125" i="10"/>
  <c r="T121" i="10"/>
  <c r="T117" i="10"/>
  <c r="T113" i="10"/>
  <c r="T109" i="10"/>
  <c r="T105" i="10"/>
  <c r="T101" i="10"/>
  <c r="T97" i="10"/>
  <c r="T93" i="10"/>
  <c r="T89" i="10"/>
  <c r="T85" i="10"/>
  <c r="T81" i="10"/>
  <c r="T77" i="10"/>
  <c r="T73" i="10"/>
  <c r="B49" i="10"/>
  <c r="T199" i="10"/>
  <c r="T51" i="10"/>
  <c r="T203" i="10"/>
  <c r="T195" i="10"/>
  <c r="T65" i="10"/>
  <c r="T63" i="10"/>
  <c r="T60" i="10"/>
  <c r="O10" i="10"/>
  <c r="T59" i="10"/>
  <c r="T53" i="10"/>
  <c r="T99" i="10"/>
  <c r="T95" i="10"/>
  <c r="T91" i="10"/>
  <c r="T87" i="10"/>
  <c r="T83" i="10"/>
  <c r="T79" i="10"/>
  <c r="T75" i="10"/>
  <c r="T67" i="10"/>
  <c r="T207" i="10"/>
  <c r="T55" i="10"/>
  <c r="T46" i="10"/>
  <c r="T44" i="10"/>
  <c r="T36" i="10"/>
  <c r="T29" i="10"/>
  <c r="T26" i="10"/>
  <c r="T24" i="10"/>
  <c r="T20" i="10"/>
  <c r="T32" i="10"/>
  <c r="T37" i="10"/>
  <c r="T78" i="10"/>
  <c r="T94" i="10"/>
  <c r="T52" i="10"/>
  <c r="T110" i="10"/>
  <c r="T126" i="10"/>
  <c r="T142" i="10"/>
  <c r="T158" i="10"/>
  <c r="T204" i="10"/>
  <c r="T64" i="10"/>
  <c r="T23" i="10"/>
  <c r="T41" i="10"/>
  <c r="T61" i="10"/>
  <c r="T72" i="10"/>
  <c r="T88" i="10"/>
  <c r="T218" i="10"/>
  <c r="T234" i="10"/>
  <c r="T300" i="10"/>
  <c r="T172" i="10"/>
  <c r="T188" i="10"/>
  <c r="T202" i="10"/>
  <c r="T144" i="10"/>
  <c r="T160" i="10"/>
  <c r="T177" i="10"/>
  <c r="T193" i="10"/>
  <c r="T201" i="10"/>
  <c r="T217" i="10"/>
  <c r="T233" i="10"/>
  <c r="T246" i="10"/>
  <c r="T262" i="10"/>
  <c r="T278" i="10"/>
  <c r="T294" i="10"/>
  <c r="T309" i="10"/>
  <c r="T317" i="10"/>
  <c r="T325" i="10"/>
  <c r="T333" i="10"/>
  <c r="T341" i="10"/>
  <c r="T349" i="10"/>
  <c r="T357" i="10"/>
  <c r="T361" i="10"/>
  <c r="T310" i="10"/>
  <c r="T318" i="10"/>
  <c r="T326" i="10"/>
  <c r="T334" i="10"/>
  <c r="T342" i="10"/>
  <c r="T350" i="10"/>
  <c r="T358" i="10"/>
  <c r="T397" i="10"/>
  <c r="T413" i="10"/>
  <c r="T429" i="10"/>
  <c r="T461" i="10"/>
  <c r="T391" i="10"/>
  <c r="T407" i="10"/>
  <c r="T423" i="10"/>
  <c r="T457" i="10"/>
  <c r="T448" i="10"/>
  <c r="T432" i="10"/>
  <c r="T479" i="10"/>
  <c r="T502" i="10"/>
  <c r="T467" i="10"/>
  <c r="T460" i="10"/>
  <c r="T487" i="10"/>
  <c r="T485" i="10"/>
  <c r="T499" i="10"/>
  <c r="T506" i="10"/>
  <c r="T513" i="10"/>
  <c r="T520" i="10"/>
  <c r="T501" i="10"/>
  <c r="T510" i="10"/>
  <c r="T514" i="10"/>
  <c r="T543" i="10"/>
  <c r="T544" i="10"/>
  <c r="T548" i="10"/>
  <c r="T555" i="10"/>
  <c r="T148" i="10"/>
  <c r="T189" i="10"/>
  <c r="T213" i="10"/>
  <c r="T305" i="10"/>
  <c r="T266" i="10"/>
  <c r="T298" i="10"/>
  <c r="T363" i="10"/>
  <c r="T434" i="10"/>
  <c r="T456" i="10"/>
  <c r="T538" i="10"/>
  <c r="T546" i="10"/>
  <c r="T27" i="10"/>
  <c r="T34" i="10"/>
  <c r="T47" i="10"/>
  <c r="T70" i="10"/>
  <c r="T82" i="10"/>
  <c r="T98" i="10"/>
  <c r="T25" i="10"/>
  <c r="T114" i="10"/>
  <c r="T130" i="10"/>
  <c r="T146" i="10"/>
  <c r="T162" i="10"/>
  <c r="T170" i="10"/>
  <c r="T178" i="10"/>
  <c r="T186" i="10"/>
  <c r="T194" i="10"/>
  <c r="T208" i="10"/>
  <c r="T19" i="10"/>
  <c r="T43" i="10"/>
  <c r="T48" i="10"/>
  <c r="T58" i="10"/>
  <c r="T68" i="10"/>
  <c r="T76" i="10"/>
  <c r="T92" i="10"/>
  <c r="T222" i="10"/>
  <c r="T238" i="10"/>
  <c r="T252" i="10"/>
  <c r="T260" i="10"/>
  <c r="T268" i="10"/>
  <c r="T276" i="10"/>
  <c r="T284" i="10"/>
  <c r="T292" i="10"/>
  <c r="T168" i="10"/>
  <c r="T184" i="10"/>
  <c r="T104" i="10"/>
  <c r="T112" i="10"/>
  <c r="T120" i="10"/>
  <c r="T128" i="10"/>
  <c r="T140" i="10"/>
  <c r="T156" i="10"/>
  <c r="T165" i="10"/>
  <c r="T181" i="10"/>
  <c r="T304" i="10"/>
  <c r="T205" i="10"/>
  <c r="T221" i="10"/>
  <c r="T237" i="10"/>
  <c r="T377" i="10"/>
  <c r="T258" i="10"/>
  <c r="T274" i="10"/>
  <c r="T290" i="10"/>
  <c r="T306" i="10"/>
  <c r="T385" i="10"/>
  <c r="T401" i="10"/>
  <c r="T417" i="10"/>
  <c r="T471" i="10"/>
  <c r="T395" i="10"/>
  <c r="T411" i="10"/>
  <c r="T427" i="10"/>
  <c r="T431" i="10"/>
  <c r="T452" i="10"/>
  <c r="T483" i="10"/>
  <c r="T463" i="10"/>
  <c r="T464" i="10"/>
  <c r="T472" i="10"/>
  <c r="T476" i="10"/>
  <c r="T480" i="10"/>
  <c r="T484" i="10"/>
  <c r="T481" i="10"/>
  <c r="T489" i="10"/>
  <c r="T497" i="10"/>
  <c r="T526" i="10"/>
  <c r="T511" i="10"/>
  <c r="T528" i="10"/>
  <c r="T542" i="10"/>
  <c r="T550" i="10"/>
  <c r="T540" i="10"/>
  <c r="T558" i="10"/>
  <c r="T554" i="10"/>
  <c r="T176" i="10"/>
  <c r="T173" i="10"/>
  <c r="T250" i="10"/>
  <c r="T282" i="10"/>
  <c r="T365" i="10"/>
  <c r="T469" i="10"/>
  <c r="T444" i="10"/>
  <c r="T475" i="10"/>
  <c r="T490" i="10"/>
  <c r="T473" i="10"/>
  <c r="T522" i="10"/>
  <c r="T518" i="10"/>
  <c r="T519" i="10"/>
  <c r="T551" i="10"/>
  <c r="T21" i="10"/>
  <c r="T86" i="10"/>
  <c r="T62" i="10"/>
  <c r="T200" i="10"/>
  <c r="T38" i="10"/>
  <c r="T45" i="10"/>
  <c r="T50" i="10"/>
  <c r="T54" i="10"/>
  <c r="T57" i="10"/>
  <c r="T71" i="10"/>
  <c r="T102" i="10"/>
  <c r="T118" i="10"/>
  <c r="T134" i="10"/>
  <c r="T150" i="10"/>
  <c r="T28" i="10"/>
  <c r="T35" i="10"/>
  <c r="T31" i="10"/>
  <c r="T66" i="10"/>
  <c r="T80" i="10"/>
  <c r="T96" i="10"/>
  <c r="T210" i="10"/>
  <c r="T226" i="10"/>
  <c r="T242" i="10"/>
  <c r="T164" i="10"/>
  <c r="T180" i="10"/>
  <c r="T198" i="10"/>
  <c r="T206" i="10"/>
  <c r="T136" i="10"/>
  <c r="T152" i="10"/>
  <c r="T169" i="10"/>
  <c r="T185" i="10"/>
  <c r="T381" i="10"/>
  <c r="T387" i="10"/>
  <c r="T209" i="10"/>
  <c r="T225" i="10"/>
  <c r="T241" i="10"/>
  <c r="T254" i="10"/>
  <c r="T270" i="10"/>
  <c r="T286" i="10"/>
  <c r="T302" i="10"/>
  <c r="T313" i="10"/>
  <c r="T321" i="10"/>
  <c r="T329" i="10"/>
  <c r="T337" i="10"/>
  <c r="T345" i="10"/>
  <c r="T353" i="10"/>
  <c r="T369" i="10"/>
  <c r="T435" i="10"/>
  <c r="T465" i="10"/>
  <c r="T314" i="10"/>
  <c r="T322" i="10"/>
  <c r="T330" i="10"/>
  <c r="T338" i="10"/>
  <c r="T346" i="10"/>
  <c r="T354" i="10"/>
  <c r="T367" i="10"/>
  <c r="T389" i="10"/>
  <c r="T405" i="10"/>
  <c r="T421" i="10"/>
  <c r="T399" i="10"/>
  <c r="T415" i="10"/>
  <c r="T440" i="10"/>
  <c r="T459" i="10"/>
  <c r="T468" i="10"/>
  <c r="T494" i="10"/>
  <c r="T477" i="10"/>
  <c r="T495" i="10"/>
  <c r="T503" i="10"/>
  <c r="T516" i="10"/>
  <c r="T530" i="10"/>
  <c r="T534" i="10"/>
  <c r="T507" i="10"/>
  <c r="T515" i="10"/>
  <c r="T532" i="10"/>
  <c r="T524" i="10"/>
  <c r="T536" i="10"/>
  <c r="T559" i="10"/>
  <c r="T40" i="10"/>
  <c r="T30" i="10"/>
  <c r="T42" i="10"/>
  <c r="T49" i="10"/>
  <c r="T56" i="10"/>
  <c r="T74" i="10"/>
  <c r="T90" i="10"/>
  <c r="T106" i="10"/>
  <c r="T122" i="10"/>
  <c r="T138" i="10"/>
  <c r="T154" i="10"/>
  <c r="T166" i="10"/>
  <c r="T174" i="10"/>
  <c r="T182" i="10"/>
  <c r="T190" i="10"/>
  <c r="T196" i="10"/>
  <c r="T69" i="10"/>
  <c r="T22" i="10"/>
  <c r="T33" i="10"/>
  <c r="T39" i="10"/>
  <c r="T84" i="10"/>
  <c r="T214" i="10"/>
  <c r="T230" i="10"/>
  <c r="T248" i="10"/>
  <c r="T256" i="10"/>
  <c r="T264" i="10"/>
  <c r="T272" i="10"/>
  <c r="T280" i="10"/>
  <c r="T288" i="10"/>
  <c r="T296" i="10"/>
  <c r="T192" i="10"/>
  <c r="T100" i="10"/>
  <c r="T108" i="10"/>
  <c r="T116" i="10"/>
  <c r="T124" i="10"/>
  <c r="T132" i="10"/>
  <c r="T373" i="10"/>
  <c r="T197" i="10"/>
  <c r="T229" i="10"/>
  <c r="T393" i="10"/>
  <c r="T409" i="10"/>
  <c r="T425" i="10"/>
  <c r="T403" i="10"/>
  <c r="T419" i="10"/>
  <c r="T436" i="10"/>
  <c r="T455" i="10"/>
  <c r="T491" i="10"/>
  <c r="T505" i="10"/>
  <c r="T509" i="10"/>
  <c r="T539" i="10"/>
  <c r="B40" i="5"/>
  <c r="B98" i="2"/>
  <c r="B59" i="2"/>
  <c r="E231" i="2" s="1"/>
  <c r="B174" i="2"/>
  <c r="B58" i="2"/>
  <c r="B53" i="2"/>
  <c r="N9" i="1" s="1"/>
  <c r="B57" i="2"/>
  <c r="G196" i="2" s="1"/>
  <c r="B194" i="2"/>
  <c r="K8" i="2"/>
  <c r="AH8" i="5"/>
  <c r="B192" i="2"/>
  <c r="B191" i="2"/>
  <c r="AI7" i="5"/>
  <c r="AP7" i="5"/>
  <c r="AH7" i="5"/>
  <c r="B3" i="8"/>
  <c r="B12" i="5"/>
  <c r="B5" i="8"/>
  <c r="B11" i="5"/>
  <c r="B4" i="8"/>
  <c r="B289" i="2"/>
  <c r="B290" i="2" s="1"/>
  <c r="M8" i="4"/>
  <c r="BV7" i="4"/>
  <c r="AL15" i="4"/>
  <c r="AL17" i="4"/>
  <c r="AL19" i="4"/>
  <c r="AL21" i="4"/>
  <c r="AL23" i="4"/>
  <c r="AL25" i="4"/>
  <c r="AL27" i="4"/>
  <c r="AL29" i="4"/>
  <c r="AL31" i="4"/>
  <c r="AL33" i="4"/>
  <c r="AL35" i="4"/>
  <c r="AL37" i="4"/>
  <c r="AL39" i="4"/>
  <c r="AL41" i="4"/>
  <c r="AL20" i="4"/>
  <c r="AL28" i="4"/>
  <c r="AL36" i="4"/>
  <c r="AL16" i="4"/>
  <c r="AL30" i="4"/>
  <c r="AL34" i="4"/>
  <c r="AL44" i="4"/>
  <c r="AL49" i="4"/>
  <c r="AL52" i="4"/>
  <c r="AL57" i="4"/>
  <c r="AL60" i="4"/>
  <c r="AL65" i="4"/>
  <c r="AL68" i="4"/>
  <c r="AL73" i="4"/>
  <c r="AL76" i="4"/>
  <c r="AL81" i="4"/>
  <c r="AL84" i="4"/>
  <c r="AL89" i="4"/>
  <c r="AL92" i="4"/>
  <c r="AL97" i="4"/>
  <c r="AL100" i="4"/>
  <c r="AL105" i="4"/>
  <c r="AL108" i="4"/>
  <c r="AL113" i="4"/>
  <c r="AL116" i="4"/>
  <c r="AL121" i="4"/>
  <c r="AL124" i="4"/>
  <c r="AL129" i="4"/>
  <c r="AL132" i="4"/>
  <c r="AL137" i="4"/>
  <c r="AL140" i="4"/>
  <c r="AL145" i="4"/>
  <c r="AL148" i="4"/>
  <c r="AL153" i="4"/>
  <c r="AL156" i="4"/>
  <c r="AL11" i="4"/>
  <c r="AL14" i="4"/>
  <c r="AL24" i="4"/>
  <c r="AL38" i="4"/>
  <c r="AL42" i="4"/>
  <c r="AL47" i="4"/>
  <c r="AL50" i="4"/>
  <c r="AL55" i="4"/>
  <c r="AL58" i="4"/>
  <c r="AL63" i="4"/>
  <c r="AL66" i="4"/>
  <c r="AL71" i="4"/>
  <c r="AL74" i="4"/>
  <c r="AL79" i="4"/>
  <c r="AL82" i="4"/>
  <c r="AL87" i="4"/>
  <c r="AL90" i="4"/>
  <c r="AL95" i="4"/>
  <c r="AL98" i="4"/>
  <c r="AL103" i="4"/>
  <c r="AL106" i="4"/>
  <c r="AL111" i="4"/>
  <c r="AL114" i="4"/>
  <c r="AL119" i="4"/>
  <c r="AL122" i="4"/>
  <c r="AL127" i="4"/>
  <c r="AL130" i="4"/>
  <c r="AL135" i="4"/>
  <c r="AL138" i="4"/>
  <c r="AL143" i="4"/>
  <c r="AL146" i="4"/>
  <c r="AL151" i="4"/>
  <c r="AL154" i="4"/>
  <c r="AL9" i="4"/>
  <c r="AL12" i="4"/>
  <c r="AL18" i="4"/>
  <c r="AL32" i="4"/>
  <c r="AL45" i="4"/>
  <c r="AL48" i="4"/>
  <c r="AL53" i="4"/>
  <c r="AL56" i="4"/>
  <c r="AL61" i="4"/>
  <c r="AL64" i="4"/>
  <c r="AL69" i="4"/>
  <c r="AL72" i="4"/>
  <c r="AL77" i="4"/>
  <c r="AL80" i="4"/>
  <c r="AL85" i="4"/>
  <c r="AL88" i="4"/>
  <c r="AL93" i="4"/>
  <c r="AL96" i="4"/>
  <c r="AL101" i="4"/>
  <c r="AL104" i="4"/>
  <c r="AL109" i="4"/>
  <c r="AL112" i="4"/>
  <c r="AL117" i="4"/>
  <c r="AL120" i="4"/>
  <c r="AL125" i="4"/>
  <c r="AL128" i="4"/>
  <c r="AL133" i="4"/>
  <c r="AL136" i="4"/>
  <c r="AL141" i="4"/>
  <c r="AL144" i="4"/>
  <c r="AL149" i="4"/>
  <c r="AL152" i="4"/>
  <c r="AL157" i="4"/>
  <c r="AL10" i="4"/>
  <c r="AL22" i="4"/>
  <c r="AL26" i="4"/>
  <c r="AL40" i="4"/>
  <c r="AL43" i="4"/>
  <c r="AL46" i="4"/>
  <c r="AL51" i="4"/>
  <c r="AL54" i="4"/>
  <c r="AL59" i="4"/>
  <c r="AL62" i="4"/>
  <c r="AL67" i="4"/>
  <c r="AL70" i="4"/>
  <c r="AL75" i="4"/>
  <c r="AL78" i="4"/>
  <c r="AL83" i="4"/>
  <c r="AL86" i="4"/>
  <c r="AL91" i="4"/>
  <c r="AL94" i="4"/>
  <c r="AL99" i="4"/>
  <c r="AL102" i="4"/>
  <c r="AL107" i="4"/>
  <c r="AL110" i="4"/>
  <c r="AL115" i="4"/>
  <c r="AL118" i="4"/>
  <c r="AL123" i="4"/>
  <c r="AL126" i="4"/>
  <c r="AL131" i="4"/>
  <c r="AL134" i="4"/>
  <c r="AL139" i="4"/>
  <c r="AL142" i="4"/>
  <c r="AL147" i="4"/>
  <c r="AL150" i="4"/>
  <c r="AL155" i="4"/>
  <c r="AL8" i="4"/>
  <c r="AL13" i="4"/>
  <c r="B29" i="5"/>
  <c r="O15" i="4"/>
  <c r="H47" i="1"/>
  <c r="AL7" i="4"/>
  <c r="E120" i="2"/>
  <c r="H49" i="1"/>
  <c r="O12" i="4"/>
  <c r="AN8" i="5"/>
  <c r="AK8" i="5"/>
  <c r="AM13" i="5"/>
  <c r="T13" i="5"/>
  <c r="AJ13" i="5"/>
  <c r="AG13" i="5"/>
  <c r="T8" i="5"/>
  <c r="U8" i="5" s="1"/>
  <c r="O10" i="5"/>
  <c r="AP8" i="5"/>
  <c r="AR8" i="5" s="1"/>
  <c r="AM12" i="5"/>
  <c r="T12" i="5"/>
  <c r="AJ12" i="5"/>
  <c r="AG12" i="5"/>
  <c r="B54" i="5"/>
  <c r="B188" i="2"/>
  <c r="B239" i="2"/>
  <c r="H64" i="1" s="1"/>
  <c r="B241" i="2"/>
  <c r="B10" i="5"/>
  <c r="AL19" i="5"/>
  <c r="AK19" i="5"/>
  <c r="AK474" i="5"/>
  <c r="AL474" i="5"/>
  <c r="AK471" i="5"/>
  <c r="AL471" i="5"/>
  <c r="AL546" i="5"/>
  <c r="AK546" i="5"/>
  <c r="AK468" i="5"/>
  <c r="AL468" i="5"/>
  <c r="AL524" i="5"/>
  <c r="AK524" i="5"/>
  <c r="AL544" i="5"/>
  <c r="AK544" i="5"/>
  <c r="AL526" i="5"/>
  <c r="AK526" i="5"/>
  <c r="AK472" i="5"/>
  <c r="AL472" i="5"/>
  <c r="AK437" i="5"/>
  <c r="AL437" i="5"/>
  <c r="AK375" i="5"/>
  <c r="AL375" i="5"/>
  <c r="AK513" i="5"/>
  <c r="AL513" i="5"/>
  <c r="AL493" i="5"/>
  <c r="AK493" i="5"/>
  <c r="AK450" i="5"/>
  <c r="AL450" i="5"/>
  <c r="AL438" i="5"/>
  <c r="AK438" i="5"/>
  <c r="AK511" i="5"/>
  <c r="AL511" i="5"/>
  <c r="AL470" i="5"/>
  <c r="AK470" i="5"/>
  <c r="AK453" i="5"/>
  <c r="AL453" i="5"/>
  <c r="AK407" i="5"/>
  <c r="AL407" i="5"/>
  <c r="AL372" i="5"/>
  <c r="AK372" i="5"/>
  <c r="AK323" i="5"/>
  <c r="AL323" i="5"/>
  <c r="AK388" i="5"/>
  <c r="AL388" i="5"/>
  <c r="AK348" i="5"/>
  <c r="AL348" i="5"/>
  <c r="AK434" i="5"/>
  <c r="AL434" i="5"/>
  <c r="AK389" i="5"/>
  <c r="AL389" i="5"/>
  <c r="AK363" i="5"/>
  <c r="AL363" i="5"/>
  <c r="AL337" i="5"/>
  <c r="AK337" i="5"/>
  <c r="AK334" i="5"/>
  <c r="AL334" i="5"/>
  <c r="AL304" i="5"/>
  <c r="AK304" i="5"/>
  <c r="AK276" i="5"/>
  <c r="AL276" i="5"/>
  <c r="AK245" i="5"/>
  <c r="AL245" i="5"/>
  <c r="AL315" i="5"/>
  <c r="AK315" i="5"/>
  <c r="AK268" i="5"/>
  <c r="AL268" i="5"/>
  <c r="AK248" i="5"/>
  <c r="AL248" i="5"/>
  <c r="AK321" i="5"/>
  <c r="AL321" i="5"/>
  <c r="AL262" i="5"/>
  <c r="AK262" i="5"/>
  <c r="AK208" i="5"/>
  <c r="AL208" i="5"/>
  <c r="AK220" i="5"/>
  <c r="AL220" i="5"/>
  <c r="AK192" i="5"/>
  <c r="AL192" i="5"/>
  <c r="AK202" i="5"/>
  <c r="AL202" i="5"/>
  <c r="AK235" i="5"/>
  <c r="AL235" i="5"/>
  <c r="AK204" i="5"/>
  <c r="AL204" i="5"/>
  <c r="AK196" i="5"/>
  <c r="AL196" i="5"/>
  <c r="AL182" i="5"/>
  <c r="AK182" i="5"/>
  <c r="AK185" i="5"/>
  <c r="AL185" i="5"/>
  <c r="AK151" i="5"/>
  <c r="AL151" i="5"/>
  <c r="AK140" i="5"/>
  <c r="AL140" i="5"/>
  <c r="AK80" i="5"/>
  <c r="AL80" i="5"/>
  <c r="AK134" i="5"/>
  <c r="AL134" i="5"/>
  <c r="AK161" i="5"/>
  <c r="AL161" i="5"/>
  <c r="AP117" i="5"/>
  <c r="AK117" i="5"/>
  <c r="AL117" i="5"/>
  <c r="AK103" i="5"/>
  <c r="AL103" i="5"/>
  <c r="AK104" i="5"/>
  <c r="AL104" i="5"/>
  <c r="AL91" i="5"/>
  <c r="AK91" i="5"/>
  <c r="AK73" i="5"/>
  <c r="AL73" i="5"/>
  <c r="AK57" i="5"/>
  <c r="AL57" i="5"/>
  <c r="AK53" i="5"/>
  <c r="AL53" i="5"/>
  <c r="AK63" i="5"/>
  <c r="AL63" i="5"/>
  <c r="AK41" i="5"/>
  <c r="AL41" i="5"/>
  <c r="AK23" i="5"/>
  <c r="AL23" i="5"/>
  <c r="AI521" i="5"/>
  <c r="AH521" i="5"/>
  <c r="AP521" i="5"/>
  <c r="AH558" i="5"/>
  <c r="AI558" i="5"/>
  <c r="AP558" i="5"/>
  <c r="AP426" i="5"/>
  <c r="AI426" i="5"/>
  <c r="AH426" i="5"/>
  <c r="AP377" i="5"/>
  <c r="AI377" i="5"/>
  <c r="AH377" i="5"/>
  <c r="AI495" i="5"/>
  <c r="AH495" i="5"/>
  <c r="AP495" i="5"/>
  <c r="AI528" i="5"/>
  <c r="AH528" i="5"/>
  <c r="AI380" i="5"/>
  <c r="AP380" i="5"/>
  <c r="AH380" i="5"/>
  <c r="AH553" i="5"/>
  <c r="AI553" i="5"/>
  <c r="AP553" i="5"/>
  <c r="AI507" i="5"/>
  <c r="AP507" i="5"/>
  <c r="AH507" i="5"/>
  <c r="AI486" i="5"/>
  <c r="AH486" i="5"/>
  <c r="AI474" i="5"/>
  <c r="AH474" i="5"/>
  <c r="AP474" i="5"/>
  <c r="AI459" i="5"/>
  <c r="AH459" i="5"/>
  <c r="AP459" i="5"/>
  <c r="AI439" i="5"/>
  <c r="AH439" i="5"/>
  <c r="AP439" i="5"/>
  <c r="AP337" i="5"/>
  <c r="AI337" i="5"/>
  <c r="AH337" i="5"/>
  <c r="AI516" i="5"/>
  <c r="AH516" i="5"/>
  <c r="AP516" i="5"/>
  <c r="AH496" i="5"/>
  <c r="AP496" i="5"/>
  <c r="AI496" i="5"/>
  <c r="AI460" i="5"/>
  <c r="AP460" i="5"/>
  <c r="AH460" i="5"/>
  <c r="AI447" i="5"/>
  <c r="AH447" i="5"/>
  <c r="AP447" i="5"/>
  <c r="AI370" i="5"/>
  <c r="AP370" i="5"/>
  <c r="AH370" i="5"/>
  <c r="AI530" i="5"/>
  <c r="AH530" i="5"/>
  <c r="AP530" i="5"/>
  <c r="AI510" i="5"/>
  <c r="AP510" i="5"/>
  <c r="AH510" i="5"/>
  <c r="AI494" i="5"/>
  <c r="AP494" i="5"/>
  <c r="AH494" i="5"/>
  <c r="AI487" i="5"/>
  <c r="AH487" i="5"/>
  <c r="AP487" i="5"/>
  <c r="AI451" i="5"/>
  <c r="AP451" i="5"/>
  <c r="AH451" i="5"/>
  <c r="AI438" i="5"/>
  <c r="AH438" i="5"/>
  <c r="AP438" i="5"/>
  <c r="AI412" i="5"/>
  <c r="AH412" i="5"/>
  <c r="AP412" i="5"/>
  <c r="AI346" i="5"/>
  <c r="AP346" i="5"/>
  <c r="AH346" i="5"/>
  <c r="AH275" i="5"/>
  <c r="AI275" i="5"/>
  <c r="AP275" i="5"/>
  <c r="AI417" i="5"/>
  <c r="AP417" i="5"/>
  <c r="AH417" i="5"/>
  <c r="AI402" i="5"/>
  <c r="AH402" i="5"/>
  <c r="AP402" i="5"/>
  <c r="AH375" i="5"/>
  <c r="AP375" i="5"/>
  <c r="AI375" i="5"/>
  <c r="AI360" i="5"/>
  <c r="AH360" i="5"/>
  <c r="AP360" i="5"/>
  <c r="AI347" i="5"/>
  <c r="AP347" i="5"/>
  <c r="AH347" i="5"/>
  <c r="AP410" i="5"/>
  <c r="AI410" i="5"/>
  <c r="AH410" i="5"/>
  <c r="AI396" i="5"/>
  <c r="AP396" i="5"/>
  <c r="AH396" i="5"/>
  <c r="AP386" i="5"/>
  <c r="AI386" i="5"/>
  <c r="AH386" i="5"/>
  <c r="AH368" i="5"/>
  <c r="AP368" i="5"/>
  <c r="AI368" i="5"/>
  <c r="AI340" i="5"/>
  <c r="AH340" i="5"/>
  <c r="AP340" i="5"/>
  <c r="AH321" i="5"/>
  <c r="AP321" i="5"/>
  <c r="AI321" i="5"/>
  <c r="AH262" i="5"/>
  <c r="AI262" i="5"/>
  <c r="AP262" i="5"/>
  <c r="AP436" i="5"/>
  <c r="AI436" i="5"/>
  <c r="AH436" i="5"/>
  <c r="AI421" i="5"/>
  <c r="AH421" i="5"/>
  <c r="AP421" i="5"/>
  <c r="AI403" i="5"/>
  <c r="AH403" i="5"/>
  <c r="AP403" i="5"/>
  <c r="AI397" i="5"/>
  <c r="AH397" i="5"/>
  <c r="AP397" i="5"/>
  <c r="AI378" i="5"/>
  <c r="AH378" i="5"/>
  <c r="AP378" i="5"/>
  <c r="AI341" i="5"/>
  <c r="AP341" i="5"/>
  <c r="AH341" i="5"/>
  <c r="AH284" i="5"/>
  <c r="AP284" i="5"/>
  <c r="AI284" i="5"/>
  <c r="AI356" i="5"/>
  <c r="AH356" i="5"/>
  <c r="AP356" i="5"/>
  <c r="AI345" i="5"/>
  <c r="AH345" i="5"/>
  <c r="AP345" i="5"/>
  <c r="AI336" i="5"/>
  <c r="AH336" i="5"/>
  <c r="AP336" i="5"/>
  <c r="AI313" i="5"/>
  <c r="AH313" i="5"/>
  <c r="AP313" i="5"/>
  <c r="AP296" i="5"/>
  <c r="AI296" i="5"/>
  <c r="AH296" i="5"/>
  <c r="AI281" i="5"/>
  <c r="AH281" i="5"/>
  <c r="AP281" i="5"/>
  <c r="AH261" i="5"/>
  <c r="AI261" i="5"/>
  <c r="AP261" i="5"/>
  <c r="AH237" i="5"/>
  <c r="AI237" i="5"/>
  <c r="AP237" i="5"/>
  <c r="AI328" i="5"/>
  <c r="AP328" i="5"/>
  <c r="AH328" i="5"/>
  <c r="AH316" i="5"/>
  <c r="AI316" i="5"/>
  <c r="AP316" i="5"/>
  <c r="AI299" i="5"/>
  <c r="AP299" i="5"/>
  <c r="AH299" i="5"/>
  <c r="AH286" i="5"/>
  <c r="AP286" i="5"/>
  <c r="AI286" i="5"/>
  <c r="AH276" i="5"/>
  <c r="AI276" i="5"/>
  <c r="AP276" i="5"/>
  <c r="AH250" i="5"/>
  <c r="AI250" i="5"/>
  <c r="AP250" i="5"/>
  <c r="AH210" i="5"/>
  <c r="AI210" i="5"/>
  <c r="AP210" i="5"/>
  <c r="AI324" i="5"/>
  <c r="AP324" i="5"/>
  <c r="AH324" i="5"/>
  <c r="AI314" i="5"/>
  <c r="AH314" i="5"/>
  <c r="AP314" i="5"/>
  <c r="AP301" i="5"/>
  <c r="AI301" i="5"/>
  <c r="AH301" i="5"/>
  <c r="AP283" i="5"/>
  <c r="AH283" i="5"/>
  <c r="AI283" i="5"/>
  <c r="AI273" i="5"/>
  <c r="AH273" i="5"/>
  <c r="AP273" i="5"/>
  <c r="AP257" i="5"/>
  <c r="AH257" i="5"/>
  <c r="AI257" i="5"/>
  <c r="AP251" i="5"/>
  <c r="AH251" i="5"/>
  <c r="AI251" i="5"/>
  <c r="AI240" i="5"/>
  <c r="AH240" i="5"/>
  <c r="AP240" i="5"/>
  <c r="AP233" i="5"/>
  <c r="AH233" i="5"/>
  <c r="AI233" i="5"/>
  <c r="AI221" i="5"/>
  <c r="AH221" i="5"/>
  <c r="AP221" i="5"/>
  <c r="AI195" i="5"/>
  <c r="AH195" i="5"/>
  <c r="AP195" i="5"/>
  <c r="AI159" i="5"/>
  <c r="AH159" i="5"/>
  <c r="AP159" i="5"/>
  <c r="AH229" i="5"/>
  <c r="AI229" i="5"/>
  <c r="AP229" i="5"/>
  <c r="AI211" i="5"/>
  <c r="AH211" i="5"/>
  <c r="AP211" i="5"/>
  <c r="AH164" i="5"/>
  <c r="AI164" i="5"/>
  <c r="AP164" i="5"/>
  <c r="AH239" i="5"/>
  <c r="AI239" i="5"/>
  <c r="AP239" i="5"/>
  <c r="AH218" i="5"/>
  <c r="AI218" i="5"/>
  <c r="AP218" i="5"/>
  <c r="AH176" i="5"/>
  <c r="AI176" i="5"/>
  <c r="AP176" i="5"/>
  <c r="AH199" i="5"/>
  <c r="AI199" i="5"/>
  <c r="AP199" i="5"/>
  <c r="AH190" i="5"/>
  <c r="AI190" i="5"/>
  <c r="AP190" i="5"/>
  <c r="AI175" i="5"/>
  <c r="AH175" i="5"/>
  <c r="AP175" i="5"/>
  <c r="AH160" i="5"/>
  <c r="AI160" i="5"/>
  <c r="AP160" i="5"/>
  <c r="AH133" i="5"/>
  <c r="AP133" i="5"/>
  <c r="AI133" i="5"/>
  <c r="AI182" i="5"/>
  <c r="AH182" i="5"/>
  <c r="AP182" i="5"/>
  <c r="AI165" i="5"/>
  <c r="AH165" i="5"/>
  <c r="AP165" i="5"/>
  <c r="AH131" i="5"/>
  <c r="AI131" i="5"/>
  <c r="AP131" i="5"/>
  <c r="AI187" i="5"/>
  <c r="AH187" i="5"/>
  <c r="AP187" i="5"/>
  <c r="AH177" i="5"/>
  <c r="AI177" i="5"/>
  <c r="AP177" i="5"/>
  <c r="AI153" i="5"/>
  <c r="AH153" i="5"/>
  <c r="AP153" i="5"/>
  <c r="AH135" i="5"/>
  <c r="AI135" i="5"/>
  <c r="AP135" i="5"/>
  <c r="AH110" i="5"/>
  <c r="AI110" i="5"/>
  <c r="AP110" i="5"/>
  <c r="AH139" i="5"/>
  <c r="AI139" i="5"/>
  <c r="AP139" i="5"/>
  <c r="AH130" i="5"/>
  <c r="AI130" i="5"/>
  <c r="AH118" i="5"/>
  <c r="AI118" i="5"/>
  <c r="AP118" i="5"/>
  <c r="AH92" i="5"/>
  <c r="AI92" i="5"/>
  <c r="AP92" i="5"/>
  <c r="AH142" i="5"/>
  <c r="AP142" i="5"/>
  <c r="AI142" i="5"/>
  <c r="AI89" i="5"/>
  <c r="AH89" i="5"/>
  <c r="AP89" i="5"/>
  <c r="AI141" i="5"/>
  <c r="AH141" i="5"/>
  <c r="AP141" i="5"/>
  <c r="AH121" i="5"/>
  <c r="AI121" i="5"/>
  <c r="AP121" i="5"/>
  <c r="AH100" i="5"/>
  <c r="AI100" i="5"/>
  <c r="AP100" i="5"/>
  <c r="AI91" i="5"/>
  <c r="AH91" i="5"/>
  <c r="AP91" i="5"/>
  <c r="AI79" i="5"/>
  <c r="AH79" i="5"/>
  <c r="AP79" i="5"/>
  <c r="AP103" i="5"/>
  <c r="AH103" i="5"/>
  <c r="AI103" i="5"/>
  <c r="AI96" i="5"/>
  <c r="AH96" i="5"/>
  <c r="AP96" i="5"/>
  <c r="AI93" i="5"/>
  <c r="AH93" i="5"/>
  <c r="AP93" i="5"/>
  <c r="AH78" i="5"/>
  <c r="AI78" i="5"/>
  <c r="AP78" i="5"/>
  <c r="AI55" i="5"/>
  <c r="AH55" i="5"/>
  <c r="AP55" i="5"/>
  <c r="AH69" i="5"/>
  <c r="AI69" i="5"/>
  <c r="AP69" i="5"/>
  <c r="AI66" i="5"/>
  <c r="AH66" i="5"/>
  <c r="AP66" i="5"/>
  <c r="AP23" i="5"/>
  <c r="AH23" i="5"/>
  <c r="AI23" i="5"/>
  <c r="AH65" i="5"/>
  <c r="AI65" i="5"/>
  <c r="AP65" i="5"/>
  <c r="AI41" i="5"/>
  <c r="AH41" i="5"/>
  <c r="AP41" i="5"/>
  <c r="AH54" i="5"/>
  <c r="AI54" i="5"/>
  <c r="AP54" i="5"/>
  <c r="AI25" i="5"/>
  <c r="AH25" i="5"/>
  <c r="AP25" i="5"/>
  <c r="AI47" i="5"/>
  <c r="AH47" i="5"/>
  <c r="AP47" i="5"/>
  <c r="AH34" i="5"/>
  <c r="AI34" i="5"/>
  <c r="AP34" i="5"/>
  <c r="AH42" i="5"/>
  <c r="AI42" i="5"/>
  <c r="AP42" i="5"/>
  <c r="AI24" i="5"/>
  <c r="AH24" i="5"/>
  <c r="AP24" i="5"/>
  <c r="AH38" i="5"/>
  <c r="AP38" i="5"/>
  <c r="AI38" i="5"/>
  <c r="AP29" i="5"/>
  <c r="AI29" i="5"/>
  <c r="AH29" i="5"/>
  <c r="AO546" i="5"/>
  <c r="AN546" i="5"/>
  <c r="AN450" i="5"/>
  <c r="AO450" i="5"/>
  <c r="AO552" i="5"/>
  <c r="AN552" i="5"/>
  <c r="AO535" i="5"/>
  <c r="AN535" i="5"/>
  <c r="AN491" i="5"/>
  <c r="AO491" i="5"/>
  <c r="AN551" i="5"/>
  <c r="AO551" i="5"/>
  <c r="AN543" i="5"/>
  <c r="AO543" i="5"/>
  <c r="AO445" i="5"/>
  <c r="AN445" i="5"/>
  <c r="AO560" i="5"/>
  <c r="AN560" i="5"/>
  <c r="AN540" i="5"/>
  <c r="AO540" i="5"/>
  <c r="AN527" i="5"/>
  <c r="AO527" i="5"/>
  <c r="AO485" i="5"/>
  <c r="AN485" i="5"/>
  <c r="AO421" i="5"/>
  <c r="AN421" i="5"/>
  <c r="AO556" i="5"/>
  <c r="AN556" i="5"/>
  <c r="AN539" i="5"/>
  <c r="AO539" i="5"/>
  <c r="AN520" i="5"/>
  <c r="AO520" i="5"/>
  <c r="AO508" i="5"/>
  <c r="AN508" i="5"/>
  <c r="AO500" i="5"/>
  <c r="AN500" i="5"/>
  <c r="AO493" i="5"/>
  <c r="AN493" i="5"/>
  <c r="AO487" i="5"/>
  <c r="AN487" i="5"/>
  <c r="AN476" i="5"/>
  <c r="AO476" i="5"/>
  <c r="AO463" i="5"/>
  <c r="AN463" i="5"/>
  <c r="AO451" i="5"/>
  <c r="AN451" i="5"/>
  <c r="AO434" i="5"/>
  <c r="AN434" i="5"/>
  <c r="AO396" i="5"/>
  <c r="AN396" i="5"/>
  <c r="AO347" i="5"/>
  <c r="AN347" i="5"/>
  <c r="AO514" i="5"/>
  <c r="AN514" i="5"/>
  <c r="AN506" i="5"/>
  <c r="AO506" i="5"/>
  <c r="AN477" i="5"/>
  <c r="AO477" i="5"/>
  <c r="AO467" i="5"/>
  <c r="AN467" i="5"/>
  <c r="AN447" i="5"/>
  <c r="AO447" i="5"/>
  <c r="AN427" i="5"/>
  <c r="AO427" i="5"/>
  <c r="AO397" i="5"/>
  <c r="AN397" i="5"/>
  <c r="AN325" i="5"/>
  <c r="AO325" i="5"/>
  <c r="AO526" i="5"/>
  <c r="AN526" i="5"/>
  <c r="AO497" i="5"/>
  <c r="AN497" i="5"/>
  <c r="AO475" i="5"/>
  <c r="AN475" i="5"/>
  <c r="AO459" i="5"/>
  <c r="AN459" i="5"/>
  <c r="AO442" i="5"/>
  <c r="AN442" i="5"/>
  <c r="AN362" i="5"/>
  <c r="AO362" i="5"/>
  <c r="AO415" i="5"/>
  <c r="AN415" i="5"/>
  <c r="AO395" i="5"/>
  <c r="AN395" i="5"/>
  <c r="AO374" i="5"/>
  <c r="AN374" i="5"/>
  <c r="AO355" i="5"/>
  <c r="AN355" i="5"/>
  <c r="AO341" i="5"/>
  <c r="AN341" i="5"/>
  <c r="AN292" i="5"/>
  <c r="AO292" i="5"/>
  <c r="AO273" i="5"/>
  <c r="AN273" i="5"/>
  <c r="AN209" i="5"/>
  <c r="AO209" i="5"/>
  <c r="AN413" i="5"/>
  <c r="AO413" i="5"/>
  <c r="AN392" i="5"/>
  <c r="AO392" i="5"/>
  <c r="AO384" i="5"/>
  <c r="AN384" i="5"/>
  <c r="AO370" i="5"/>
  <c r="AN370" i="5"/>
  <c r="AO359" i="5"/>
  <c r="AN359" i="5"/>
  <c r="AN334" i="5"/>
  <c r="AO334" i="5"/>
  <c r="AO260" i="5"/>
  <c r="AN260" i="5"/>
  <c r="AN436" i="5"/>
  <c r="AO436" i="5"/>
  <c r="AN423" i="5"/>
  <c r="AO423" i="5"/>
  <c r="AN410" i="5"/>
  <c r="AO410" i="5"/>
  <c r="AN385" i="5"/>
  <c r="AO385" i="5"/>
  <c r="AO369" i="5"/>
  <c r="AN369" i="5"/>
  <c r="AO338" i="5"/>
  <c r="AN338" i="5"/>
  <c r="AN299" i="5"/>
  <c r="AO299" i="5"/>
  <c r="AN206" i="5"/>
  <c r="AO206" i="5"/>
  <c r="AN346" i="5"/>
  <c r="AO346" i="5"/>
  <c r="AN337" i="5"/>
  <c r="AO337" i="5"/>
  <c r="AO324" i="5"/>
  <c r="AN324" i="5"/>
  <c r="AO314" i="5"/>
  <c r="AN314" i="5"/>
  <c r="AO306" i="5"/>
  <c r="AN306" i="5"/>
  <c r="AO287" i="5"/>
  <c r="AN287" i="5"/>
  <c r="AO265" i="5"/>
  <c r="AN265" i="5"/>
  <c r="AO251" i="5"/>
  <c r="AN251" i="5"/>
  <c r="AO232" i="5"/>
  <c r="AN232" i="5"/>
  <c r="AO331" i="5"/>
  <c r="AN331" i="5"/>
  <c r="AN305" i="5"/>
  <c r="AO305" i="5"/>
  <c r="AN284" i="5"/>
  <c r="AO284" i="5"/>
  <c r="AN262" i="5"/>
  <c r="AO262" i="5"/>
  <c r="AO207" i="5"/>
  <c r="AN207" i="5"/>
  <c r="AO318" i="5"/>
  <c r="AN318" i="5"/>
  <c r="AO300" i="5"/>
  <c r="AN300" i="5"/>
  <c r="AO285" i="5"/>
  <c r="AN285" i="5"/>
  <c r="AO276" i="5"/>
  <c r="AN276" i="5"/>
  <c r="AO264" i="5"/>
  <c r="AN264" i="5"/>
  <c r="AO223" i="5"/>
  <c r="AN223" i="5"/>
  <c r="AO189" i="5"/>
  <c r="AN189" i="5"/>
  <c r="AN234" i="5"/>
  <c r="AO234" i="5"/>
  <c r="AO200" i="5"/>
  <c r="AN200" i="5"/>
  <c r="AO178" i="5"/>
  <c r="AN178" i="5"/>
  <c r="AO238" i="5"/>
  <c r="AN238" i="5"/>
  <c r="AO222" i="5"/>
  <c r="AN222" i="5"/>
  <c r="AO212" i="5"/>
  <c r="AN212" i="5"/>
  <c r="AO195" i="5"/>
  <c r="AN195" i="5"/>
  <c r="AO243" i="5"/>
  <c r="AN243" i="5"/>
  <c r="AO225" i="5"/>
  <c r="AN225" i="5"/>
  <c r="AO211" i="5"/>
  <c r="AN211" i="5"/>
  <c r="AN174" i="5"/>
  <c r="AO174" i="5"/>
  <c r="AO130" i="5"/>
  <c r="AN130" i="5"/>
  <c r="AO198" i="5"/>
  <c r="AN198" i="5"/>
  <c r="AN173" i="5"/>
  <c r="AO173" i="5"/>
  <c r="AN156" i="5"/>
  <c r="AO156" i="5"/>
  <c r="AN122" i="5"/>
  <c r="AO122" i="5"/>
  <c r="AO176" i="5"/>
  <c r="AN176" i="5"/>
  <c r="AN164" i="5"/>
  <c r="AO164" i="5"/>
  <c r="AN141" i="5"/>
  <c r="AO141" i="5"/>
  <c r="AN175" i="5"/>
  <c r="AO175" i="5"/>
  <c r="AO160" i="5"/>
  <c r="AN160" i="5"/>
  <c r="AN148" i="5"/>
  <c r="AO148" i="5"/>
  <c r="AO137" i="5"/>
  <c r="AN137" i="5"/>
  <c r="AN113" i="5"/>
  <c r="AO113" i="5"/>
  <c r="AN149" i="5"/>
  <c r="AO149" i="5"/>
  <c r="AO135" i="5"/>
  <c r="AN135" i="5"/>
  <c r="AN125" i="5"/>
  <c r="AO125" i="5"/>
  <c r="AO112" i="5"/>
  <c r="AN112" i="5"/>
  <c r="AN85" i="5"/>
  <c r="AO85" i="5"/>
  <c r="AO140" i="5"/>
  <c r="AN140" i="5"/>
  <c r="AN114" i="5"/>
  <c r="AO114" i="5"/>
  <c r="AN109" i="5"/>
  <c r="AO109" i="5"/>
  <c r="AO108" i="5"/>
  <c r="AN108" i="5"/>
  <c r="AO98" i="5"/>
  <c r="AN98" i="5"/>
  <c r="AN92" i="5"/>
  <c r="AO92" i="5"/>
  <c r="AO88" i="5"/>
  <c r="AN88" i="5"/>
  <c r="AO82" i="5"/>
  <c r="AN82" i="5"/>
  <c r="AN69" i="5"/>
  <c r="AO69" i="5"/>
  <c r="AO47" i="5"/>
  <c r="AN47" i="5"/>
  <c r="AN71" i="5"/>
  <c r="AO71" i="5"/>
  <c r="AO72" i="5"/>
  <c r="AN72" i="5"/>
  <c r="AN66" i="5"/>
  <c r="AO66" i="5"/>
  <c r="AN51" i="5"/>
  <c r="AO51" i="5"/>
  <c r="AO48" i="5"/>
  <c r="AN48" i="5"/>
  <c r="AN73" i="5"/>
  <c r="AO73" i="5"/>
  <c r="AO60" i="5"/>
  <c r="AN60" i="5"/>
  <c r="AO32" i="5"/>
  <c r="AN32" i="5"/>
  <c r="AN41" i="5"/>
  <c r="AO41" i="5"/>
  <c r="AO20" i="5"/>
  <c r="AN20" i="5"/>
  <c r="AN27" i="5"/>
  <c r="AO27" i="5"/>
  <c r="AN45" i="5"/>
  <c r="AO45" i="5"/>
  <c r="AN29" i="5"/>
  <c r="AO29" i="5"/>
  <c r="AL553" i="5"/>
  <c r="AK553" i="5"/>
  <c r="AK514" i="5"/>
  <c r="AL514" i="5"/>
  <c r="AL360" i="5"/>
  <c r="AK360" i="5"/>
  <c r="AK525" i="5"/>
  <c r="AL525" i="5"/>
  <c r="AK486" i="5"/>
  <c r="AL486" i="5"/>
  <c r="AK457" i="5"/>
  <c r="AL457" i="5"/>
  <c r="AL548" i="5"/>
  <c r="AK548" i="5"/>
  <c r="AL541" i="5"/>
  <c r="AK541" i="5"/>
  <c r="AL528" i="5"/>
  <c r="AK528" i="5"/>
  <c r="AL462" i="5"/>
  <c r="AK462" i="5"/>
  <c r="AK550" i="5"/>
  <c r="AL550" i="5"/>
  <c r="AK459" i="5"/>
  <c r="AL459" i="5"/>
  <c r="AL291" i="5"/>
  <c r="AK291" i="5"/>
  <c r="AL558" i="5"/>
  <c r="AK558" i="5"/>
  <c r="AL542" i="5"/>
  <c r="AK542" i="5"/>
  <c r="AK534" i="5"/>
  <c r="AL534" i="5"/>
  <c r="AK517" i="5"/>
  <c r="AL517" i="5"/>
  <c r="AK490" i="5"/>
  <c r="AL490" i="5"/>
  <c r="AK464" i="5"/>
  <c r="AL464" i="5"/>
  <c r="AK448" i="5"/>
  <c r="AL448" i="5"/>
  <c r="AK435" i="5"/>
  <c r="AL435" i="5"/>
  <c r="AK422" i="5"/>
  <c r="AL422" i="5"/>
  <c r="AK411" i="5"/>
  <c r="AL411" i="5"/>
  <c r="AK351" i="5"/>
  <c r="AL351" i="5"/>
  <c r="AK521" i="5"/>
  <c r="AL521" i="5"/>
  <c r="AL510" i="5"/>
  <c r="AK510" i="5"/>
  <c r="AL502" i="5"/>
  <c r="AK502" i="5"/>
  <c r="AK489" i="5"/>
  <c r="AL489" i="5"/>
  <c r="AL473" i="5"/>
  <c r="AK473" i="5"/>
  <c r="AK455" i="5"/>
  <c r="AL455" i="5"/>
  <c r="AK449" i="5"/>
  <c r="AL449" i="5"/>
  <c r="AK436" i="5"/>
  <c r="AL436" i="5"/>
  <c r="AK367" i="5"/>
  <c r="AL367" i="5"/>
  <c r="AK523" i="5"/>
  <c r="AL523" i="5"/>
  <c r="AL506" i="5"/>
  <c r="AK506" i="5"/>
  <c r="AK492" i="5"/>
  <c r="AL492" i="5"/>
  <c r="AK479" i="5"/>
  <c r="AL479" i="5"/>
  <c r="AK467" i="5"/>
  <c r="AL467" i="5"/>
  <c r="AL446" i="5"/>
  <c r="AK446" i="5"/>
  <c r="AK429" i="5"/>
  <c r="AL429" i="5"/>
  <c r="AL338" i="5"/>
  <c r="AK338" i="5"/>
  <c r="AK405" i="5"/>
  <c r="AL405" i="5"/>
  <c r="AK396" i="5"/>
  <c r="AL396" i="5"/>
  <c r="AK382" i="5"/>
  <c r="AL382" i="5"/>
  <c r="AK368" i="5"/>
  <c r="AL368" i="5"/>
  <c r="AL303" i="5"/>
  <c r="AK303" i="5"/>
  <c r="AK420" i="5"/>
  <c r="AL420" i="5"/>
  <c r="AL398" i="5"/>
  <c r="AK398" i="5"/>
  <c r="AK378" i="5"/>
  <c r="AL378" i="5"/>
  <c r="AK358" i="5"/>
  <c r="AL358" i="5"/>
  <c r="AK342" i="5"/>
  <c r="AL342" i="5"/>
  <c r="AK274" i="5"/>
  <c r="AL274" i="5"/>
  <c r="AK432" i="5"/>
  <c r="AL432" i="5"/>
  <c r="AK416" i="5"/>
  <c r="AL416" i="5"/>
  <c r="AK399" i="5"/>
  <c r="AL399" i="5"/>
  <c r="AK384" i="5"/>
  <c r="AL384" i="5"/>
  <c r="AK371" i="5"/>
  <c r="AL371" i="5"/>
  <c r="AK359" i="5"/>
  <c r="AL359" i="5"/>
  <c r="AK346" i="5"/>
  <c r="AL346" i="5"/>
  <c r="AK327" i="5"/>
  <c r="AL327" i="5"/>
  <c r="AK281" i="5"/>
  <c r="AL281" i="5"/>
  <c r="AL353" i="5"/>
  <c r="AK353" i="5"/>
  <c r="AK333" i="5"/>
  <c r="AL333" i="5"/>
  <c r="AK316" i="5"/>
  <c r="AL316" i="5"/>
  <c r="AL299" i="5"/>
  <c r="AK299" i="5"/>
  <c r="AL286" i="5"/>
  <c r="AK286" i="5"/>
  <c r="AL273" i="5"/>
  <c r="AK273" i="5"/>
  <c r="AL258" i="5"/>
  <c r="AK258" i="5"/>
  <c r="AK221" i="5"/>
  <c r="AL221" i="5"/>
  <c r="AL324" i="5"/>
  <c r="AK324" i="5"/>
  <c r="AL314" i="5"/>
  <c r="AK314" i="5"/>
  <c r="AL301" i="5"/>
  <c r="AK301" i="5"/>
  <c r="AL283" i="5"/>
  <c r="AK283" i="5"/>
  <c r="AL265" i="5"/>
  <c r="AK265" i="5"/>
  <c r="AK254" i="5"/>
  <c r="AL254" i="5"/>
  <c r="AK230" i="5"/>
  <c r="AL230" i="5"/>
  <c r="AK330" i="5"/>
  <c r="AL330" i="5"/>
  <c r="AL317" i="5"/>
  <c r="AK317" i="5"/>
  <c r="AL298" i="5"/>
  <c r="AK298" i="5"/>
  <c r="AK278" i="5"/>
  <c r="AL278" i="5"/>
  <c r="AK256" i="5"/>
  <c r="AL256" i="5"/>
  <c r="AK236" i="5"/>
  <c r="AL236" i="5"/>
  <c r="AL163" i="5"/>
  <c r="AK163" i="5"/>
  <c r="AK227" i="5"/>
  <c r="AL227" i="5"/>
  <c r="AL218" i="5"/>
  <c r="AK218" i="5"/>
  <c r="AL201" i="5"/>
  <c r="AK201" i="5"/>
  <c r="AK189" i="5"/>
  <c r="AL189" i="5"/>
  <c r="AL172" i="5"/>
  <c r="AK172" i="5"/>
  <c r="AL234" i="5"/>
  <c r="AK234" i="5"/>
  <c r="AK199" i="5"/>
  <c r="AL199" i="5"/>
  <c r="AK242" i="5"/>
  <c r="AL242" i="5"/>
  <c r="AK228" i="5"/>
  <c r="AL228" i="5"/>
  <c r="AP217" i="5"/>
  <c r="AK217" i="5"/>
  <c r="AL217" i="5"/>
  <c r="AK203" i="5"/>
  <c r="AL203" i="5"/>
  <c r="AL160" i="5"/>
  <c r="AK160" i="5"/>
  <c r="AK207" i="5"/>
  <c r="AL207" i="5"/>
  <c r="AK191" i="5"/>
  <c r="AL191" i="5"/>
  <c r="AK171" i="5"/>
  <c r="AL171" i="5"/>
  <c r="AP119" i="5"/>
  <c r="AL119" i="5"/>
  <c r="AK119" i="5"/>
  <c r="AK173" i="5"/>
  <c r="AL173" i="5"/>
  <c r="AL180" i="5"/>
  <c r="AK180" i="5"/>
  <c r="AK166" i="5"/>
  <c r="AL166" i="5"/>
  <c r="AK113" i="5"/>
  <c r="AL113" i="5"/>
  <c r="AK150" i="5"/>
  <c r="AL150" i="5"/>
  <c r="AK133" i="5"/>
  <c r="AL133" i="5"/>
  <c r="AL121" i="5"/>
  <c r="AK121" i="5"/>
  <c r="AL105" i="5"/>
  <c r="AK105" i="5"/>
  <c r="AP64" i="5"/>
  <c r="AL64" i="5"/>
  <c r="AK64" i="5"/>
  <c r="AK143" i="5"/>
  <c r="AL143" i="5"/>
  <c r="AK132" i="5"/>
  <c r="AL132" i="5"/>
  <c r="AK116" i="5"/>
  <c r="AL116" i="5"/>
  <c r="AK158" i="5"/>
  <c r="AL158" i="5"/>
  <c r="AK138" i="5"/>
  <c r="AL138" i="5"/>
  <c r="AK125" i="5"/>
  <c r="AL125" i="5"/>
  <c r="AK112" i="5"/>
  <c r="AL112" i="5"/>
  <c r="AK97" i="5"/>
  <c r="AL97" i="5"/>
  <c r="AK96" i="5"/>
  <c r="AL96" i="5"/>
  <c r="AL89" i="5"/>
  <c r="AK89" i="5"/>
  <c r="AL101" i="5"/>
  <c r="AK101" i="5"/>
  <c r="AK85" i="5"/>
  <c r="AL85" i="5"/>
  <c r="AK72" i="5"/>
  <c r="AL72" i="5"/>
  <c r="AL88" i="5"/>
  <c r="AK88" i="5"/>
  <c r="AL68" i="5"/>
  <c r="AK68" i="5"/>
  <c r="AL60" i="5"/>
  <c r="AK60" i="5"/>
  <c r="AK71" i="5"/>
  <c r="AL71" i="5"/>
  <c r="AK56" i="5"/>
  <c r="AL56" i="5"/>
  <c r="AK47" i="5"/>
  <c r="AL47" i="5"/>
  <c r="AK61" i="5"/>
  <c r="AL61" i="5"/>
  <c r="AK51" i="5"/>
  <c r="AL51" i="5"/>
  <c r="AL52" i="5"/>
  <c r="AK52" i="5"/>
  <c r="AK35" i="5"/>
  <c r="AL35" i="5"/>
  <c r="AK21" i="5"/>
  <c r="AL21" i="5"/>
  <c r="AK38" i="5"/>
  <c r="AL38" i="5"/>
  <c r="AK20" i="5"/>
  <c r="AL20" i="5"/>
  <c r="AK31" i="5"/>
  <c r="AL31" i="5"/>
  <c r="AK22" i="5"/>
  <c r="AL22" i="5"/>
  <c r="AI538" i="5"/>
  <c r="AP538" i="5"/>
  <c r="AH538" i="5"/>
  <c r="AI503" i="5"/>
  <c r="AH503" i="5"/>
  <c r="AP503" i="5"/>
  <c r="AH446" i="5"/>
  <c r="AP446" i="5"/>
  <c r="AI446" i="5"/>
  <c r="AH556" i="5"/>
  <c r="AI556" i="5"/>
  <c r="AP556" i="5"/>
  <c r="AH511" i="5"/>
  <c r="AP511" i="5"/>
  <c r="AI511" i="5"/>
  <c r="AP432" i="5"/>
  <c r="AI432" i="5"/>
  <c r="AH432" i="5"/>
  <c r="AI413" i="5"/>
  <c r="AH413" i="5"/>
  <c r="AP413" i="5"/>
  <c r="AH365" i="5"/>
  <c r="AI365" i="5"/>
  <c r="AP365" i="5"/>
  <c r="AI532" i="5"/>
  <c r="AH532" i="5"/>
  <c r="AP532" i="5"/>
  <c r="AI533" i="5"/>
  <c r="AP533" i="5"/>
  <c r="AH533" i="5"/>
  <c r="AI484" i="5"/>
  <c r="AP484" i="5"/>
  <c r="AH484" i="5"/>
  <c r="AI441" i="5"/>
  <c r="AH441" i="5"/>
  <c r="AP441" i="5"/>
  <c r="AI541" i="5"/>
  <c r="AH541" i="5"/>
  <c r="AP541" i="5"/>
  <c r="AI520" i="5"/>
  <c r="AH520" i="5"/>
  <c r="AP520" i="5"/>
  <c r="AI482" i="5"/>
  <c r="AP482" i="5"/>
  <c r="AH482" i="5"/>
  <c r="AI463" i="5"/>
  <c r="AH463" i="5"/>
  <c r="AP463" i="5"/>
  <c r="AH204" i="5"/>
  <c r="AI204" i="5"/>
  <c r="AP204" i="5"/>
  <c r="AH551" i="5"/>
  <c r="AP551" i="5"/>
  <c r="AI551" i="5"/>
  <c r="AI546" i="5"/>
  <c r="AH546" i="5"/>
  <c r="AP546" i="5"/>
  <c r="AH524" i="5"/>
  <c r="AP524" i="5"/>
  <c r="AI524" i="5"/>
  <c r="AI505" i="5"/>
  <c r="AH505" i="5"/>
  <c r="AP505" i="5"/>
  <c r="AI480" i="5"/>
  <c r="AH480" i="5"/>
  <c r="AP480" i="5"/>
  <c r="AI471" i="5"/>
  <c r="AH471" i="5"/>
  <c r="AP471" i="5"/>
  <c r="AI457" i="5"/>
  <c r="AP457" i="5"/>
  <c r="AH457" i="5"/>
  <c r="AI423" i="5"/>
  <c r="AP423" i="5"/>
  <c r="AH423" i="5"/>
  <c r="AH302" i="5"/>
  <c r="AP302" i="5"/>
  <c r="AI302" i="5"/>
  <c r="AI515" i="5"/>
  <c r="AH515" i="5"/>
  <c r="AP515" i="5"/>
  <c r="AI491" i="5"/>
  <c r="AH491" i="5"/>
  <c r="AP491" i="5"/>
  <c r="AI475" i="5"/>
  <c r="AH475" i="5"/>
  <c r="AP475" i="5"/>
  <c r="AI458" i="5"/>
  <c r="AH458" i="5"/>
  <c r="AP458" i="5"/>
  <c r="AP442" i="5"/>
  <c r="AI442" i="5"/>
  <c r="AH442" i="5"/>
  <c r="AP422" i="5"/>
  <c r="AI422" i="5"/>
  <c r="AH422" i="5"/>
  <c r="AH357" i="5"/>
  <c r="AP357" i="5"/>
  <c r="AI357" i="5"/>
  <c r="AI522" i="5"/>
  <c r="AH522" i="5"/>
  <c r="AP522" i="5"/>
  <c r="AP508" i="5"/>
  <c r="AI508" i="5"/>
  <c r="AH508" i="5"/>
  <c r="AI493" i="5"/>
  <c r="AH493" i="5"/>
  <c r="AP493" i="5"/>
  <c r="AI481" i="5"/>
  <c r="AP481" i="5"/>
  <c r="AH481" i="5"/>
  <c r="AP450" i="5"/>
  <c r="AI450" i="5"/>
  <c r="AH450" i="5"/>
  <c r="AI431" i="5"/>
  <c r="AH431" i="5"/>
  <c r="AP431" i="5"/>
  <c r="AI379" i="5"/>
  <c r="AH379" i="5"/>
  <c r="AP379" i="5"/>
  <c r="AI344" i="5"/>
  <c r="AH344" i="5"/>
  <c r="AP344" i="5"/>
  <c r="AH256" i="5"/>
  <c r="AI256" i="5"/>
  <c r="AP256" i="5"/>
  <c r="AI414" i="5"/>
  <c r="AH414" i="5"/>
  <c r="AP414" i="5"/>
  <c r="AI390" i="5"/>
  <c r="AH390" i="5"/>
  <c r="AP390" i="5"/>
  <c r="AI373" i="5"/>
  <c r="AP373" i="5"/>
  <c r="AH373" i="5"/>
  <c r="AP353" i="5"/>
  <c r="AI353" i="5"/>
  <c r="AH353" i="5"/>
  <c r="AP339" i="5"/>
  <c r="AI339" i="5"/>
  <c r="AH339" i="5"/>
  <c r="AI409" i="5"/>
  <c r="AH409" i="5"/>
  <c r="AP409" i="5"/>
  <c r="AI393" i="5"/>
  <c r="AH393" i="5"/>
  <c r="AP393" i="5"/>
  <c r="AI381" i="5"/>
  <c r="AP381" i="5"/>
  <c r="AH381" i="5"/>
  <c r="AI367" i="5"/>
  <c r="AH367" i="5"/>
  <c r="AP367" i="5"/>
  <c r="AI333" i="5"/>
  <c r="AH333" i="5"/>
  <c r="AP333" i="5"/>
  <c r="AI298" i="5"/>
  <c r="AH298" i="5"/>
  <c r="AP298" i="5"/>
  <c r="AH226" i="5"/>
  <c r="AI226" i="5"/>
  <c r="AP226" i="5"/>
  <c r="AI433" i="5"/>
  <c r="AH433" i="5"/>
  <c r="AP433" i="5"/>
  <c r="AI420" i="5"/>
  <c r="AP420" i="5"/>
  <c r="AH420" i="5"/>
  <c r="AI401" i="5"/>
  <c r="AH401" i="5"/>
  <c r="AP401" i="5"/>
  <c r="AI394" i="5"/>
  <c r="AP394" i="5"/>
  <c r="AH394" i="5"/>
  <c r="AI374" i="5"/>
  <c r="AH374" i="5"/>
  <c r="AP374" i="5"/>
  <c r="AI330" i="5"/>
  <c r="AP330" i="5"/>
  <c r="AH330" i="5"/>
  <c r="AH231" i="5"/>
  <c r="AI231" i="5"/>
  <c r="AP231" i="5"/>
  <c r="AH354" i="5"/>
  <c r="AI354" i="5"/>
  <c r="AP354" i="5"/>
  <c r="AI343" i="5"/>
  <c r="AH343" i="5"/>
  <c r="AI335" i="5"/>
  <c r="AH335" i="5"/>
  <c r="AP335" i="5"/>
  <c r="AH307" i="5"/>
  <c r="AP307" i="5"/>
  <c r="AI307" i="5"/>
  <c r="AI291" i="5"/>
  <c r="AH291" i="5"/>
  <c r="AP291" i="5"/>
  <c r="AH271" i="5"/>
  <c r="AI271" i="5"/>
  <c r="AP271" i="5"/>
  <c r="AI259" i="5"/>
  <c r="AH259" i="5"/>
  <c r="AP259" i="5"/>
  <c r="AH200" i="5"/>
  <c r="AI200" i="5"/>
  <c r="AP200" i="5"/>
  <c r="AI327" i="5"/>
  <c r="AH327" i="5"/>
  <c r="AP327" i="5"/>
  <c r="AH311" i="5"/>
  <c r="AP311" i="5"/>
  <c r="AI311" i="5"/>
  <c r="AI297" i="5"/>
  <c r="AH297" i="5"/>
  <c r="AP297" i="5"/>
  <c r="AI282" i="5"/>
  <c r="AH282" i="5"/>
  <c r="AP282" i="5"/>
  <c r="AH270" i="5"/>
  <c r="AI270" i="5"/>
  <c r="AP270" i="5"/>
  <c r="AH246" i="5"/>
  <c r="AI246" i="5"/>
  <c r="AP246" i="5"/>
  <c r="AI205" i="5"/>
  <c r="AP205" i="5"/>
  <c r="AH205" i="5"/>
  <c r="AI322" i="5"/>
  <c r="AP322" i="5"/>
  <c r="AH322" i="5"/>
  <c r="AH312" i="5"/>
  <c r="AP312" i="5"/>
  <c r="AI312" i="5"/>
  <c r="AI295" i="5"/>
  <c r="AH295" i="5"/>
  <c r="AP295" i="5"/>
  <c r="AH280" i="5"/>
  <c r="AI280" i="5"/>
  <c r="AP280" i="5"/>
  <c r="AH265" i="5"/>
  <c r="AP265" i="5"/>
  <c r="AI265" i="5"/>
  <c r="AH255" i="5"/>
  <c r="AP255" i="5"/>
  <c r="AI255" i="5"/>
  <c r="AH249" i="5"/>
  <c r="AI249" i="5"/>
  <c r="AP249" i="5"/>
  <c r="AH238" i="5"/>
  <c r="AI238" i="5"/>
  <c r="AP238" i="5"/>
  <c r="AH230" i="5"/>
  <c r="AI230" i="5"/>
  <c r="AP230" i="5"/>
  <c r="AI217" i="5"/>
  <c r="AH217" i="5"/>
  <c r="AP191" i="5"/>
  <c r="AI191" i="5"/>
  <c r="AH191" i="5"/>
  <c r="AH243" i="5"/>
  <c r="AI243" i="5"/>
  <c r="AP243" i="5"/>
  <c r="AI224" i="5"/>
  <c r="AH224" i="5"/>
  <c r="AP224" i="5"/>
  <c r="AH209" i="5"/>
  <c r="AI209" i="5"/>
  <c r="AP209" i="5"/>
  <c r="AH248" i="5"/>
  <c r="AI248" i="5"/>
  <c r="AP248" i="5"/>
  <c r="AI234" i="5"/>
  <c r="AP234" i="5"/>
  <c r="AH234" i="5"/>
  <c r="AI215" i="5"/>
  <c r="AP215" i="5"/>
  <c r="AH215" i="5"/>
  <c r="AH154" i="5"/>
  <c r="AI154" i="5"/>
  <c r="AP154" i="5"/>
  <c r="AH198" i="5"/>
  <c r="AI198" i="5"/>
  <c r="AP198" i="5"/>
  <c r="AH189" i="5"/>
  <c r="AI189" i="5"/>
  <c r="AP189" i="5"/>
  <c r="AH172" i="5"/>
  <c r="AI172" i="5"/>
  <c r="AP172" i="5"/>
  <c r="AI157" i="5"/>
  <c r="AH157" i="5"/>
  <c r="AP157" i="5"/>
  <c r="AI111" i="5"/>
  <c r="AH111" i="5"/>
  <c r="AP111" i="5"/>
  <c r="AI181" i="5"/>
  <c r="AH181" i="5"/>
  <c r="AP181" i="5"/>
  <c r="AI163" i="5"/>
  <c r="AH163" i="5"/>
  <c r="AP163" i="5"/>
  <c r="AH128" i="5"/>
  <c r="AI128" i="5"/>
  <c r="AI183" i="5"/>
  <c r="AH183" i="5"/>
  <c r="AP183" i="5"/>
  <c r="AH173" i="5"/>
  <c r="AI173" i="5"/>
  <c r="AP173" i="5"/>
  <c r="AH150" i="5"/>
  <c r="AP150" i="5"/>
  <c r="AI150" i="5"/>
  <c r="AI129" i="5"/>
  <c r="AH129" i="5"/>
  <c r="AP129" i="5"/>
  <c r="AI84" i="5"/>
  <c r="AH84" i="5"/>
  <c r="AP84" i="5"/>
  <c r="AH138" i="5"/>
  <c r="AP138" i="5"/>
  <c r="AI138" i="5"/>
  <c r="AI122" i="5"/>
  <c r="AH122" i="5"/>
  <c r="AP122" i="5"/>
  <c r="AP109" i="5"/>
  <c r="AH109" i="5"/>
  <c r="AI109" i="5"/>
  <c r="AH156" i="5"/>
  <c r="AI156" i="5"/>
  <c r="AP156" i="5"/>
  <c r="AI126" i="5"/>
  <c r="AH126" i="5"/>
  <c r="AP126" i="5"/>
  <c r="AH71" i="5"/>
  <c r="AI71" i="5"/>
  <c r="AP71" i="5"/>
  <c r="AH136" i="5"/>
  <c r="AI136" i="5"/>
  <c r="AP136" i="5"/>
  <c r="AI115" i="5"/>
  <c r="AP115" i="5"/>
  <c r="AH115" i="5"/>
  <c r="AI83" i="5"/>
  <c r="AH83" i="5"/>
  <c r="AP83" i="5"/>
  <c r="AH88" i="5"/>
  <c r="AI88" i="5"/>
  <c r="AP88" i="5"/>
  <c r="AH75" i="5"/>
  <c r="AI75" i="5"/>
  <c r="AP75" i="5"/>
  <c r="AI102" i="5"/>
  <c r="AH102" i="5"/>
  <c r="AP102" i="5"/>
  <c r="AH87" i="5"/>
  <c r="AI87" i="5"/>
  <c r="AP87" i="5"/>
  <c r="AH90" i="5"/>
  <c r="AI90" i="5"/>
  <c r="AP90" i="5"/>
  <c r="AI77" i="5"/>
  <c r="AH77" i="5"/>
  <c r="AP77" i="5"/>
  <c r="AP52" i="5"/>
  <c r="AH52" i="5"/>
  <c r="AI52" i="5"/>
  <c r="AP22" i="5"/>
  <c r="AI22" i="5"/>
  <c r="AH22" i="5"/>
  <c r="AI63" i="5"/>
  <c r="AH63" i="5"/>
  <c r="AP63" i="5"/>
  <c r="AI20" i="5"/>
  <c r="AH20" i="5"/>
  <c r="AP20" i="5"/>
  <c r="AH62" i="5"/>
  <c r="AI62" i="5"/>
  <c r="AP62" i="5"/>
  <c r="AH64" i="5"/>
  <c r="AI64" i="5"/>
  <c r="AI53" i="5"/>
  <c r="AH53" i="5"/>
  <c r="AP53" i="5"/>
  <c r="AH51" i="5"/>
  <c r="AI51" i="5"/>
  <c r="AP51" i="5"/>
  <c r="AH43" i="5"/>
  <c r="AI43" i="5"/>
  <c r="AP43" i="5"/>
  <c r="AI31" i="5"/>
  <c r="AH31" i="5"/>
  <c r="AP31" i="5"/>
  <c r="AI39" i="5"/>
  <c r="AH39" i="5"/>
  <c r="AP39" i="5"/>
  <c r="AP21" i="5"/>
  <c r="AI21" i="5"/>
  <c r="AH21" i="5"/>
  <c r="AH35" i="5"/>
  <c r="AI35" i="5"/>
  <c r="AP35" i="5"/>
  <c r="B51" i="5"/>
  <c r="AO537" i="5"/>
  <c r="AN537" i="5"/>
  <c r="AN438" i="5"/>
  <c r="AO438" i="5"/>
  <c r="AN547" i="5"/>
  <c r="AO547" i="5"/>
  <c r="AO533" i="5"/>
  <c r="AN533" i="5"/>
  <c r="AN481" i="5"/>
  <c r="AO481" i="5"/>
  <c r="AO550" i="5"/>
  <c r="AN550" i="5"/>
  <c r="AO538" i="5"/>
  <c r="AN538" i="5"/>
  <c r="AO437" i="5"/>
  <c r="AN437" i="5"/>
  <c r="AN557" i="5"/>
  <c r="AO557" i="5"/>
  <c r="AO536" i="5"/>
  <c r="AN536" i="5"/>
  <c r="AN521" i="5"/>
  <c r="AO521" i="5"/>
  <c r="AN456" i="5"/>
  <c r="AO456" i="5"/>
  <c r="AN328" i="5"/>
  <c r="AO328" i="5"/>
  <c r="AO555" i="5"/>
  <c r="AN555" i="5"/>
  <c r="AO530" i="5"/>
  <c r="AN530" i="5"/>
  <c r="AN518" i="5"/>
  <c r="AO518" i="5"/>
  <c r="AO505" i="5"/>
  <c r="AN505" i="5"/>
  <c r="AN499" i="5"/>
  <c r="AO499" i="5"/>
  <c r="AN492" i="5"/>
  <c r="AO492" i="5"/>
  <c r="AN486" i="5"/>
  <c r="AO486" i="5"/>
  <c r="AO473" i="5"/>
  <c r="AN473" i="5"/>
  <c r="AO455" i="5"/>
  <c r="AN455" i="5"/>
  <c r="AO444" i="5"/>
  <c r="AN444" i="5"/>
  <c r="AN432" i="5"/>
  <c r="AO432" i="5"/>
  <c r="AN387" i="5"/>
  <c r="AO387" i="5"/>
  <c r="AN308" i="5"/>
  <c r="AO308" i="5"/>
  <c r="AN512" i="5"/>
  <c r="AO512" i="5"/>
  <c r="AO498" i="5"/>
  <c r="AN498" i="5"/>
  <c r="AO474" i="5"/>
  <c r="AN474" i="5"/>
  <c r="AO465" i="5"/>
  <c r="AN465" i="5"/>
  <c r="AN446" i="5"/>
  <c r="AO446" i="5"/>
  <c r="AN426" i="5"/>
  <c r="AO426" i="5"/>
  <c r="AO394" i="5"/>
  <c r="AN394" i="5"/>
  <c r="AN270" i="5"/>
  <c r="AO270" i="5"/>
  <c r="AO525" i="5"/>
  <c r="AN525" i="5"/>
  <c r="AO496" i="5"/>
  <c r="AN496" i="5"/>
  <c r="AN472" i="5"/>
  <c r="AO472" i="5"/>
  <c r="AO458" i="5"/>
  <c r="AN458" i="5"/>
  <c r="AN422" i="5"/>
  <c r="AO422" i="5"/>
  <c r="AO354" i="5"/>
  <c r="AN354" i="5"/>
  <c r="AO406" i="5"/>
  <c r="AN406" i="5"/>
  <c r="AN388" i="5"/>
  <c r="AO388" i="5"/>
  <c r="AN371" i="5"/>
  <c r="AO371" i="5"/>
  <c r="AO349" i="5"/>
  <c r="AN349" i="5"/>
  <c r="AO340" i="5"/>
  <c r="AN340" i="5"/>
  <c r="AN289" i="5"/>
  <c r="AO289" i="5"/>
  <c r="AO267" i="5"/>
  <c r="AN267" i="5"/>
  <c r="AN419" i="5"/>
  <c r="AO419" i="5"/>
  <c r="AN408" i="5"/>
  <c r="AO408" i="5"/>
  <c r="AO390" i="5"/>
  <c r="AN390" i="5"/>
  <c r="AO380" i="5"/>
  <c r="AN380" i="5"/>
  <c r="AO365" i="5"/>
  <c r="AN365" i="5"/>
  <c r="AN356" i="5"/>
  <c r="AO356" i="5"/>
  <c r="AN304" i="5"/>
  <c r="AO304" i="5"/>
  <c r="AO252" i="5"/>
  <c r="AN252" i="5"/>
  <c r="AO435" i="5"/>
  <c r="AN435" i="5"/>
  <c r="AN420" i="5"/>
  <c r="AO420" i="5"/>
  <c r="AO409" i="5"/>
  <c r="AN409" i="5"/>
  <c r="AN383" i="5"/>
  <c r="AO383" i="5"/>
  <c r="AO367" i="5"/>
  <c r="AN367" i="5"/>
  <c r="AO335" i="5"/>
  <c r="AN335" i="5"/>
  <c r="AO258" i="5"/>
  <c r="AN258" i="5"/>
  <c r="AO358" i="5"/>
  <c r="AN358" i="5"/>
  <c r="AN344" i="5"/>
  <c r="AO344" i="5"/>
  <c r="AN332" i="5"/>
  <c r="AO332" i="5"/>
  <c r="AO322" i="5"/>
  <c r="AN322" i="5"/>
  <c r="AO312" i="5"/>
  <c r="AN312" i="5"/>
  <c r="AN302" i="5"/>
  <c r="AO302" i="5"/>
  <c r="AO283" i="5"/>
  <c r="AN283" i="5"/>
  <c r="AO263" i="5"/>
  <c r="AN263" i="5"/>
  <c r="AO249" i="5"/>
  <c r="AN249" i="5"/>
  <c r="AN227" i="5"/>
  <c r="AO227" i="5"/>
  <c r="AO326" i="5"/>
  <c r="AN326" i="5"/>
  <c r="AO298" i="5"/>
  <c r="AN298" i="5"/>
  <c r="AN278" i="5"/>
  <c r="AO278" i="5"/>
  <c r="AO256" i="5"/>
  <c r="AN256" i="5"/>
  <c r="AN157" i="5"/>
  <c r="AO157" i="5"/>
  <c r="AO313" i="5"/>
  <c r="AN313" i="5"/>
  <c r="AO296" i="5"/>
  <c r="AN296" i="5"/>
  <c r="AN282" i="5"/>
  <c r="AO282" i="5"/>
  <c r="AO274" i="5"/>
  <c r="AN274" i="5"/>
  <c r="AO261" i="5"/>
  <c r="AN261" i="5"/>
  <c r="AO220" i="5"/>
  <c r="AN220" i="5"/>
  <c r="AN240" i="5"/>
  <c r="AO240" i="5"/>
  <c r="AN231" i="5"/>
  <c r="AO231" i="5"/>
  <c r="AN199" i="5"/>
  <c r="AO199" i="5"/>
  <c r="AO161" i="5"/>
  <c r="AN161" i="5"/>
  <c r="AO235" i="5"/>
  <c r="AN235" i="5"/>
  <c r="AN219" i="5"/>
  <c r="AO219" i="5"/>
  <c r="AO210" i="5"/>
  <c r="AN210" i="5"/>
  <c r="AO194" i="5"/>
  <c r="AN194" i="5"/>
  <c r="AN236" i="5"/>
  <c r="AO236" i="5"/>
  <c r="AO221" i="5"/>
  <c r="AN221" i="5"/>
  <c r="AN208" i="5"/>
  <c r="AO208" i="5"/>
  <c r="AN171" i="5"/>
  <c r="AO171" i="5"/>
  <c r="AN118" i="5"/>
  <c r="AO118" i="5"/>
  <c r="AO197" i="5"/>
  <c r="AN197" i="5"/>
  <c r="AO168" i="5"/>
  <c r="AN168" i="5"/>
  <c r="AO152" i="5"/>
  <c r="AN152" i="5"/>
  <c r="AN115" i="5"/>
  <c r="AO115" i="5"/>
  <c r="AN172" i="5"/>
  <c r="AO172" i="5"/>
  <c r="AO159" i="5"/>
  <c r="AN159" i="5"/>
  <c r="AN116" i="5"/>
  <c r="AO116" i="5"/>
  <c r="AO169" i="5"/>
  <c r="AN169" i="5"/>
  <c r="AN132" i="5"/>
  <c r="AO132" i="5"/>
  <c r="AO145" i="5"/>
  <c r="AN145" i="5"/>
  <c r="AN127" i="5"/>
  <c r="AO127" i="5"/>
  <c r="AN107" i="5"/>
  <c r="AO107" i="5"/>
  <c r="AO147" i="5"/>
  <c r="AN147" i="5"/>
  <c r="AO133" i="5"/>
  <c r="AN133" i="5"/>
  <c r="AN123" i="5"/>
  <c r="AO123" i="5"/>
  <c r="AN111" i="5"/>
  <c r="AO111" i="5"/>
  <c r="AN81" i="5"/>
  <c r="AO81" i="5"/>
  <c r="AO131" i="5"/>
  <c r="AN131" i="5"/>
  <c r="AN110" i="5"/>
  <c r="AO110" i="5"/>
  <c r="AN103" i="5"/>
  <c r="AO103" i="5"/>
  <c r="AN105" i="5"/>
  <c r="AO105" i="5"/>
  <c r="AO97" i="5"/>
  <c r="AN97" i="5"/>
  <c r="AO91" i="5"/>
  <c r="AN91" i="5"/>
  <c r="AN83" i="5"/>
  <c r="AO83" i="5"/>
  <c r="AO80" i="5"/>
  <c r="AN80" i="5"/>
  <c r="AN65" i="5"/>
  <c r="AO65" i="5"/>
  <c r="AN23" i="5"/>
  <c r="AO23" i="5"/>
  <c r="AN53" i="5"/>
  <c r="AO53" i="5"/>
  <c r="AO70" i="5"/>
  <c r="AN70" i="5"/>
  <c r="AO61" i="5"/>
  <c r="AN61" i="5"/>
  <c r="AN24" i="5"/>
  <c r="AO24" i="5"/>
  <c r="AN39" i="5"/>
  <c r="AO39" i="5"/>
  <c r="AO68" i="5"/>
  <c r="AN68" i="5"/>
  <c r="AO56" i="5"/>
  <c r="AN56" i="5"/>
  <c r="AO50" i="5"/>
  <c r="AN50" i="5"/>
  <c r="AO38" i="5"/>
  <c r="AN38" i="5"/>
  <c r="AN43" i="5"/>
  <c r="AO43" i="5"/>
  <c r="AO26" i="5"/>
  <c r="AN26" i="5"/>
  <c r="AO40" i="5"/>
  <c r="AN40" i="5"/>
  <c r="AP528" i="5"/>
  <c r="AK531" i="5"/>
  <c r="AL531" i="5"/>
  <c r="AL560" i="5"/>
  <c r="AK560" i="5"/>
  <c r="AL559" i="5"/>
  <c r="AK559" i="5"/>
  <c r="AL261" i="5"/>
  <c r="AK261" i="5"/>
  <c r="AK491" i="5"/>
  <c r="AL491" i="5"/>
  <c r="AL424" i="5"/>
  <c r="AK424" i="5"/>
  <c r="AL266" i="5"/>
  <c r="AK266" i="5"/>
  <c r="AK481" i="5"/>
  <c r="AL481" i="5"/>
  <c r="AK373" i="5"/>
  <c r="AL373" i="5"/>
  <c r="AK495" i="5"/>
  <c r="AL495" i="5"/>
  <c r="AK430" i="5"/>
  <c r="AL430" i="5"/>
  <c r="AK397" i="5"/>
  <c r="AL397" i="5"/>
  <c r="AK400" i="5"/>
  <c r="AL400" i="5"/>
  <c r="AL318" i="5"/>
  <c r="AK318" i="5"/>
  <c r="AL408" i="5"/>
  <c r="AK408" i="5"/>
  <c r="AK350" i="5"/>
  <c r="AL350" i="5"/>
  <c r="AK355" i="5"/>
  <c r="AL355" i="5"/>
  <c r="AK289" i="5"/>
  <c r="AL289" i="5"/>
  <c r="AK332" i="5"/>
  <c r="AL332" i="5"/>
  <c r="AL287" i="5"/>
  <c r="AK287" i="5"/>
  <c r="AK331" i="5"/>
  <c r="AL331" i="5"/>
  <c r="AK284" i="5"/>
  <c r="AL284" i="5"/>
  <c r="AK229" i="5"/>
  <c r="AL229" i="5"/>
  <c r="AK175" i="5"/>
  <c r="AL175" i="5"/>
  <c r="AL244" i="5"/>
  <c r="AK244" i="5"/>
  <c r="AK162" i="5"/>
  <c r="AL162" i="5"/>
  <c r="AK137" i="5"/>
  <c r="AL137" i="5"/>
  <c r="AL168" i="5"/>
  <c r="AK168" i="5"/>
  <c r="AK123" i="5"/>
  <c r="AL123" i="5"/>
  <c r="AK145" i="5"/>
  <c r="AL145" i="5"/>
  <c r="AL146" i="5"/>
  <c r="AK146" i="5"/>
  <c r="AK98" i="5"/>
  <c r="AL98" i="5"/>
  <c r="AK93" i="5"/>
  <c r="AL93" i="5"/>
  <c r="AL76" i="5"/>
  <c r="AK76" i="5"/>
  <c r="AK66" i="5"/>
  <c r="AL66" i="5"/>
  <c r="AL24" i="5"/>
  <c r="AK24" i="5"/>
  <c r="AL37" i="5"/>
  <c r="AK37" i="5"/>
  <c r="AI544" i="5"/>
  <c r="AP544" i="5"/>
  <c r="AH544" i="5"/>
  <c r="AI454" i="5"/>
  <c r="AH454" i="5"/>
  <c r="AP454" i="5"/>
  <c r="AH536" i="5"/>
  <c r="AP536" i="5"/>
  <c r="AI536" i="5"/>
  <c r="AP444" i="5"/>
  <c r="AI444" i="5"/>
  <c r="AH444" i="5"/>
  <c r="AI492" i="5"/>
  <c r="AP492" i="5"/>
  <c r="AH492" i="5"/>
  <c r="AI525" i="5"/>
  <c r="AH525" i="5"/>
  <c r="AP525" i="5"/>
  <c r="AI483" i="5"/>
  <c r="AP483" i="5"/>
  <c r="AH483" i="5"/>
  <c r="AL545" i="5"/>
  <c r="AK545" i="5"/>
  <c r="AL557" i="5"/>
  <c r="AK557" i="5"/>
  <c r="AK478" i="5"/>
  <c r="AL478" i="5"/>
  <c r="AL554" i="5"/>
  <c r="AK554" i="5"/>
  <c r="AL539" i="5"/>
  <c r="AK539" i="5"/>
  <c r="AK522" i="5"/>
  <c r="AL522" i="5"/>
  <c r="AK369" i="5"/>
  <c r="AL369" i="5"/>
  <c r="AL549" i="5"/>
  <c r="AK549" i="5"/>
  <c r="AK452" i="5"/>
  <c r="AL452" i="5"/>
  <c r="AL285" i="5"/>
  <c r="AK285" i="5"/>
  <c r="AL552" i="5"/>
  <c r="AK552" i="5"/>
  <c r="AL540" i="5"/>
  <c r="AK540" i="5"/>
  <c r="AL533" i="5"/>
  <c r="AK533" i="5"/>
  <c r="AL501" i="5"/>
  <c r="AK501" i="5"/>
  <c r="AL485" i="5"/>
  <c r="AK485" i="5"/>
  <c r="AL460" i="5"/>
  <c r="AK460" i="5"/>
  <c r="AK445" i="5"/>
  <c r="AL445" i="5"/>
  <c r="AK433" i="5"/>
  <c r="AL433" i="5"/>
  <c r="AL421" i="5"/>
  <c r="AK421" i="5"/>
  <c r="AK402" i="5"/>
  <c r="AL402" i="5"/>
  <c r="AK339" i="5"/>
  <c r="AL339" i="5"/>
  <c r="AL520" i="5"/>
  <c r="AK520" i="5"/>
  <c r="AL509" i="5"/>
  <c r="AK509" i="5"/>
  <c r="AK499" i="5"/>
  <c r="AL499" i="5"/>
  <c r="AK488" i="5"/>
  <c r="AL488" i="5"/>
  <c r="AK469" i="5"/>
  <c r="AL469" i="5"/>
  <c r="AK454" i="5"/>
  <c r="AL454" i="5"/>
  <c r="AK443" i="5"/>
  <c r="AL443" i="5"/>
  <c r="AK431" i="5"/>
  <c r="AL431" i="5"/>
  <c r="AK361" i="5"/>
  <c r="AL361" i="5"/>
  <c r="AK519" i="5"/>
  <c r="AL519" i="5"/>
  <c r="AK505" i="5"/>
  <c r="AL505" i="5"/>
  <c r="AK484" i="5"/>
  <c r="AL484" i="5"/>
  <c r="AK477" i="5"/>
  <c r="AL477" i="5"/>
  <c r="AK465" i="5"/>
  <c r="AL465" i="5"/>
  <c r="AK444" i="5"/>
  <c r="AL444" i="5"/>
  <c r="AL428" i="5"/>
  <c r="AK428" i="5"/>
  <c r="AL410" i="5"/>
  <c r="AK410" i="5"/>
  <c r="AL403" i="5"/>
  <c r="AK403" i="5"/>
  <c r="AK391" i="5"/>
  <c r="AL391" i="5"/>
  <c r="AL381" i="5"/>
  <c r="AK381" i="5"/>
  <c r="AK362" i="5"/>
  <c r="AL362" i="5"/>
  <c r="AL300" i="5"/>
  <c r="AK300" i="5"/>
  <c r="AK415" i="5"/>
  <c r="AL415" i="5"/>
  <c r="AK395" i="5"/>
  <c r="AL395" i="5"/>
  <c r="AK374" i="5"/>
  <c r="AL374" i="5"/>
  <c r="AK354" i="5"/>
  <c r="AL354" i="5"/>
  <c r="AL341" i="5"/>
  <c r="AK341" i="5"/>
  <c r="AK271" i="5"/>
  <c r="AL271" i="5"/>
  <c r="AK427" i="5"/>
  <c r="AL427" i="5"/>
  <c r="AL413" i="5"/>
  <c r="AK413" i="5"/>
  <c r="AK392" i="5"/>
  <c r="AL392" i="5"/>
  <c r="AK380" i="5"/>
  <c r="AL380" i="5"/>
  <c r="AK370" i="5"/>
  <c r="AL370" i="5"/>
  <c r="AL357" i="5"/>
  <c r="AK357" i="5"/>
  <c r="AK345" i="5"/>
  <c r="AL345" i="5"/>
  <c r="AK313" i="5"/>
  <c r="AL313" i="5"/>
  <c r="AK246" i="5"/>
  <c r="AL246" i="5"/>
  <c r="AK347" i="5"/>
  <c r="AL347" i="5"/>
  <c r="AL328" i="5"/>
  <c r="AK328" i="5"/>
  <c r="AL311" i="5"/>
  <c r="AK311" i="5"/>
  <c r="AL297" i="5"/>
  <c r="AK297" i="5"/>
  <c r="AL282" i="5"/>
  <c r="AK282" i="5"/>
  <c r="AK270" i="5"/>
  <c r="AL270" i="5"/>
  <c r="AL252" i="5"/>
  <c r="AK252" i="5"/>
  <c r="AL213" i="5"/>
  <c r="AK213" i="5"/>
  <c r="AK322" i="5"/>
  <c r="AL322" i="5"/>
  <c r="AL312" i="5"/>
  <c r="AK312" i="5"/>
  <c r="AL295" i="5"/>
  <c r="AK295" i="5"/>
  <c r="AK280" i="5"/>
  <c r="AL280" i="5"/>
  <c r="AK263" i="5"/>
  <c r="AL263" i="5"/>
  <c r="AL251" i="5"/>
  <c r="AK251" i="5"/>
  <c r="AK225" i="5"/>
  <c r="AL225" i="5"/>
  <c r="AK329" i="5"/>
  <c r="AL329" i="5"/>
  <c r="AL310" i="5"/>
  <c r="AK310" i="5"/>
  <c r="AL294" i="5"/>
  <c r="AK294" i="5"/>
  <c r="AK272" i="5"/>
  <c r="AL272" i="5"/>
  <c r="AK253" i="5"/>
  <c r="AL253" i="5"/>
  <c r="AK233" i="5"/>
  <c r="AL233" i="5"/>
  <c r="AP241" i="5"/>
  <c r="AK241" i="5"/>
  <c r="AL241" i="5"/>
  <c r="AK224" i="5"/>
  <c r="AL224" i="5"/>
  <c r="AK216" i="5"/>
  <c r="AL216" i="5"/>
  <c r="AK198" i="5"/>
  <c r="AL198" i="5"/>
  <c r="AK187" i="5"/>
  <c r="AL187" i="5"/>
  <c r="AK169" i="5"/>
  <c r="AL169" i="5"/>
  <c r="AK231" i="5"/>
  <c r="AL231" i="5"/>
  <c r="AL197" i="5"/>
  <c r="AK197" i="5"/>
  <c r="AK240" i="5"/>
  <c r="AL240" i="5"/>
  <c r="AK226" i="5"/>
  <c r="AL226" i="5"/>
  <c r="AK214" i="5"/>
  <c r="AL214" i="5"/>
  <c r="AL195" i="5"/>
  <c r="AK195" i="5"/>
  <c r="AL148" i="5"/>
  <c r="AK148" i="5"/>
  <c r="AL205" i="5"/>
  <c r="AK205" i="5"/>
  <c r="AL188" i="5"/>
  <c r="AK188" i="5"/>
  <c r="AL170" i="5"/>
  <c r="AK170" i="5"/>
  <c r="AK183" i="5"/>
  <c r="AL183" i="5"/>
  <c r="AL156" i="5"/>
  <c r="AK156" i="5"/>
  <c r="AL176" i="5"/>
  <c r="AK176" i="5"/>
  <c r="AL164" i="5"/>
  <c r="AK164" i="5"/>
  <c r="AK155" i="5"/>
  <c r="AL155" i="5"/>
  <c r="AK147" i="5"/>
  <c r="AL147" i="5"/>
  <c r="AK131" i="5"/>
  <c r="AL131" i="5"/>
  <c r="AK114" i="5"/>
  <c r="AL114" i="5"/>
  <c r="AK102" i="5"/>
  <c r="AL102" i="5"/>
  <c r="AK157" i="5"/>
  <c r="AL157" i="5"/>
  <c r="AL141" i="5"/>
  <c r="AK141" i="5"/>
  <c r="AP130" i="5"/>
  <c r="AL130" i="5"/>
  <c r="AK130" i="5"/>
  <c r="AK115" i="5"/>
  <c r="AL115" i="5"/>
  <c r="AL152" i="5"/>
  <c r="AK152" i="5"/>
  <c r="AK135" i="5"/>
  <c r="AL135" i="5"/>
  <c r="AK120" i="5"/>
  <c r="AL120" i="5"/>
  <c r="AK111" i="5"/>
  <c r="AL111" i="5"/>
  <c r="AK107" i="5"/>
  <c r="AL107" i="5"/>
  <c r="AL95" i="5"/>
  <c r="AK95" i="5"/>
  <c r="AK84" i="5"/>
  <c r="AL84" i="5"/>
  <c r="AK99" i="5"/>
  <c r="AL99" i="5"/>
  <c r="AK81" i="5"/>
  <c r="AL81" i="5"/>
  <c r="AK70" i="5"/>
  <c r="AL70" i="5"/>
  <c r="AK83" i="5"/>
  <c r="AL83" i="5"/>
  <c r="AK58" i="5"/>
  <c r="AL58" i="5"/>
  <c r="AK40" i="5"/>
  <c r="AL40" i="5"/>
  <c r="AL65" i="5"/>
  <c r="AK65" i="5"/>
  <c r="AK54" i="5"/>
  <c r="AL54" i="5"/>
  <c r="AL36" i="5"/>
  <c r="AK36" i="5"/>
  <c r="AK59" i="5"/>
  <c r="AL59" i="5"/>
  <c r="AK34" i="5"/>
  <c r="AL34" i="5"/>
  <c r="AK45" i="5"/>
  <c r="AL45" i="5"/>
  <c r="AL32" i="5"/>
  <c r="AK32" i="5"/>
  <c r="AK46" i="5"/>
  <c r="AL46" i="5"/>
  <c r="AK33" i="5"/>
  <c r="AL33" i="5"/>
  <c r="AK48" i="5"/>
  <c r="AL48" i="5"/>
  <c r="AK26" i="5"/>
  <c r="AL26" i="5"/>
  <c r="T28" i="5"/>
  <c r="T29" i="5"/>
  <c r="T38" i="5"/>
  <c r="T44" i="5"/>
  <c r="T46" i="5"/>
  <c r="T21" i="5"/>
  <c r="T24" i="5"/>
  <c r="T26" i="5"/>
  <c r="T27" i="5"/>
  <c r="T31" i="5"/>
  <c r="T32" i="5"/>
  <c r="T39" i="5"/>
  <c r="T42" i="5"/>
  <c r="T45" i="5"/>
  <c r="T22" i="5"/>
  <c r="T34" i="5"/>
  <c r="T36" i="5"/>
  <c r="T40" i="5"/>
  <c r="T43" i="5"/>
  <c r="T47" i="5"/>
  <c r="T48" i="5"/>
  <c r="T49" i="5"/>
  <c r="T41" i="5"/>
  <c r="T52" i="5"/>
  <c r="T53" i="5"/>
  <c r="T54" i="5"/>
  <c r="T64" i="5"/>
  <c r="T70" i="5"/>
  <c r="T20" i="5"/>
  <c r="T23" i="5"/>
  <c r="T30" i="5"/>
  <c r="T33" i="5"/>
  <c r="T50" i="5"/>
  <c r="T51" i="5"/>
  <c r="T56" i="5"/>
  <c r="T59" i="5"/>
  <c r="T62" i="5"/>
  <c r="T65" i="5"/>
  <c r="T67" i="5"/>
  <c r="T35" i="5"/>
  <c r="T55" i="5"/>
  <c r="T58" i="5"/>
  <c r="T63" i="5"/>
  <c r="T66" i="5"/>
  <c r="T68" i="5"/>
  <c r="T71" i="5"/>
  <c r="T76" i="5"/>
  <c r="T80" i="5"/>
  <c r="T74" i="5"/>
  <c r="T77" i="5"/>
  <c r="T57" i="5"/>
  <c r="T61" i="5"/>
  <c r="T73" i="5"/>
  <c r="T78" i="5"/>
  <c r="T89" i="5"/>
  <c r="T92" i="5"/>
  <c r="T25" i="5"/>
  <c r="T81" i="5"/>
  <c r="T82" i="5"/>
  <c r="T94" i="5"/>
  <c r="T96" i="5"/>
  <c r="T97" i="5"/>
  <c r="T98" i="5"/>
  <c r="T69" i="5"/>
  <c r="T95" i="5"/>
  <c r="T102" i="5"/>
  <c r="T105" i="5"/>
  <c r="T107" i="5"/>
  <c r="T60" i="5"/>
  <c r="T72" i="5"/>
  <c r="T83" i="5"/>
  <c r="T85" i="5"/>
  <c r="T88" i="5"/>
  <c r="T90" i="5"/>
  <c r="T91" i="5"/>
  <c r="T101" i="5"/>
  <c r="T108" i="5"/>
  <c r="T110" i="5"/>
  <c r="T37" i="5"/>
  <c r="T87" i="5"/>
  <c r="T93" i="5"/>
  <c r="T113" i="5"/>
  <c r="T121" i="5"/>
  <c r="T126" i="5"/>
  <c r="T127" i="5"/>
  <c r="T132" i="5"/>
  <c r="T136" i="5"/>
  <c r="T139" i="5"/>
  <c r="T141" i="5"/>
  <c r="T147" i="5"/>
  <c r="T155" i="5"/>
  <c r="T84" i="5"/>
  <c r="T99" i="5"/>
  <c r="T103" i="5"/>
  <c r="T106" i="5"/>
  <c r="T109" i="5"/>
  <c r="T112" i="5"/>
  <c r="T116" i="5"/>
  <c r="T117" i="5"/>
  <c r="T123" i="5"/>
  <c r="T124" i="5"/>
  <c r="T129" i="5"/>
  <c r="T131" i="5"/>
  <c r="T137" i="5"/>
  <c r="T142" i="5"/>
  <c r="T148" i="5"/>
  <c r="T151" i="5"/>
  <c r="T156" i="5"/>
  <c r="T75" i="5"/>
  <c r="T104" i="5"/>
  <c r="T114" i="5"/>
  <c r="T115" i="5"/>
  <c r="T119" i="5"/>
  <c r="T122" i="5"/>
  <c r="T130" i="5"/>
  <c r="T138" i="5"/>
  <c r="T143" i="5"/>
  <c r="T145" i="5"/>
  <c r="T146" i="5"/>
  <c r="T152" i="5"/>
  <c r="T125" i="5"/>
  <c r="T128" i="5"/>
  <c r="T134" i="5"/>
  <c r="T149" i="5"/>
  <c r="T165" i="5"/>
  <c r="T167" i="5"/>
  <c r="T171" i="5"/>
  <c r="T173" i="5"/>
  <c r="T177" i="5"/>
  <c r="T178" i="5"/>
  <c r="T181" i="5"/>
  <c r="T187" i="5"/>
  <c r="T86" i="5"/>
  <c r="T111" i="5"/>
  <c r="T118" i="5"/>
  <c r="T133" i="5"/>
  <c r="T140" i="5"/>
  <c r="T163" i="5"/>
  <c r="T169" i="5"/>
  <c r="T170" i="5"/>
  <c r="T182" i="5"/>
  <c r="T184" i="5"/>
  <c r="T79" i="5"/>
  <c r="T100" i="5"/>
  <c r="T154" i="5"/>
  <c r="T158" i="5"/>
  <c r="T161" i="5"/>
  <c r="T172" i="5"/>
  <c r="T175" i="5"/>
  <c r="T179" i="5"/>
  <c r="T183" i="5"/>
  <c r="T185" i="5"/>
  <c r="T186" i="5"/>
  <c r="T189" i="5"/>
  <c r="T190" i="5"/>
  <c r="T194" i="5"/>
  <c r="T197" i="5"/>
  <c r="T198" i="5"/>
  <c r="T201" i="5"/>
  <c r="T204" i="5"/>
  <c r="T206" i="5"/>
  <c r="T164" i="5"/>
  <c r="T188" i="5"/>
  <c r="T196" i="5"/>
  <c r="T200" i="5"/>
  <c r="T202" i="5"/>
  <c r="T203" i="5"/>
  <c r="T205" i="5"/>
  <c r="T208" i="5"/>
  <c r="T209" i="5"/>
  <c r="T211" i="5"/>
  <c r="T215" i="5"/>
  <c r="T218" i="5"/>
  <c r="T220" i="5"/>
  <c r="T223" i="5"/>
  <c r="T224" i="5"/>
  <c r="T227" i="5"/>
  <c r="T234" i="5"/>
  <c r="T239" i="5"/>
  <c r="T245" i="5"/>
  <c r="T120" i="5"/>
  <c r="T144" i="5"/>
  <c r="T150" i="5"/>
  <c r="T159" i="5"/>
  <c r="T166" i="5"/>
  <c r="T193" i="5"/>
  <c r="T199" i="5"/>
  <c r="T212" i="5"/>
  <c r="T216" i="5"/>
  <c r="T217" i="5"/>
  <c r="T222" i="5"/>
  <c r="T229" i="5"/>
  <c r="T232" i="5"/>
  <c r="T238" i="5"/>
  <c r="T242" i="5"/>
  <c r="T243" i="5"/>
  <c r="T157" i="5"/>
  <c r="T168" i="5"/>
  <c r="T174" i="5"/>
  <c r="T180" i="5"/>
  <c r="T191" i="5"/>
  <c r="T192" i="5"/>
  <c r="T207" i="5"/>
  <c r="T210" i="5"/>
  <c r="T213" i="5"/>
  <c r="T219" i="5"/>
  <c r="T221" i="5"/>
  <c r="T225" i="5"/>
  <c r="T230" i="5"/>
  <c r="T233" i="5"/>
  <c r="T235" i="5"/>
  <c r="T236" i="5"/>
  <c r="T240" i="5"/>
  <c r="T153" i="5"/>
  <c r="T176" i="5"/>
  <c r="T241" i="5"/>
  <c r="T248" i="5"/>
  <c r="T249" i="5"/>
  <c r="T252" i="5"/>
  <c r="T254" i="5"/>
  <c r="T255" i="5"/>
  <c r="T257" i="5"/>
  <c r="T260" i="5"/>
  <c r="T263" i="5"/>
  <c r="T265" i="5"/>
  <c r="T270" i="5"/>
  <c r="T273" i="5"/>
  <c r="T274" i="5"/>
  <c r="T277" i="5"/>
  <c r="T278" i="5"/>
  <c r="T279" i="5"/>
  <c r="T282" i="5"/>
  <c r="T289" i="5"/>
  <c r="T295" i="5"/>
  <c r="T301" i="5"/>
  <c r="T306" i="5"/>
  <c r="T308" i="5"/>
  <c r="T314" i="5"/>
  <c r="T318" i="5"/>
  <c r="T322" i="5"/>
  <c r="T327" i="5"/>
  <c r="T332" i="5"/>
  <c r="T334" i="5"/>
  <c r="T135" i="5"/>
  <c r="T237" i="5"/>
  <c r="T244" i="5"/>
  <c r="T250" i="5"/>
  <c r="T251" i="5"/>
  <c r="T258" i="5"/>
  <c r="T266" i="5"/>
  <c r="T276" i="5"/>
  <c r="T284" i="5"/>
  <c r="T288" i="5"/>
  <c r="T291" i="5"/>
  <c r="T292" i="5"/>
  <c r="T299" i="5"/>
  <c r="T302" i="5"/>
  <c r="T311" i="5"/>
  <c r="T313" i="5"/>
  <c r="T316" i="5"/>
  <c r="T323" i="5"/>
  <c r="T325" i="5"/>
  <c r="T328" i="5"/>
  <c r="T331" i="5"/>
  <c r="T160" i="5"/>
  <c r="T226" i="5"/>
  <c r="T231" i="5"/>
  <c r="T246" i="5"/>
  <c r="T253" i="5"/>
  <c r="T256" i="5"/>
  <c r="T259" i="5"/>
  <c r="T261" i="5"/>
  <c r="T264" i="5"/>
  <c r="T268" i="5"/>
  <c r="T269" i="5"/>
  <c r="T271" i="5"/>
  <c r="T281" i="5"/>
  <c r="T285" i="5"/>
  <c r="T290" i="5"/>
  <c r="T293" i="5"/>
  <c r="T296" i="5"/>
  <c r="T298" i="5"/>
  <c r="T300" i="5"/>
  <c r="T303" i="5"/>
  <c r="T305" i="5"/>
  <c r="T307" i="5"/>
  <c r="T310" i="5"/>
  <c r="T320" i="5"/>
  <c r="T321" i="5"/>
  <c r="T326" i="5"/>
  <c r="T330" i="5"/>
  <c r="T335" i="5"/>
  <c r="T343" i="5"/>
  <c r="T349" i="5"/>
  <c r="T354" i="5"/>
  <c r="T356" i="5"/>
  <c r="T262" i="5"/>
  <c r="T267" i="5"/>
  <c r="T280" i="5"/>
  <c r="T283" i="5"/>
  <c r="T286" i="5"/>
  <c r="T309" i="5"/>
  <c r="T312" i="5"/>
  <c r="T315" i="5"/>
  <c r="T329" i="5"/>
  <c r="T337" i="5"/>
  <c r="T342" i="5"/>
  <c r="T345" i="5"/>
  <c r="T350" i="5"/>
  <c r="T359" i="5"/>
  <c r="T362" i="5"/>
  <c r="T364" i="5"/>
  <c r="T366" i="5"/>
  <c r="T367" i="5"/>
  <c r="T378" i="5"/>
  <c r="T381" i="5"/>
  <c r="T387" i="5"/>
  <c r="T390" i="5"/>
  <c r="T393" i="5"/>
  <c r="T400" i="5"/>
  <c r="T403" i="5"/>
  <c r="T405" i="5"/>
  <c r="T410" i="5"/>
  <c r="T415" i="5"/>
  <c r="T420" i="5"/>
  <c r="T421" i="5"/>
  <c r="T424" i="5"/>
  <c r="T429" i="5"/>
  <c r="T433" i="5"/>
  <c r="T436" i="5"/>
  <c r="T437" i="5"/>
  <c r="T214" i="5"/>
  <c r="T247" i="5"/>
  <c r="T297" i="5"/>
  <c r="T317" i="5"/>
  <c r="T341" i="5"/>
  <c r="T369" i="5"/>
  <c r="T371" i="5"/>
  <c r="T372" i="5"/>
  <c r="T375" i="5"/>
  <c r="T376" i="5"/>
  <c r="T380" i="5"/>
  <c r="T385" i="5"/>
  <c r="T386" i="5"/>
  <c r="T389" i="5"/>
  <c r="T391" i="5"/>
  <c r="T396" i="5"/>
  <c r="T407" i="5"/>
  <c r="T409" i="5"/>
  <c r="T418" i="5"/>
  <c r="T162" i="5"/>
  <c r="T195" i="5"/>
  <c r="T228" i="5"/>
  <c r="T272" i="5"/>
  <c r="T275" i="5"/>
  <c r="T294" i="5"/>
  <c r="T319" i="5"/>
  <c r="T336" i="5"/>
  <c r="T340" i="5"/>
  <c r="T348" i="5"/>
  <c r="T353" i="5"/>
  <c r="T355" i="5"/>
  <c r="T361" i="5"/>
  <c r="T363" i="5"/>
  <c r="T365" i="5"/>
  <c r="T373" i="5"/>
  <c r="T379" i="5"/>
  <c r="T382" i="5"/>
  <c r="T383" i="5"/>
  <c r="T388" i="5"/>
  <c r="T392" i="5"/>
  <c r="T399" i="5"/>
  <c r="T402" i="5"/>
  <c r="T404" i="5"/>
  <c r="T408" i="5"/>
  <c r="T411" i="5"/>
  <c r="T414" i="5"/>
  <c r="T417" i="5"/>
  <c r="T287" i="5"/>
  <c r="T324" i="5"/>
  <c r="T357" i="5"/>
  <c r="T370" i="5"/>
  <c r="T384" i="5"/>
  <c r="T428" i="5"/>
  <c r="T430" i="5"/>
  <c r="T432" i="5"/>
  <c r="T441" i="5"/>
  <c r="T443" i="5"/>
  <c r="T447" i="5"/>
  <c r="T448" i="5"/>
  <c r="T451" i="5"/>
  <c r="T458" i="5"/>
  <c r="T460" i="5"/>
  <c r="T466" i="5"/>
  <c r="T472" i="5"/>
  <c r="T478" i="5"/>
  <c r="T481" i="5"/>
  <c r="T491" i="5"/>
  <c r="T494" i="5"/>
  <c r="T499" i="5"/>
  <c r="T505" i="5"/>
  <c r="T507" i="5"/>
  <c r="T508" i="5"/>
  <c r="T513" i="5"/>
  <c r="T515" i="5"/>
  <c r="T516" i="5"/>
  <c r="T525" i="5"/>
  <c r="T532" i="5"/>
  <c r="T533" i="5"/>
  <c r="T537" i="5"/>
  <c r="T339" i="5"/>
  <c r="T347" i="5"/>
  <c r="T351" i="5"/>
  <c r="T427" i="5"/>
  <c r="T431" i="5"/>
  <c r="T438" i="5"/>
  <c r="T442" i="5"/>
  <c r="T453" i="5"/>
  <c r="T454" i="5"/>
  <c r="T456" i="5"/>
  <c r="T459" i="5"/>
  <c r="T462" i="5"/>
  <c r="T464" i="5"/>
  <c r="T468" i="5"/>
  <c r="T471" i="5"/>
  <c r="T474" i="5"/>
  <c r="T475" i="5"/>
  <c r="T480" i="5"/>
  <c r="T483" i="5"/>
  <c r="T485" i="5"/>
  <c r="T496" i="5"/>
  <c r="T498" i="5"/>
  <c r="T500" i="5"/>
  <c r="T501" i="5"/>
  <c r="T503" i="5"/>
  <c r="T504" i="5"/>
  <c r="T511" i="5"/>
  <c r="T512" i="5"/>
  <c r="T517" i="5"/>
  <c r="T519" i="5"/>
  <c r="T521" i="5"/>
  <c r="T522" i="5"/>
  <c r="T333" i="5"/>
  <c r="T358" i="5"/>
  <c r="T360" i="5"/>
  <c r="T368" i="5"/>
  <c r="T374" i="5"/>
  <c r="T377" i="5"/>
  <c r="T395" i="5"/>
  <c r="T398" i="5"/>
  <c r="T401" i="5"/>
  <c r="T413" i="5"/>
  <c r="T416" i="5"/>
  <c r="T422" i="5"/>
  <c r="T425" i="5"/>
  <c r="T434" i="5"/>
  <c r="T435" i="5"/>
  <c r="T439" i="5"/>
  <c r="T446" i="5"/>
  <c r="T452" i="5"/>
  <c r="T455" i="5"/>
  <c r="T457" i="5"/>
  <c r="T461" i="5"/>
  <c r="T463" i="5"/>
  <c r="T467" i="5"/>
  <c r="T470" i="5"/>
  <c r="T473" i="5"/>
  <c r="T477" i="5"/>
  <c r="T482" i="5"/>
  <c r="T486" i="5"/>
  <c r="T487" i="5"/>
  <c r="T489" i="5"/>
  <c r="T492" i="5"/>
  <c r="T493" i="5"/>
  <c r="T495" i="5"/>
  <c r="T506" i="5"/>
  <c r="T510" i="5"/>
  <c r="T526" i="5"/>
  <c r="T531" i="5"/>
  <c r="T538" i="5"/>
  <c r="T556" i="5"/>
  <c r="T557" i="5"/>
  <c r="T560" i="5"/>
  <c r="T304" i="5"/>
  <c r="T338" i="5"/>
  <c r="T344" i="5"/>
  <c r="T346" i="5"/>
  <c r="T352" i="5"/>
  <c r="T444" i="5"/>
  <c r="T465" i="5"/>
  <c r="T484" i="5"/>
  <c r="T529" i="5"/>
  <c r="T534" i="5"/>
  <c r="T536" i="5"/>
  <c r="T539" i="5"/>
  <c r="T540" i="5"/>
  <c r="T542" i="5"/>
  <c r="T545" i="5"/>
  <c r="T546" i="5"/>
  <c r="T548" i="5"/>
  <c r="T550" i="5"/>
  <c r="T554" i="5"/>
  <c r="T541" i="5"/>
  <c r="T544" i="5"/>
  <c r="T394" i="5"/>
  <c r="T406" i="5"/>
  <c r="T412" i="5"/>
  <c r="T426" i="5"/>
  <c r="T450" i="5"/>
  <c r="T490" i="5"/>
  <c r="T497" i="5"/>
  <c r="T514" i="5"/>
  <c r="T518" i="5"/>
  <c r="T524" i="5"/>
  <c r="T527" i="5"/>
  <c r="T543" i="5"/>
  <c r="T551" i="5"/>
  <c r="T552" i="5"/>
  <c r="T553" i="5"/>
  <c r="T555" i="5"/>
  <c r="T419" i="5"/>
  <c r="T440" i="5"/>
  <c r="T449" i="5"/>
  <c r="T528" i="5"/>
  <c r="T530" i="5"/>
  <c r="T535" i="5"/>
  <c r="T547" i="5"/>
  <c r="T549" i="5"/>
  <c r="T558" i="5"/>
  <c r="T559" i="5"/>
  <c r="T397" i="5"/>
  <c r="T423" i="5"/>
  <c r="T445" i="5"/>
  <c r="T469" i="5"/>
  <c r="T476" i="5"/>
  <c r="T479" i="5"/>
  <c r="T488" i="5"/>
  <c r="T502" i="5"/>
  <c r="T509" i="5"/>
  <c r="T520" i="5"/>
  <c r="T523" i="5"/>
  <c r="T19" i="5"/>
  <c r="AP486" i="5"/>
  <c r="AI534" i="5"/>
  <c r="AP534" i="5"/>
  <c r="AH534" i="5"/>
  <c r="AI500" i="5"/>
  <c r="AH500" i="5"/>
  <c r="AP500" i="5"/>
  <c r="AP440" i="5"/>
  <c r="AI440" i="5"/>
  <c r="AH440" i="5"/>
  <c r="AI537" i="5"/>
  <c r="AH537" i="5"/>
  <c r="AP537" i="5"/>
  <c r="AH467" i="5"/>
  <c r="AP467" i="5"/>
  <c r="AI467" i="5"/>
  <c r="AH430" i="5"/>
  <c r="AP430" i="5"/>
  <c r="AI430" i="5"/>
  <c r="AI395" i="5"/>
  <c r="AH395" i="5"/>
  <c r="AP395" i="5"/>
  <c r="AI358" i="5"/>
  <c r="AH358" i="5"/>
  <c r="AP358" i="5"/>
  <c r="AH555" i="5"/>
  <c r="AP555" i="5"/>
  <c r="AI555" i="5"/>
  <c r="AI526" i="5"/>
  <c r="AP526" i="5"/>
  <c r="AH526" i="5"/>
  <c r="AI465" i="5"/>
  <c r="AH465" i="5"/>
  <c r="AP465" i="5"/>
  <c r="AH554" i="5"/>
  <c r="AP554" i="5"/>
  <c r="AI554" i="5"/>
  <c r="AP539" i="5"/>
  <c r="AI539" i="5"/>
  <c r="AH539" i="5"/>
  <c r="AI509" i="5"/>
  <c r="AH509" i="5"/>
  <c r="AP509" i="5"/>
  <c r="AI479" i="5"/>
  <c r="AH479" i="5"/>
  <c r="AP479" i="5"/>
  <c r="AP416" i="5"/>
  <c r="AI416" i="5"/>
  <c r="AH416" i="5"/>
  <c r="AH559" i="5"/>
  <c r="AP559" i="5"/>
  <c r="AI559" i="5"/>
  <c r="AH550" i="5"/>
  <c r="AP550" i="5"/>
  <c r="AI550" i="5"/>
  <c r="AH543" i="5"/>
  <c r="AP543" i="5"/>
  <c r="AI543" i="5"/>
  <c r="AP514" i="5"/>
  <c r="AI514" i="5"/>
  <c r="AH514" i="5"/>
  <c r="AI504" i="5"/>
  <c r="AP504" i="5"/>
  <c r="AH504" i="5"/>
  <c r="AI478" i="5"/>
  <c r="AP478" i="5"/>
  <c r="AH478" i="5"/>
  <c r="AI468" i="5"/>
  <c r="AP468" i="5"/>
  <c r="AH468" i="5"/>
  <c r="AI453" i="5"/>
  <c r="AH453" i="5"/>
  <c r="AP453" i="5"/>
  <c r="AP399" i="5"/>
  <c r="AI399" i="5"/>
  <c r="AH399" i="5"/>
  <c r="AI272" i="5"/>
  <c r="AH272" i="5"/>
  <c r="AP272" i="5"/>
  <c r="AI501" i="5"/>
  <c r="AH501" i="5"/>
  <c r="AP501" i="5"/>
  <c r="AI490" i="5"/>
  <c r="AP490" i="5"/>
  <c r="AH490" i="5"/>
  <c r="AI472" i="5"/>
  <c r="AH472" i="5"/>
  <c r="AP472" i="5"/>
  <c r="AI456" i="5"/>
  <c r="AH456" i="5"/>
  <c r="AP456" i="5"/>
  <c r="AI435" i="5"/>
  <c r="AP435" i="5"/>
  <c r="AH435" i="5"/>
  <c r="AI408" i="5"/>
  <c r="AH408" i="5"/>
  <c r="AP408" i="5"/>
  <c r="AH331" i="5"/>
  <c r="AP331" i="5"/>
  <c r="AI331" i="5"/>
  <c r="AI518" i="5"/>
  <c r="AP518" i="5"/>
  <c r="AH518" i="5"/>
  <c r="AI502" i="5"/>
  <c r="AP502" i="5"/>
  <c r="AH502" i="5"/>
  <c r="AI489" i="5"/>
  <c r="AP489" i="5"/>
  <c r="AH489" i="5"/>
  <c r="AI469" i="5"/>
  <c r="AH469" i="5"/>
  <c r="AP469" i="5"/>
  <c r="AI445" i="5"/>
  <c r="AH445" i="5"/>
  <c r="AP445" i="5"/>
  <c r="AI427" i="5"/>
  <c r="AP427" i="5"/>
  <c r="AH427" i="5"/>
  <c r="AI371" i="5"/>
  <c r="AH371" i="5"/>
  <c r="AP371" i="5"/>
  <c r="AI334" i="5"/>
  <c r="AH334" i="5"/>
  <c r="AP334" i="5"/>
  <c r="AH168" i="5"/>
  <c r="AI168" i="5"/>
  <c r="AP168" i="5"/>
  <c r="AI411" i="5"/>
  <c r="AP411" i="5"/>
  <c r="AH411" i="5"/>
  <c r="AI385" i="5"/>
  <c r="AP385" i="5"/>
  <c r="AH385" i="5"/>
  <c r="AI369" i="5"/>
  <c r="AH369" i="5"/>
  <c r="AP369" i="5"/>
  <c r="AI352" i="5"/>
  <c r="AH352" i="5"/>
  <c r="AP352" i="5"/>
  <c r="AP317" i="5"/>
  <c r="AI317" i="5"/>
  <c r="AH317" i="5"/>
  <c r="AI407" i="5"/>
  <c r="AP407" i="5"/>
  <c r="AH407" i="5"/>
  <c r="AI391" i="5"/>
  <c r="AH391" i="5"/>
  <c r="AP391" i="5"/>
  <c r="AH376" i="5"/>
  <c r="AP376" i="5"/>
  <c r="AI376" i="5"/>
  <c r="AI362" i="5"/>
  <c r="AH362" i="5"/>
  <c r="AP362" i="5"/>
  <c r="AP329" i="5"/>
  <c r="AI329" i="5"/>
  <c r="AH329" i="5"/>
  <c r="AI268" i="5"/>
  <c r="AH268" i="5"/>
  <c r="AP268" i="5"/>
  <c r="AH180" i="5"/>
  <c r="AI180" i="5"/>
  <c r="AP180" i="5"/>
  <c r="AI429" i="5"/>
  <c r="AH429" i="5"/>
  <c r="AP429" i="5"/>
  <c r="AI415" i="5"/>
  <c r="AP415" i="5"/>
  <c r="AH415" i="5"/>
  <c r="AI400" i="5"/>
  <c r="AP400" i="5"/>
  <c r="AH400" i="5"/>
  <c r="AI388" i="5"/>
  <c r="AP388" i="5"/>
  <c r="AH388" i="5"/>
  <c r="AI366" i="5"/>
  <c r="AH366" i="5"/>
  <c r="AP366" i="5"/>
  <c r="AP310" i="5"/>
  <c r="AI310" i="5"/>
  <c r="AH310" i="5"/>
  <c r="AH174" i="5"/>
  <c r="AI174" i="5"/>
  <c r="AP174" i="5"/>
  <c r="AP349" i="5"/>
  <c r="AH349" i="5"/>
  <c r="AI349" i="5"/>
  <c r="AI342" i="5"/>
  <c r="AH342" i="5"/>
  <c r="AP342" i="5"/>
  <c r="AI323" i="5"/>
  <c r="AH323" i="5"/>
  <c r="AP323" i="5"/>
  <c r="AI303" i="5"/>
  <c r="AH303" i="5"/>
  <c r="AP303" i="5"/>
  <c r="AH288" i="5"/>
  <c r="AP288" i="5"/>
  <c r="AI288" i="5"/>
  <c r="AH269" i="5"/>
  <c r="AI269" i="5"/>
  <c r="AP269" i="5"/>
  <c r="AI253" i="5"/>
  <c r="AH253" i="5"/>
  <c r="AP253" i="5"/>
  <c r="AH196" i="5"/>
  <c r="AI196" i="5"/>
  <c r="AP196" i="5"/>
  <c r="AH325" i="5"/>
  <c r="AI325" i="5"/>
  <c r="AP325" i="5"/>
  <c r="AI308" i="5"/>
  <c r="AH308" i="5"/>
  <c r="AP308" i="5"/>
  <c r="AP292" i="5"/>
  <c r="AI292" i="5"/>
  <c r="AH292" i="5"/>
  <c r="AH279" i="5"/>
  <c r="AI279" i="5"/>
  <c r="AI266" i="5"/>
  <c r="AH266" i="5"/>
  <c r="AP266" i="5"/>
  <c r="AH241" i="5"/>
  <c r="AI241" i="5"/>
  <c r="AP203" i="5"/>
  <c r="AH203" i="5"/>
  <c r="AI203" i="5"/>
  <c r="AI320" i="5"/>
  <c r="AH320" i="5"/>
  <c r="AP320" i="5"/>
  <c r="AH309" i="5"/>
  <c r="AP309" i="5"/>
  <c r="AI309" i="5"/>
  <c r="AH293" i="5"/>
  <c r="AP293" i="5"/>
  <c r="AI293" i="5"/>
  <c r="AI277" i="5"/>
  <c r="AH277" i="5"/>
  <c r="AP277" i="5"/>
  <c r="AH263" i="5"/>
  <c r="AP263" i="5"/>
  <c r="AI263" i="5"/>
  <c r="AI254" i="5"/>
  <c r="AH254" i="5"/>
  <c r="AP254" i="5"/>
  <c r="AI228" i="5"/>
  <c r="AH228" i="5"/>
  <c r="AP228" i="5"/>
  <c r="AI236" i="5"/>
  <c r="AH236" i="5"/>
  <c r="AP236" i="5"/>
  <c r="AI225" i="5"/>
  <c r="AH225" i="5"/>
  <c r="AP225" i="5"/>
  <c r="AH213" i="5"/>
  <c r="AP213" i="5"/>
  <c r="AI213" i="5"/>
  <c r="AH188" i="5"/>
  <c r="AI188" i="5"/>
  <c r="AP188" i="5"/>
  <c r="AH242" i="5"/>
  <c r="AI242" i="5"/>
  <c r="AP242" i="5"/>
  <c r="AH220" i="5"/>
  <c r="AI220" i="5"/>
  <c r="AP220" i="5"/>
  <c r="AI207" i="5"/>
  <c r="AH207" i="5"/>
  <c r="AP207" i="5"/>
  <c r="AH247" i="5"/>
  <c r="AI247" i="5"/>
  <c r="AP247" i="5"/>
  <c r="AI227" i="5"/>
  <c r="AH227" i="5"/>
  <c r="AP227" i="5"/>
  <c r="AH208" i="5"/>
  <c r="AI208" i="5"/>
  <c r="AP208" i="5"/>
  <c r="AI206" i="5"/>
  <c r="AH206" i="5"/>
  <c r="AP206" i="5"/>
  <c r="AI197" i="5"/>
  <c r="AH197" i="5"/>
  <c r="AP197" i="5"/>
  <c r="AH186" i="5"/>
  <c r="AI186" i="5"/>
  <c r="AP186" i="5"/>
  <c r="AH167" i="5"/>
  <c r="AI167" i="5"/>
  <c r="AP167" i="5"/>
  <c r="AI155" i="5"/>
  <c r="AH155" i="5"/>
  <c r="AP155" i="5"/>
  <c r="AI95" i="5"/>
  <c r="AH95" i="5"/>
  <c r="AP95" i="5"/>
  <c r="AH170" i="5"/>
  <c r="AI170" i="5"/>
  <c r="AP170" i="5"/>
  <c r="AH161" i="5"/>
  <c r="AI161" i="5"/>
  <c r="AP161" i="5"/>
  <c r="AH125" i="5"/>
  <c r="AI125" i="5"/>
  <c r="AP125" i="5"/>
  <c r="AI179" i="5"/>
  <c r="AH179" i="5"/>
  <c r="AP179" i="5"/>
  <c r="AI171" i="5"/>
  <c r="AH171" i="5"/>
  <c r="AP171" i="5"/>
  <c r="AI147" i="5"/>
  <c r="AH147" i="5"/>
  <c r="AP147" i="5"/>
  <c r="AI123" i="5"/>
  <c r="AH123" i="5"/>
  <c r="AP123" i="5"/>
  <c r="AH152" i="5"/>
  <c r="AI152" i="5"/>
  <c r="AP152" i="5"/>
  <c r="AH137" i="5"/>
  <c r="AI137" i="5"/>
  <c r="AP137" i="5"/>
  <c r="AI120" i="5"/>
  <c r="AH120" i="5"/>
  <c r="AP120" i="5"/>
  <c r="AI106" i="5"/>
  <c r="AH106" i="5"/>
  <c r="AP106" i="5"/>
  <c r="AI151" i="5"/>
  <c r="AH151" i="5"/>
  <c r="AP151" i="5"/>
  <c r="AH124" i="5"/>
  <c r="AI124" i="5"/>
  <c r="AP124" i="5"/>
  <c r="AI145" i="5"/>
  <c r="AP145" i="5"/>
  <c r="AH145" i="5"/>
  <c r="AH132" i="5"/>
  <c r="AP132" i="5"/>
  <c r="AI132" i="5"/>
  <c r="AH114" i="5"/>
  <c r="AI114" i="5"/>
  <c r="AP114" i="5"/>
  <c r="AI108" i="5"/>
  <c r="AH108" i="5"/>
  <c r="AP108" i="5"/>
  <c r="AI85" i="5"/>
  <c r="AH85" i="5"/>
  <c r="AP85" i="5"/>
  <c r="AH107" i="5"/>
  <c r="AI107" i="5"/>
  <c r="AP107" i="5"/>
  <c r="AI98" i="5"/>
  <c r="AH98" i="5"/>
  <c r="AP98" i="5"/>
  <c r="AH74" i="5"/>
  <c r="AI74" i="5"/>
  <c r="AP74" i="5"/>
  <c r="AH86" i="5"/>
  <c r="AP86" i="5"/>
  <c r="AI86" i="5"/>
  <c r="AI76" i="5"/>
  <c r="AP76" i="5"/>
  <c r="AH76" i="5"/>
  <c r="AH73" i="5"/>
  <c r="AI73" i="5"/>
  <c r="AP73" i="5"/>
  <c r="AH80" i="5"/>
  <c r="AP80" i="5"/>
  <c r="AI80" i="5"/>
  <c r="AI59" i="5"/>
  <c r="AH59" i="5"/>
  <c r="AP59" i="5"/>
  <c r="AH68" i="5"/>
  <c r="AI68" i="5"/>
  <c r="AP68" i="5"/>
  <c r="AH60" i="5"/>
  <c r="AI60" i="5"/>
  <c r="AP60" i="5"/>
  <c r="AH61" i="5"/>
  <c r="AI61" i="5"/>
  <c r="AP61" i="5"/>
  <c r="AH50" i="5"/>
  <c r="AI50" i="5"/>
  <c r="AP50" i="5"/>
  <c r="AI49" i="5"/>
  <c r="AH49" i="5"/>
  <c r="AP49" i="5"/>
  <c r="AH40" i="5"/>
  <c r="AI40" i="5"/>
  <c r="AP40" i="5"/>
  <c r="AP27" i="5"/>
  <c r="AI27" i="5"/>
  <c r="AH27" i="5"/>
  <c r="AI32" i="5"/>
  <c r="AP32" i="5"/>
  <c r="AH32" i="5"/>
  <c r="AI46" i="5"/>
  <c r="AP46" i="5"/>
  <c r="AH46" i="5"/>
  <c r="AI33" i="5"/>
  <c r="AH33" i="5"/>
  <c r="AP33" i="5"/>
  <c r="AO483" i="5"/>
  <c r="AN483" i="5"/>
  <c r="AN372" i="5"/>
  <c r="AO372" i="5"/>
  <c r="AO542" i="5"/>
  <c r="AN542" i="5"/>
  <c r="AO528" i="5"/>
  <c r="AN528" i="5"/>
  <c r="AN424" i="5"/>
  <c r="AO424" i="5"/>
  <c r="AN549" i="5"/>
  <c r="AO549" i="5"/>
  <c r="AO524" i="5"/>
  <c r="AN524" i="5"/>
  <c r="AN433" i="5"/>
  <c r="AO433" i="5"/>
  <c r="AO553" i="5"/>
  <c r="AN553" i="5"/>
  <c r="AN534" i="5"/>
  <c r="AO534" i="5"/>
  <c r="AO517" i="5"/>
  <c r="AN517" i="5"/>
  <c r="AN449" i="5"/>
  <c r="AO449" i="5"/>
  <c r="AN297" i="5"/>
  <c r="AO297" i="5"/>
  <c r="AO554" i="5"/>
  <c r="AN554" i="5"/>
  <c r="AO523" i="5"/>
  <c r="AN523" i="5"/>
  <c r="AN510" i="5"/>
  <c r="AO510" i="5"/>
  <c r="AN503" i="5"/>
  <c r="AO503" i="5"/>
  <c r="AN495" i="5"/>
  <c r="AO495" i="5"/>
  <c r="AO489" i="5"/>
  <c r="AN489" i="5"/>
  <c r="AO482" i="5"/>
  <c r="AN482" i="5"/>
  <c r="AO469" i="5"/>
  <c r="AN469" i="5"/>
  <c r="AO454" i="5"/>
  <c r="AN454" i="5"/>
  <c r="AO443" i="5"/>
  <c r="AN443" i="5"/>
  <c r="AN430" i="5"/>
  <c r="AO430" i="5"/>
  <c r="AO381" i="5"/>
  <c r="AN381" i="5"/>
  <c r="AN519" i="5"/>
  <c r="AO519" i="5"/>
  <c r="AN511" i="5"/>
  <c r="AO511" i="5"/>
  <c r="AN484" i="5"/>
  <c r="AO484" i="5"/>
  <c r="AN470" i="5"/>
  <c r="AO470" i="5"/>
  <c r="AO462" i="5"/>
  <c r="AN462" i="5"/>
  <c r="AN439" i="5"/>
  <c r="AO439" i="5"/>
  <c r="AN412" i="5"/>
  <c r="AO412" i="5"/>
  <c r="AO391" i="5"/>
  <c r="AN391" i="5"/>
  <c r="AO532" i="5"/>
  <c r="AN532" i="5"/>
  <c r="AN515" i="5"/>
  <c r="AO515" i="5"/>
  <c r="AO490" i="5"/>
  <c r="AN490" i="5"/>
  <c r="AO471" i="5"/>
  <c r="AN471" i="5"/>
  <c r="AO457" i="5"/>
  <c r="AN457" i="5"/>
  <c r="AN401" i="5"/>
  <c r="AO401" i="5"/>
  <c r="AO311" i="5"/>
  <c r="AN311" i="5"/>
  <c r="AO400" i="5"/>
  <c r="AN400" i="5"/>
  <c r="AN379" i="5"/>
  <c r="AO379" i="5"/>
  <c r="AO366" i="5"/>
  <c r="AN366" i="5"/>
  <c r="AN348" i="5"/>
  <c r="AO348" i="5"/>
  <c r="AN336" i="5"/>
  <c r="AO336" i="5"/>
  <c r="AO286" i="5"/>
  <c r="AN286" i="5"/>
  <c r="AN254" i="5"/>
  <c r="AO254" i="5"/>
  <c r="AN418" i="5"/>
  <c r="AO418" i="5"/>
  <c r="AO402" i="5"/>
  <c r="AN402" i="5"/>
  <c r="AN389" i="5"/>
  <c r="AO389" i="5"/>
  <c r="AN377" i="5"/>
  <c r="AO377" i="5"/>
  <c r="AO363" i="5"/>
  <c r="AN363" i="5"/>
  <c r="AN350" i="5"/>
  <c r="AO350" i="5"/>
  <c r="AN293" i="5"/>
  <c r="AO293" i="5"/>
  <c r="AN250" i="5"/>
  <c r="AO250" i="5"/>
  <c r="AO431" i="5"/>
  <c r="AN431" i="5"/>
  <c r="AO414" i="5"/>
  <c r="AN414" i="5"/>
  <c r="AO404" i="5"/>
  <c r="AN404" i="5"/>
  <c r="AN376" i="5"/>
  <c r="AO376" i="5"/>
  <c r="AO360" i="5"/>
  <c r="AN360" i="5"/>
  <c r="AN319" i="5"/>
  <c r="AO319" i="5"/>
  <c r="AO224" i="5"/>
  <c r="AN224" i="5"/>
  <c r="AO357" i="5"/>
  <c r="AN357" i="5"/>
  <c r="AN343" i="5"/>
  <c r="AO343" i="5"/>
  <c r="AN330" i="5"/>
  <c r="AO330" i="5"/>
  <c r="AN320" i="5"/>
  <c r="AO320" i="5"/>
  <c r="AN310" i="5"/>
  <c r="AO310" i="5"/>
  <c r="AO301" i="5"/>
  <c r="AN301" i="5"/>
  <c r="AO275" i="5"/>
  <c r="AN275" i="5"/>
  <c r="AN257" i="5"/>
  <c r="AO257" i="5"/>
  <c r="AO248" i="5"/>
  <c r="AN248" i="5"/>
  <c r="AO192" i="5"/>
  <c r="AN192" i="5"/>
  <c r="AN321" i="5"/>
  <c r="AO321" i="5"/>
  <c r="AO294" i="5"/>
  <c r="AN294" i="5"/>
  <c r="AN272" i="5"/>
  <c r="AO272" i="5"/>
  <c r="AO253" i="5"/>
  <c r="AN253" i="5"/>
  <c r="AN327" i="5"/>
  <c r="AO327" i="5"/>
  <c r="AO307" i="5"/>
  <c r="AN307" i="5"/>
  <c r="AN291" i="5"/>
  <c r="AO291" i="5"/>
  <c r="AO281" i="5"/>
  <c r="AN281" i="5"/>
  <c r="AO271" i="5"/>
  <c r="AN271" i="5"/>
  <c r="AO259" i="5"/>
  <c r="AN259" i="5"/>
  <c r="AO193" i="5"/>
  <c r="AN193" i="5"/>
  <c r="AO239" i="5"/>
  <c r="AN239" i="5"/>
  <c r="AN215" i="5"/>
  <c r="AO215" i="5"/>
  <c r="AN186" i="5"/>
  <c r="AO186" i="5"/>
  <c r="AO244" i="5"/>
  <c r="AN244" i="5"/>
  <c r="AO228" i="5"/>
  <c r="AN228" i="5"/>
  <c r="AO217" i="5"/>
  <c r="AN217" i="5"/>
  <c r="AN204" i="5"/>
  <c r="AO204" i="5"/>
  <c r="AN182" i="5"/>
  <c r="AO182" i="5"/>
  <c r="AO233" i="5"/>
  <c r="AN233" i="5"/>
  <c r="AO216" i="5"/>
  <c r="AN216" i="5"/>
  <c r="AN205" i="5"/>
  <c r="AO205" i="5"/>
  <c r="AN165" i="5"/>
  <c r="AO165" i="5"/>
  <c r="AO203" i="5"/>
  <c r="AN203" i="5"/>
  <c r="AO187" i="5"/>
  <c r="AN187" i="5"/>
  <c r="AO162" i="5"/>
  <c r="AN162" i="5"/>
  <c r="AN143" i="5"/>
  <c r="AO143" i="5"/>
  <c r="AO185" i="5"/>
  <c r="AN185" i="5"/>
  <c r="AN170" i="5"/>
  <c r="AO170" i="5"/>
  <c r="AO153" i="5"/>
  <c r="AN153" i="5"/>
  <c r="AN181" i="5"/>
  <c r="AO181" i="5"/>
  <c r="AN167" i="5"/>
  <c r="AO167" i="5"/>
  <c r="AO104" i="5"/>
  <c r="AN104" i="5"/>
  <c r="AO142" i="5"/>
  <c r="AN142" i="5"/>
  <c r="AN124" i="5"/>
  <c r="AO124" i="5"/>
  <c r="AO155" i="5"/>
  <c r="AN155" i="5"/>
  <c r="AO146" i="5"/>
  <c r="AN146" i="5"/>
  <c r="AO128" i="5"/>
  <c r="AN128" i="5"/>
  <c r="AO120" i="5"/>
  <c r="AN120" i="5"/>
  <c r="AN106" i="5"/>
  <c r="AO106" i="5"/>
  <c r="AN151" i="5"/>
  <c r="AO151" i="5"/>
  <c r="AO129" i="5"/>
  <c r="AN129" i="5"/>
  <c r="AO99" i="5"/>
  <c r="AN99" i="5"/>
  <c r="AN87" i="5"/>
  <c r="AO87" i="5"/>
  <c r="AN102" i="5"/>
  <c r="AO102" i="5"/>
  <c r="AN96" i="5"/>
  <c r="AO96" i="5"/>
  <c r="AO90" i="5"/>
  <c r="AN90" i="5"/>
  <c r="AO93" i="5"/>
  <c r="AN93" i="5"/>
  <c r="AN77" i="5"/>
  <c r="AO77" i="5"/>
  <c r="AN62" i="5"/>
  <c r="AO62" i="5"/>
  <c r="AO79" i="5"/>
  <c r="AN79" i="5"/>
  <c r="AN49" i="5"/>
  <c r="AO49" i="5"/>
  <c r="AO57" i="5"/>
  <c r="AN57" i="5"/>
  <c r="AO58" i="5"/>
  <c r="AN58" i="5"/>
  <c r="AO63" i="5"/>
  <c r="AN63" i="5"/>
  <c r="AN28" i="5"/>
  <c r="AO28" i="5"/>
  <c r="AO67" i="5"/>
  <c r="AN67" i="5"/>
  <c r="AO42" i="5"/>
  <c r="AN42" i="5"/>
  <c r="AO46" i="5"/>
  <c r="AN46" i="5"/>
  <c r="AN33" i="5"/>
  <c r="AO33" i="5"/>
  <c r="AO37" i="5"/>
  <c r="AN37" i="5"/>
  <c r="AN25" i="5"/>
  <c r="AO25" i="5"/>
  <c r="AO36" i="5"/>
  <c r="AN36" i="5"/>
  <c r="AP343" i="5"/>
  <c r="AK529" i="5"/>
  <c r="AL529" i="5"/>
  <c r="AK498" i="5"/>
  <c r="AL498" i="5"/>
  <c r="AK530" i="5"/>
  <c r="AL530" i="5"/>
  <c r="AK404" i="5"/>
  <c r="AL404" i="5"/>
  <c r="AK536" i="5"/>
  <c r="AL536" i="5"/>
  <c r="AL456" i="5"/>
  <c r="AK456" i="5"/>
  <c r="AL414" i="5"/>
  <c r="AK414" i="5"/>
  <c r="AK503" i="5"/>
  <c r="AL503" i="5"/>
  <c r="AK463" i="5"/>
  <c r="AL463" i="5"/>
  <c r="AL537" i="5"/>
  <c r="AK537" i="5"/>
  <c r="AL480" i="5"/>
  <c r="AK480" i="5"/>
  <c r="AK352" i="5"/>
  <c r="AL352" i="5"/>
  <c r="AL386" i="5"/>
  <c r="AK386" i="5"/>
  <c r="AL259" i="5"/>
  <c r="AK259" i="5"/>
  <c r="AK364" i="5"/>
  <c r="AL364" i="5"/>
  <c r="AK419" i="5"/>
  <c r="AL419" i="5"/>
  <c r="AK377" i="5"/>
  <c r="AL377" i="5"/>
  <c r="AL296" i="5"/>
  <c r="AK296" i="5"/>
  <c r="AL319" i="5"/>
  <c r="AK319" i="5"/>
  <c r="AK260" i="5"/>
  <c r="AL260" i="5"/>
  <c r="AL306" i="5"/>
  <c r="AK306" i="5"/>
  <c r="AK255" i="5"/>
  <c r="AL255" i="5"/>
  <c r="AL302" i="5"/>
  <c r="AK302" i="5"/>
  <c r="AK243" i="5"/>
  <c r="AL243" i="5"/>
  <c r="AK206" i="5"/>
  <c r="AL206" i="5"/>
  <c r="AK237" i="5"/>
  <c r="AL237" i="5"/>
  <c r="AK219" i="5"/>
  <c r="AL219" i="5"/>
  <c r="AK124" i="5"/>
  <c r="AL124" i="5"/>
  <c r="AL178" i="5"/>
  <c r="AK178" i="5"/>
  <c r="AL139" i="5"/>
  <c r="AK139" i="5"/>
  <c r="AL108" i="5"/>
  <c r="AK108" i="5"/>
  <c r="AK122" i="5"/>
  <c r="AL122" i="5"/>
  <c r="AL126" i="5"/>
  <c r="AK126" i="5"/>
  <c r="AK90" i="5"/>
  <c r="AL90" i="5"/>
  <c r="AK82" i="5"/>
  <c r="AL82" i="5"/>
  <c r="AK75" i="5"/>
  <c r="AL75" i="5"/>
  <c r="AK49" i="5"/>
  <c r="AL49" i="5"/>
  <c r="AK39" i="5"/>
  <c r="AL39" i="5"/>
  <c r="AK29" i="5"/>
  <c r="AL29" i="5"/>
  <c r="AI449" i="5"/>
  <c r="AH449" i="5"/>
  <c r="AP449" i="5"/>
  <c r="AI523" i="5"/>
  <c r="AH523" i="5"/>
  <c r="AP523" i="5"/>
  <c r="AI545" i="5"/>
  <c r="AP545" i="5"/>
  <c r="AH545" i="5"/>
  <c r="AI542" i="5"/>
  <c r="AH542" i="5"/>
  <c r="AP542" i="5"/>
  <c r="AI473" i="5"/>
  <c r="AH473" i="5"/>
  <c r="AP473" i="5"/>
  <c r="AI548" i="5"/>
  <c r="AH548" i="5"/>
  <c r="AP548" i="5"/>
  <c r="AI425" i="5"/>
  <c r="AP425" i="5"/>
  <c r="AH425" i="5"/>
  <c r="B25" i="5"/>
  <c r="AK507" i="5"/>
  <c r="AL507" i="5"/>
  <c r="AK515" i="5"/>
  <c r="AL515" i="5"/>
  <c r="AK447" i="5"/>
  <c r="AL447" i="5"/>
  <c r="AL543" i="5"/>
  <c r="AK543" i="5"/>
  <c r="AK497" i="5"/>
  <c r="AL497" i="5"/>
  <c r="AL555" i="5"/>
  <c r="AK555" i="5"/>
  <c r="AK504" i="5"/>
  <c r="AL504" i="5"/>
  <c r="AL475" i="5"/>
  <c r="AK475" i="5"/>
  <c r="AK383" i="5"/>
  <c r="AL383" i="5"/>
  <c r="AL551" i="5"/>
  <c r="AK551" i="5"/>
  <c r="AK535" i="5"/>
  <c r="AL535" i="5"/>
  <c r="AK516" i="5"/>
  <c r="AL516" i="5"/>
  <c r="AL556" i="5"/>
  <c r="AK556" i="5"/>
  <c r="AK532" i="5"/>
  <c r="AL532" i="5"/>
  <c r="AK423" i="5"/>
  <c r="AL423" i="5"/>
  <c r="AP279" i="5"/>
  <c r="AL279" i="5"/>
  <c r="AK279" i="5"/>
  <c r="AL547" i="5"/>
  <c r="AK547" i="5"/>
  <c r="AL538" i="5"/>
  <c r="AK538" i="5"/>
  <c r="AK527" i="5"/>
  <c r="AL527" i="5"/>
  <c r="AL496" i="5"/>
  <c r="AK496" i="5"/>
  <c r="AK483" i="5"/>
  <c r="AL483" i="5"/>
  <c r="AL458" i="5"/>
  <c r="AK458" i="5"/>
  <c r="AK442" i="5"/>
  <c r="AL442" i="5"/>
  <c r="AK425" i="5"/>
  <c r="AL425" i="5"/>
  <c r="AK417" i="5"/>
  <c r="AL417" i="5"/>
  <c r="AK393" i="5"/>
  <c r="AL393" i="5"/>
  <c r="AK335" i="5"/>
  <c r="AL335" i="5"/>
  <c r="AL518" i="5"/>
  <c r="AK518" i="5"/>
  <c r="AK508" i="5"/>
  <c r="AL508" i="5"/>
  <c r="AK494" i="5"/>
  <c r="AL494" i="5"/>
  <c r="AK487" i="5"/>
  <c r="AL487" i="5"/>
  <c r="AK466" i="5"/>
  <c r="AL466" i="5"/>
  <c r="AK451" i="5"/>
  <c r="AL451" i="5"/>
  <c r="AK441" i="5"/>
  <c r="AL441" i="5"/>
  <c r="AL418" i="5"/>
  <c r="AK418" i="5"/>
  <c r="AL288" i="5"/>
  <c r="AK288" i="5"/>
  <c r="AL512" i="5"/>
  <c r="AK512" i="5"/>
  <c r="AK500" i="5"/>
  <c r="AL500" i="5"/>
  <c r="AK482" i="5"/>
  <c r="AL482" i="5"/>
  <c r="AK476" i="5"/>
  <c r="AL476" i="5"/>
  <c r="AK461" i="5"/>
  <c r="AL461" i="5"/>
  <c r="AK440" i="5"/>
  <c r="AL440" i="5"/>
  <c r="AK385" i="5"/>
  <c r="AL385" i="5"/>
  <c r="AK409" i="5"/>
  <c r="AL409" i="5"/>
  <c r="AK401" i="5"/>
  <c r="AL401" i="5"/>
  <c r="AK387" i="5"/>
  <c r="AL387" i="5"/>
  <c r="AK376" i="5"/>
  <c r="AL376" i="5"/>
  <c r="AL343" i="5"/>
  <c r="AK343" i="5"/>
  <c r="AK264" i="5"/>
  <c r="AL264" i="5"/>
  <c r="AK406" i="5"/>
  <c r="AL406" i="5"/>
  <c r="AK394" i="5"/>
  <c r="AL394" i="5"/>
  <c r="AK366" i="5"/>
  <c r="AL366" i="5"/>
  <c r="AL349" i="5"/>
  <c r="AK349" i="5"/>
  <c r="AK336" i="5"/>
  <c r="AL336" i="5"/>
  <c r="AK439" i="5"/>
  <c r="AL439" i="5"/>
  <c r="AK426" i="5"/>
  <c r="AL426" i="5"/>
  <c r="AK412" i="5"/>
  <c r="AL412" i="5"/>
  <c r="AK390" i="5"/>
  <c r="AL390" i="5"/>
  <c r="AK379" i="5"/>
  <c r="AL379" i="5"/>
  <c r="AK365" i="5"/>
  <c r="AL365" i="5"/>
  <c r="AK356" i="5"/>
  <c r="AL356" i="5"/>
  <c r="AK344" i="5"/>
  <c r="AL344" i="5"/>
  <c r="AL307" i="5"/>
  <c r="AK307" i="5"/>
  <c r="AK212" i="5"/>
  <c r="AL212" i="5"/>
  <c r="AK340" i="5"/>
  <c r="AL340" i="5"/>
  <c r="AK325" i="5"/>
  <c r="AL325" i="5"/>
  <c r="AK308" i="5"/>
  <c r="AL308" i="5"/>
  <c r="AL292" i="5"/>
  <c r="AK292" i="5"/>
  <c r="AK277" i="5"/>
  <c r="AL277" i="5"/>
  <c r="AK267" i="5"/>
  <c r="AL267" i="5"/>
  <c r="AK250" i="5"/>
  <c r="AL250" i="5"/>
  <c r="AL190" i="5"/>
  <c r="AK190" i="5"/>
  <c r="AL320" i="5"/>
  <c r="AK320" i="5"/>
  <c r="AL309" i="5"/>
  <c r="AK309" i="5"/>
  <c r="AL293" i="5"/>
  <c r="AK293" i="5"/>
  <c r="AK275" i="5"/>
  <c r="AL275" i="5"/>
  <c r="AL257" i="5"/>
  <c r="AK257" i="5"/>
  <c r="AL249" i="5"/>
  <c r="AK249" i="5"/>
  <c r="AK177" i="5"/>
  <c r="AL177" i="5"/>
  <c r="AK326" i="5"/>
  <c r="AL326" i="5"/>
  <c r="AL305" i="5"/>
  <c r="AK305" i="5"/>
  <c r="AL290" i="5"/>
  <c r="AK290" i="5"/>
  <c r="AK269" i="5"/>
  <c r="AL269" i="5"/>
  <c r="AL247" i="5"/>
  <c r="AK247" i="5"/>
  <c r="AK211" i="5"/>
  <c r="AL211" i="5"/>
  <c r="AK232" i="5"/>
  <c r="AL232" i="5"/>
  <c r="AK223" i="5"/>
  <c r="AL223" i="5"/>
  <c r="AL209" i="5"/>
  <c r="AK209" i="5"/>
  <c r="AP193" i="5"/>
  <c r="AK193" i="5"/>
  <c r="AL193" i="5"/>
  <c r="AK181" i="5"/>
  <c r="AL181" i="5"/>
  <c r="AK239" i="5"/>
  <c r="AL239" i="5"/>
  <c r="AL215" i="5"/>
  <c r="AK215" i="5"/>
  <c r="AK167" i="5"/>
  <c r="AL167" i="5"/>
  <c r="AL238" i="5"/>
  <c r="AK238" i="5"/>
  <c r="AK222" i="5"/>
  <c r="AL222" i="5"/>
  <c r="AL210" i="5"/>
  <c r="AK210" i="5"/>
  <c r="AK194" i="5"/>
  <c r="AL194" i="5"/>
  <c r="AK142" i="5"/>
  <c r="AL142" i="5"/>
  <c r="AK200" i="5"/>
  <c r="AL200" i="5"/>
  <c r="AK184" i="5"/>
  <c r="AL184" i="5"/>
  <c r="AK165" i="5"/>
  <c r="AL165" i="5"/>
  <c r="AK179" i="5"/>
  <c r="AL179" i="5"/>
  <c r="AL186" i="5"/>
  <c r="AK186" i="5"/>
  <c r="AK174" i="5"/>
  <c r="AL174" i="5"/>
  <c r="AK159" i="5"/>
  <c r="AL159" i="5"/>
  <c r="AL154" i="5"/>
  <c r="AK154" i="5"/>
  <c r="AL144" i="5"/>
  <c r="AK144" i="5"/>
  <c r="AL129" i="5"/>
  <c r="AK129" i="5"/>
  <c r="AK110" i="5"/>
  <c r="AL110" i="5"/>
  <c r="AK86" i="5"/>
  <c r="AL86" i="5"/>
  <c r="AK153" i="5"/>
  <c r="AL153" i="5"/>
  <c r="AL136" i="5"/>
  <c r="AK136" i="5"/>
  <c r="AK127" i="5"/>
  <c r="AL127" i="5"/>
  <c r="AK87" i="5"/>
  <c r="AL87" i="5"/>
  <c r="AK149" i="5"/>
  <c r="AL149" i="5"/>
  <c r="AP128" i="5"/>
  <c r="AK128" i="5"/>
  <c r="AL128" i="5"/>
  <c r="AK118" i="5"/>
  <c r="AL118" i="5"/>
  <c r="AK106" i="5"/>
  <c r="AL106" i="5"/>
  <c r="AK100" i="5"/>
  <c r="AL100" i="5"/>
  <c r="AK92" i="5"/>
  <c r="AL92" i="5"/>
  <c r="AK109" i="5"/>
  <c r="AL109" i="5"/>
  <c r="AK94" i="5"/>
  <c r="AL94" i="5"/>
  <c r="AK78" i="5"/>
  <c r="AL78" i="5"/>
  <c r="AK67" i="5"/>
  <c r="AL67" i="5"/>
  <c r="AK74" i="5"/>
  <c r="AL74" i="5"/>
  <c r="AK77" i="5"/>
  <c r="AL77" i="5"/>
  <c r="AK79" i="5"/>
  <c r="AL79" i="5"/>
  <c r="AL62" i="5"/>
  <c r="AK62" i="5"/>
  <c r="AK50" i="5"/>
  <c r="AL50" i="5"/>
  <c r="AK27" i="5"/>
  <c r="AL27" i="5"/>
  <c r="AK55" i="5"/>
  <c r="AL55" i="5"/>
  <c r="AK69" i="5"/>
  <c r="AL69" i="5"/>
  <c r="AK42" i="5"/>
  <c r="AL42" i="5"/>
  <c r="AL28" i="5"/>
  <c r="AK28" i="5"/>
  <c r="AK44" i="5"/>
  <c r="AL44" i="5"/>
  <c r="AK30" i="5"/>
  <c r="AL30" i="5"/>
  <c r="AK43" i="5"/>
  <c r="AL43" i="5"/>
  <c r="AL25" i="5"/>
  <c r="AK25" i="5"/>
  <c r="AH19" i="5"/>
  <c r="AI19" i="5"/>
  <c r="AP19" i="5"/>
  <c r="AI527" i="5"/>
  <c r="AH527" i="5"/>
  <c r="AP527" i="5"/>
  <c r="AI470" i="5"/>
  <c r="AH470" i="5"/>
  <c r="AP470" i="5"/>
  <c r="AH560" i="5"/>
  <c r="AI560" i="5"/>
  <c r="AP560" i="5"/>
  <c r="AI529" i="5"/>
  <c r="AH529" i="5"/>
  <c r="AP529" i="5"/>
  <c r="AI461" i="5"/>
  <c r="AH461" i="5"/>
  <c r="AP461" i="5"/>
  <c r="AP428" i="5"/>
  <c r="AI428" i="5"/>
  <c r="AH428" i="5"/>
  <c r="AI389" i="5"/>
  <c r="AP389" i="5"/>
  <c r="AH389" i="5"/>
  <c r="AI540" i="5"/>
  <c r="AH540" i="5"/>
  <c r="AP540" i="5"/>
  <c r="AH552" i="5"/>
  <c r="AI552" i="5"/>
  <c r="AP552" i="5"/>
  <c r="AI519" i="5"/>
  <c r="AH519" i="5"/>
  <c r="AP519" i="5"/>
  <c r="AI455" i="5"/>
  <c r="AH455" i="5"/>
  <c r="AP455" i="5"/>
  <c r="AP547" i="5"/>
  <c r="AI547" i="5"/>
  <c r="AH547" i="5"/>
  <c r="AI535" i="5"/>
  <c r="AH535" i="5"/>
  <c r="AP535" i="5"/>
  <c r="AH506" i="5"/>
  <c r="AP506" i="5"/>
  <c r="AI506" i="5"/>
  <c r="AI476" i="5"/>
  <c r="AP476" i="5"/>
  <c r="AH476" i="5"/>
  <c r="AI392" i="5"/>
  <c r="AP392" i="5"/>
  <c r="AH392" i="5"/>
  <c r="AH557" i="5"/>
  <c r="AI557" i="5"/>
  <c r="AP557" i="5"/>
  <c r="AI549" i="5"/>
  <c r="AH549" i="5"/>
  <c r="AP549" i="5"/>
  <c r="AI531" i="5"/>
  <c r="AH531" i="5"/>
  <c r="AP531" i="5"/>
  <c r="AI512" i="5"/>
  <c r="AH512" i="5"/>
  <c r="AP512" i="5"/>
  <c r="AI498" i="5"/>
  <c r="AP498" i="5"/>
  <c r="AH498" i="5"/>
  <c r="AI477" i="5"/>
  <c r="AH477" i="5"/>
  <c r="AP477" i="5"/>
  <c r="AI462" i="5"/>
  <c r="AH462" i="5"/>
  <c r="AP462" i="5"/>
  <c r="AH452" i="5"/>
  <c r="AP452" i="5"/>
  <c r="AI452" i="5"/>
  <c r="AI363" i="5"/>
  <c r="AH363" i="5"/>
  <c r="AP363" i="5"/>
  <c r="AI517" i="5"/>
  <c r="AH517" i="5"/>
  <c r="AP517" i="5"/>
  <c r="AI497" i="5"/>
  <c r="AH497" i="5"/>
  <c r="AP497" i="5"/>
  <c r="AI485" i="5"/>
  <c r="AH485" i="5"/>
  <c r="AP485" i="5"/>
  <c r="AI464" i="5"/>
  <c r="AP464" i="5"/>
  <c r="AH464" i="5"/>
  <c r="AP448" i="5"/>
  <c r="AI448" i="5"/>
  <c r="AH448" i="5"/>
  <c r="AP434" i="5"/>
  <c r="AI434" i="5"/>
  <c r="AH434" i="5"/>
  <c r="AI384" i="5"/>
  <c r="AP384" i="5"/>
  <c r="AH384" i="5"/>
  <c r="AP294" i="5"/>
  <c r="AI294" i="5"/>
  <c r="AH294" i="5"/>
  <c r="AI513" i="5"/>
  <c r="AH513" i="5"/>
  <c r="AP513" i="5"/>
  <c r="AH499" i="5"/>
  <c r="AP499" i="5"/>
  <c r="AI499" i="5"/>
  <c r="AH488" i="5"/>
  <c r="AP488" i="5"/>
  <c r="AI488" i="5"/>
  <c r="AI466" i="5"/>
  <c r="AP466" i="5"/>
  <c r="AH466" i="5"/>
  <c r="AP443" i="5"/>
  <c r="AI443" i="5"/>
  <c r="AH443" i="5"/>
  <c r="AI419" i="5"/>
  <c r="AP419" i="5"/>
  <c r="AH419" i="5"/>
  <c r="AI350" i="5"/>
  <c r="AH350" i="5"/>
  <c r="AP350" i="5"/>
  <c r="AH305" i="5"/>
  <c r="AP305" i="5"/>
  <c r="AI305" i="5"/>
  <c r="AP418" i="5"/>
  <c r="AI418" i="5"/>
  <c r="AH418" i="5"/>
  <c r="AI404" i="5"/>
  <c r="AH404" i="5"/>
  <c r="AP404" i="5"/>
  <c r="AI383" i="5"/>
  <c r="AP383" i="5"/>
  <c r="AH383" i="5"/>
  <c r="AP361" i="5"/>
  <c r="AI361" i="5"/>
  <c r="AH361" i="5"/>
  <c r="AI351" i="5"/>
  <c r="AP351" i="5"/>
  <c r="AH351" i="5"/>
  <c r="AH202" i="5"/>
  <c r="AI202" i="5"/>
  <c r="AP202" i="5"/>
  <c r="AI405" i="5"/>
  <c r="AP405" i="5"/>
  <c r="AH405" i="5"/>
  <c r="AI387" i="5"/>
  <c r="AP387" i="5"/>
  <c r="AH387" i="5"/>
  <c r="AI372" i="5"/>
  <c r="AH372" i="5"/>
  <c r="AP372" i="5"/>
  <c r="AI355" i="5"/>
  <c r="AH355" i="5"/>
  <c r="AP355" i="5"/>
  <c r="AI326" i="5"/>
  <c r="AH326" i="5"/>
  <c r="AP326" i="5"/>
  <c r="AH267" i="5"/>
  <c r="AI267" i="5"/>
  <c r="AP267" i="5"/>
  <c r="AI437" i="5"/>
  <c r="AP437" i="5"/>
  <c r="AH437" i="5"/>
  <c r="AI424" i="5"/>
  <c r="AH424" i="5"/>
  <c r="AP424" i="5"/>
  <c r="AI406" i="5"/>
  <c r="AH406" i="5"/>
  <c r="AP406" i="5"/>
  <c r="AI398" i="5"/>
  <c r="AH398" i="5"/>
  <c r="AP398" i="5"/>
  <c r="AI382" i="5"/>
  <c r="AH382" i="5"/>
  <c r="AP382" i="5"/>
  <c r="AI364" i="5"/>
  <c r="AP364" i="5"/>
  <c r="AH364" i="5"/>
  <c r="AH290" i="5"/>
  <c r="AP290" i="5"/>
  <c r="AI290" i="5"/>
  <c r="AI359" i="5"/>
  <c r="AP359" i="5"/>
  <c r="AH359" i="5"/>
  <c r="AI348" i="5"/>
  <c r="AH348" i="5"/>
  <c r="AP348" i="5"/>
  <c r="AI338" i="5"/>
  <c r="AH338" i="5"/>
  <c r="AP338" i="5"/>
  <c r="AH318" i="5"/>
  <c r="AP318" i="5"/>
  <c r="AI318" i="5"/>
  <c r="AP300" i="5"/>
  <c r="AH300" i="5"/>
  <c r="AI300" i="5"/>
  <c r="AP285" i="5"/>
  <c r="AI285" i="5"/>
  <c r="AH285" i="5"/>
  <c r="AI264" i="5"/>
  <c r="AH264" i="5"/>
  <c r="AP264" i="5"/>
  <c r="AH244" i="5"/>
  <c r="AI244" i="5"/>
  <c r="AP244" i="5"/>
  <c r="AH117" i="5"/>
  <c r="AI117" i="5"/>
  <c r="AP319" i="5"/>
  <c r="AI319" i="5"/>
  <c r="AH319" i="5"/>
  <c r="AP304" i="5"/>
  <c r="AI304" i="5"/>
  <c r="AH304" i="5"/>
  <c r="AH289" i="5"/>
  <c r="AP289" i="5"/>
  <c r="AI289" i="5"/>
  <c r="AH278" i="5"/>
  <c r="AI278" i="5"/>
  <c r="AP278" i="5"/>
  <c r="AP258" i="5"/>
  <c r="AH258" i="5"/>
  <c r="AI258" i="5"/>
  <c r="AP219" i="5"/>
  <c r="AH219" i="5"/>
  <c r="AI219" i="5"/>
  <c r="AI332" i="5"/>
  <c r="AP332" i="5"/>
  <c r="AH332" i="5"/>
  <c r="AP315" i="5"/>
  <c r="AH315" i="5"/>
  <c r="AI315" i="5"/>
  <c r="AH306" i="5"/>
  <c r="AP306" i="5"/>
  <c r="AI306" i="5"/>
  <c r="AP287" i="5"/>
  <c r="AH287" i="5"/>
  <c r="AI287" i="5"/>
  <c r="AH274" i="5"/>
  <c r="AI274" i="5"/>
  <c r="AP274" i="5"/>
  <c r="AI260" i="5"/>
  <c r="AH260" i="5"/>
  <c r="AP260" i="5"/>
  <c r="AH252" i="5"/>
  <c r="AI252" i="5"/>
  <c r="AP252" i="5"/>
  <c r="AH214" i="5"/>
  <c r="AI214" i="5"/>
  <c r="AP214" i="5"/>
  <c r="AH235" i="5"/>
  <c r="AI235" i="5"/>
  <c r="AP235" i="5"/>
  <c r="AI222" i="5"/>
  <c r="AH222" i="5"/>
  <c r="AP222" i="5"/>
  <c r="AH212" i="5"/>
  <c r="AI212" i="5"/>
  <c r="AP212" i="5"/>
  <c r="AH166" i="5"/>
  <c r="AI166" i="5"/>
  <c r="AP166" i="5"/>
  <c r="AI232" i="5"/>
  <c r="AH232" i="5"/>
  <c r="AP232" i="5"/>
  <c r="AI216" i="5"/>
  <c r="AH216" i="5"/>
  <c r="AP216" i="5"/>
  <c r="AH192" i="5"/>
  <c r="AI192" i="5"/>
  <c r="AP192" i="5"/>
  <c r="AH245" i="5"/>
  <c r="AI245" i="5"/>
  <c r="AP245" i="5"/>
  <c r="AH223" i="5"/>
  <c r="AP223" i="5"/>
  <c r="AI223" i="5"/>
  <c r="AI193" i="5"/>
  <c r="AH193" i="5"/>
  <c r="AH201" i="5"/>
  <c r="AP201" i="5"/>
  <c r="AI201" i="5"/>
  <c r="AH194" i="5"/>
  <c r="AI194" i="5"/>
  <c r="AP194" i="5"/>
  <c r="AH185" i="5"/>
  <c r="AI185" i="5"/>
  <c r="AP185" i="5"/>
  <c r="AH162" i="5"/>
  <c r="AI162" i="5"/>
  <c r="AP162" i="5"/>
  <c r="AP140" i="5"/>
  <c r="AH140" i="5"/>
  <c r="AI140" i="5"/>
  <c r="AH184" i="5"/>
  <c r="AI184" i="5"/>
  <c r="AP184" i="5"/>
  <c r="AI169" i="5"/>
  <c r="AH169" i="5"/>
  <c r="AP169" i="5"/>
  <c r="AI149" i="5"/>
  <c r="AH149" i="5"/>
  <c r="AP149" i="5"/>
  <c r="AH112" i="5"/>
  <c r="AI112" i="5"/>
  <c r="AP112" i="5"/>
  <c r="AH178" i="5"/>
  <c r="AI178" i="5"/>
  <c r="AP178" i="5"/>
  <c r="AH158" i="5"/>
  <c r="AP158" i="5"/>
  <c r="AI158" i="5"/>
  <c r="AH144" i="5"/>
  <c r="AP144" i="5"/>
  <c r="AI144" i="5"/>
  <c r="AI116" i="5"/>
  <c r="AH116" i="5"/>
  <c r="AP116" i="5"/>
  <c r="AH146" i="5"/>
  <c r="AI146" i="5"/>
  <c r="AP146" i="5"/>
  <c r="AH134" i="5"/>
  <c r="AP134" i="5"/>
  <c r="AI134" i="5"/>
  <c r="AH119" i="5"/>
  <c r="AI119" i="5"/>
  <c r="AP99" i="5"/>
  <c r="AH99" i="5"/>
  <c r="AI99" i="5"/>
  <c r="AH148" i="5"/>
  <c r="AI148" i="5"/>
  <c r="AP148" i="5"/>
  <c r="AI104" i="5"/>
  <c r="AH104" i="5"/>
  <c r="AP104" i="5"/>
  <c r="AH143" i="5"/>
  <c r="AI143" i="5"/>
  <c r="AP143" i="5"/>
  <c r="AH127" i="5"/>
  <c r="AI127" i="5"/>
  <c r="AI113" i="5"/>
  <c r="AH113" i="5"/>
  <c r="AP113" i="5"/>
  <c r="AI101" i="5"/>
  <c r="AH101" i="5"/>
  <c r="AP101" i="5"/>
  <c r="AI82" i="5"/>
  <c r="AP82" i="5"/>
  <c r="AH82" i="5"/>
  <c r="AI105" i="5"/>
  <c r="AH105" i="5"/>
  <c r="AP105" i="5"/>
  <c r="AH97" i="5"/>
  <c r="AI97" i="5"/>
  <c r="AP97" i="5"/>
  <c r="AI94" i="5"/>
  <c r="AH94" i="5"/>
  <c r="AP94" i="5"/>
  <c r="AI81" i="5"/>
  <c r="AH81" i="5"/>
  <c r="AP81" i="5"/>
  <c r="AH72" i="5"/>
  <c r="AI72" i="5"/>
  <c r="AP72" i="5"/>
  <c r="AI70" i="5"/>
  <c r="AP70" i="5"/>
  <c r="AH70" i="5"/>
  <c r="AI26" i="5"/>
  <c r="AH26" i="5"/>
  <c r="AP26" i="5"/>
  <c r="AH58" i="5"/>
  <c r="AP58" i="5"/>
  <c r="AI58" i="5"/>
  <c r="AH67" i="5"/>
  <c r="AI67" i="5"/>
  <c r="AP67" i="5"/>
  <c r="AH56" i="5"/>
  <c r="AI56" i="5"/>
  <c r="AP56" i="5"/>
  <c r="AI57" i="5"/>
  <c r="AH57" i="5"/>
  <c r="AP57" i="5"/>
  <c r="AH37" i="5"/>
  <c r="AI37" i="5"/>
  <c r="AP37" i="5"/>
  <c r="AH48" i="5"/>
  <c r="AP48" i="5"/>
  <c r="AI48" i="5"/>
  <c r="AH36" i="5"/>
  <c r="AI36" i="5"/>
  <c r="AP36" i="5"/>
  <c r="AI45" i="5"/>
  <c r="AH45" i="5"/>
  <c r="AP45" i="5"/>
  <c r="AP28" i="5"/>
  <c r="AI28" i="5"/>
  <c r="AH28" i="5"/>
  <c r="AP44" i="5"/>
  <c r="AH44" i="5"/>
  <c r="AI44" i="5"/>
  <c r="AI30" i="5"/>
  <c r="AH30" i="5"/>
  <c r="AP30" i="5"/>
  <c r="AN19" i="5"/>
  <c r="AO19" i="5"/>
  <c r="AN464" i="5"/>
  <c r="AO464" i="5"/>
  <c r="AN559" i="5"/>
  <c r="AO559" i="5"/>
  <c r="AN541" i="5"/>
  <c r="AO541" i="5"/>
  <c r="AO501" i="5"/>
  <c r="AN501" i="5"/>
  <c r="AO407" i="5"/>
  <c r="AN407" i="5"/>
  <c r="AO544" i="5"/>
  <c r="AN544" i="5"/>
  <c r="AO448" i="5"/>
  <c r="AN448" i="5"/>
  <c r="AO558" i="5"/>
  <c r="AN558" i="5"/>
  <c r="AN548" i="5"/>
  <c r="AO548" i="5"/>
  <c r="AO529" i="5"/>
  <c r="AN529" i="5"/>
  <c r="AO513" i="5"/>
  <c r="AN513" i="5"/>
  <c r="AN425" i="5"/>
  <c r="AO425" i="5"/>
  <c r="AO229" i="5"/>
  <c r="AN229" i="5"/>
  <c r="AN545" i="5"/>
  <c r="AO545" i="5"/>
  <c r="AN522" i="5"/>
  <c r="AO522" i="5"/>
  <c r="AN509" i="5"/>
  <c r="AO509" i="5"/>
  <c r="AN502" i="5"/>
  <c r="AO502" i="5"/>
  <c r="AO494" i="5"/>
  <c r="AN494" i="5"/>
  <c r="AN488" i="5"/>
  <c r="AO488" i="5"/>
  <c r="AN479" i="5"/>
  <c r="AO479" i="5"/>
  <c r="AN466" i="5"/>
  <c r="AO466" i="5"/>
  <c r="AO453" i="5"/>
  <c r="AN453" i="5"/>
  <c r="AN441" i="5"/>
  <c r="AO441" i="5"/>
  <c r="AO405" i="5"/>
  <c r="AN405" i="5"/>
  <c r="AO353" i="5"/>
  <c r="AN353" i="5"/>
  <c r="AO516" i="5"/>
  <c r="AN516" i="5"/>
  <c r="AO507" i="5"/>
  <c r="AN507" i="5"/>
  <c r="AO480" i="5"/>
  <c r="AN480" i="5"/>
  <c r="AN468" i="5"/>
  <c r="AO468" i="5"/>
  <c r="AO461" i="5"/>
  <c r="AN461" i="5"/>
  <c r="AO429" i="5"/>
  <c r="AN429" i="5"/>
  <c r="AN403" i="5"/>
  <c r="AO403" i="5"/>
  <c r="AO382" i="5"/>
  <c r="AN382" i="5"/>
  <c r="AO531" i="5"/>
  <c r="AN531" i="5"/>
  <c r="AN504" i="5"/>
  <c r="AO504" i="5"/>
  <c r="AO478" i="5"/>
  <c r="AN478" i="5"/>
  <c r="AN460" i="5"/>
  <c r="AO460" i="5"/>
  <c r="AN452" i="5"/>
  <c r="AO452" i="5"/>
  <c r="AN368" i="5"/>
  <c r="AO368" i="5"/>
  <c r="AN416" i="5"/>
  <c r="AO416" i="5"/>
  <c r="AN398" i="5"/>
  <c r="AO398" i="5"/>
  <c r="AN378" i="5"/>
  <c r="AO378" i="5"/>
  <c r="AN364" i="5"/>
  <c r="AO364" i="5"/>
  <c r="AO342" i="5"/>
  <c r="AN342" i="5"/>
  <c r="AN333" i="5"/>
  <c r="AO333" i="5"/>
  <c r="AO280" i="5"/>
  <c r="AN280" i="5"/>
  <c r="AN245" i="5"/>
  <c r="AO245" i="5"/>
  <c r="AO417" i="5"/>
  <c r="AN417" i="5"/>
  <c r="AO399" i="5"/>
  <c r="AN399" i="5"/>
  <c r="AN386" i="5"/>
  <c r="AO386" i="5"/>
  <c r="AN375" i="5"/>
  <c r="AO375" i="5"/>
  <c r="AO361" i="5"/>
  <c r="AN361" i="5"/>
  <c r="AN345" i="5"/>
  <c r="AO345" i="5"/>
  <c r="AO277" i="5"/>
  <c r="AN277" i="5"/>
  <c r="AN440" i="5"/>
  <c r="AO440" i="5"/>
  <c r="AN428" i="5"/>
  <c r="AO428" i="5"/>
  <c r="AN411" i="5"/>
  <c r="AO411" i="5"/>
  <c r="AO393" i="5"/>
  <c r="AN393" i="5"/>
  <c r="AN373" i="5"/>
  <c r="AO373" i="5"/>
  <c r="AO352" i="5"/>
  <c r="AN352" i="5"/>
  <c r="AO316" i="5"/>
  <c r="AN316" i="5"/>
  <c r="AO218" i="5"/>
  <c r="AN218" i="5"/>
  <c r="AN351" i="5"/>
  <c r="AO351" i="5"/>
  <c r="AN339" i="5"/>
  <c r="AO339" i="5"/>
  <c r="AO329" i="5"/>
  <c r="AN329" i="5"/>
  <c r="AN315" i="5"/>
  <c r="AO315" i="5"/>
  <c r="AN309" i="5"/>
  <c r="AO309" i="5"/>
  <c r="AO295" i="5"/>
  <c r="AN295" i="5"/>
  <c r="AN268" i="5"/>
  <c r="AO268" i="5"/>
  <c r="AO255" i="5"/>
  <c r="AN255" i="5"/>
  <c r="AO241" i="5"/>
  <c r="AN241" i="5"/>
  <c r="AN188" i="5"/>
  <c r="AO188" i="5"/>
  <c r="AN317" i="5"/>
  <c r="AO317" i="5"/>
  <c r="AO290" i="5"/>
  <c r="AN290" i="5"/>
  <c r="AO269" i="5"/>
  <c r="AN269" i="5"/>
  <c r="AO247" i="5"/>
  <c r="AN247" i="5"/>
  <c r="AN323" i="5"/>
  <c r="AO323" i="5"/>
  <c r="AO303" i="5"/>
  <c r="AN303" i="5"/>
  <c r="AN288" i="5"/>
  <c r="AO288" i="5"/>
  <c r="AO279" i="5"/>
  <c r="AN279" i="5"/>
  <c r="AN266" i="5"/>
  <c r="AO266" i="5"/>
  <c r="AO246" i="5"/>
  <c r="AN246" i="5"/>
  <c r="AN191" i="5"/>
  <c r="AO191" i="5"/>
  <c r="AO237" i="5"/>
  <c r="AN237" i="5"/>
  <c r="AN202" i="5"/>
  <c r="AO202" i="5"/>
  <c r="AO184" i="5"/>
  <c r="AN184" i="5"/>
  <c r="AO242" i="5"/>
  <c r="AN242" i="5"/>
  <c r="AN226" i="5"/>
  <c r="AO226" i="5"/>
  <c r="AN214" i="5"/>
  <c r="AO214" i="5"/>
  <c r="AO196" i="5"/>
  <c r="AN196" i="5"/>
  <c r="AO179" i="5"/>
  <c r="AN179" i="5"/>
  <c r="AO230" i="5"/>
  <c r="AN230" i="5"/>
  <c r="AN213" i="5"/>
  <c r="AO213" i="5"/>
  <c r="AO190" i="5"/>
  <c r="AN190" i="5"/>
  <c r="AO136" i="5"/>
  <c r="AN136" i="5"/>
  <c r="AO201" i="5"/>
  <c r="AN201" i="5"/>
  <c r="AN183" i="5"/>
  <c r="AO183" i="5"/>
  <c r="AN158" i="5"/>
  <c r="AO158" i="5"/>
  <c r="AO134" i="5"/>
  <c r="AN134" i="5"/>
  <c r="AN180" i="5"/>
  <c r="AO180" i="5"/>
  <c r="AN166" i="5"/>
  <c r="AO166" i="5"/>
  <c r="AN150" i="5"/>
  <c r="AO150" i="5"/>
  <c r="AO177" i="5"/>
  <c r="AN177" i="5"/>
  <c r="AO163" i="5"/>
  <c r="AN163" i="5"/>
  <c r="AO101" i="5"/>
  <c r="AN101" i="5"/>
  <c r="AO139" i="5"/>
  <c r="AN139" i="5"/>
  <c r="AN119" i="5"/>
  <c r="AO119" i="5"/>
  <c r="AN154" i="5"/>
  <c r="AO154" i="5"/>
  <c r="AN138" i="5"/>
  <c r="AO138" i="5"/>
  <c r="AN126" i="5"/>
  <c r="AO126" i="5"/>
  <c r="AN117" i="5"/>
  <c r="AO117" i="5"/>
  <c r="AN100" i="5"/>
  <c r="AO100" i="5"/>
  <c r="AO144" i="5"/>
  <c r="AN144" i="5"/>
  <c r="AN121" i="5"/>
  <c r="AO121" i="5"/>
  <c r="AN94" i="5"/>
  <c r="AO94" i="5"/>
  <c r="AO86" i="5"/>
  <c r="AN86" i="5"/>
  <c r="AO74" i="5"/>
  <c r="AN74" i="5"/>
  <c r="AO95" i="5"/>
  <c r="AN95" i="5"/>
  <c r="AO89" i="5"/>
  <c r="AN89" i="5"/>
  <c r="AO84" i="5"/>
  <c r="AN84" i="5"/>
  <c r="AO76" i="5"/>
  <c r="AN76" i="5"/>
  <c r="AN59" i="5"/>
  <c r="AO59" i="5"/>
  <c r="AN75" i="5"/>
  <c r="AO75" i="5"/>
  <c r="AO78" i="5"/>
  <c r="AN78" i="5"/>
  <c r="AO54" i="5"/>
  <c r="AN54" i="5"/>
  <c r="AN55" i="5"/>
  <c r="AO55" i="5"/>
  <c r="AN52" i="5"/>
  <c r="AO52" i="5"/>
  <c r="AO21" i="5"/>
  <c r="AN21" i="5"/>
  <c r="AO64" i="5"/>
  <c r="AN64" i="5"/>
  <c r="AO35" i="5"/>
  <c r="AN35" i="5"/>
  <c r="AO44" i="5"/>
  <c r="AN44" i="5"/>
  <c r="AO30" i="5"/>
  <c r="AN30" i="5"/>
  <c r="AN31" i="5"/>
  <c r="AO31" i="5"/>
  <c r="AN22" i="5"/>
  <c r="AO22" i="5"/>
  <c r="AN34" i="5"/>
  <c r="AO34" i="5"/>
  <c r="AP127" i="5"/>
  <c r="B26" i="5"/>
  <c r="B13" i="5"/>
  <c r="B21" i="3"/>
  <c r="B22" i="3" s="1"/>
  <c r="B11" i="2"/>
  <c r="H15" i="1" s="1"/>
  <c r="B18" i="2"/>
  <c r="B40" i="2" s="1"/>
  <c r="B269" i="2" s="1"/>
  <c r="B17" i="2"/>
  <c r="B184" i="2" l="1"/>
  <c r="AM134" i="4"/>
  <c r="AM118" i="4"/>
  <c r="AM70" i="4"/>
  <c r="AM54" i="4"/>
  <c r="AM141" i="4"/>
  <c r="AM125" i="4"/>
  <c r="AM77" i="4"/>
  <c r="AM61" i="4"/>
  <c r="AM143" i="4"/>
  <c r="AM127" i="4"/>
  <c r="AM79" i="4"/>
  <c r="AM63" i="4"/>
  <c r="AM148" i="4"/>
  <c r="AM116" i="4"/>
  <c r="AM84" i="4"/>
  <c r="AM52" i="4"/>
  <c r="AM20" i="4"/>
  <c r="AM27" i="4"/>
  <c r="AM155" i="4"/>
  <c r="AM139" i="4"/>
  <c r="AM123" i="4"/>
  <c r="AM107" i="4"/>
  <c r="AM91" i="4"/>
  <c r="AM75" i="4"/>
  <c r="AM59" i="4"/>
  <c r="AM43" i="4"/>
  <c r="AM10" i="4"/>
  <c r="AM144" i="4"/>
  <c r="AM128" i="4"/>
  <c r="AM112" i="4"/>
  <c r="AM96" i="4"/>
  <c r="AM80" i="4"/>
  <c r="AM64" i="4"/>
  <c r="AM48" i="4"/>
  <c r="AM12" i="4"/>
  <c r="AM146" i="4"/>
  <c r="AM130" i="4"/>
  <c r="AM114" i="4"/>
  <c r="AM98" i="4"/>
  <c r="AM82" i="4"/>
  <c r="AM66" i="4"/>
  <c r="AM50" i="4"/>
  <c r="AM24" i="4"/>
  <c r="AM153" i="4"/>
  <c r="AM137" i="4"/>
  <c r="AM121" i="4"/>
  <c r="AM105" i="4"/>
  <c r="AM89" i="4"/>
  <c r="AM73" i="4"/>
  <c r="AM57" i="4"/>
  <c r="AM34" i="4"/>
  <c r="AM28" i="4"/>
  <c r="AM37" i="4"/>
  <c r="AM29" i="4"/>
  <c r="AM21" i="4"/>
  <c r="AM102" i="4"/>
  <c r="AM40" i="4"/>
  <c r="AM109" i="4"/>
  <c r="AM45" i="4"/>
  <c r="AM111" i="4"/>
  <c r="AM47" i="4"/>
  <c r="AM132" i="4"/>
  <c r="AM68" i="4"/>
  <c r="AM35" i="4"/>
  <c r="AM19" i="4"/>
  <c r="AM7" i="4"/>
  <c r="AM13" i="4"/>
  <c r="AM147" i="4"/>
  <c r="AM131" i="4"/>
  <c r="AM115" i="4"/>
  <c r="AM99" i="4"/>
  <c r="AM83" i="4"/>
  <c r="AM67" i="4"/>
  <c r="AM51" i="4"/>
  <c r="AM26" i="4"/>
  <c r="AM152" i="4"/>
  <c r="AM136" i="4"/>
  <c r="AM120" i="4"/>
  <c r="AM104" i="4"/>
  <c r="AM88" i="4"/>
  <c r="AM72" i="4"/>
  <c r="AM56" i="4"/>
  <c r="AM32" i="4"/>
  <c r="AM154" i="4"/>
  <c r="AM138" i="4"/>
  <c r="AM122" i="4"/>
  <c r="AM106" i="4"/>
  <c r="AM90" i="4"/>
  <c r="AM74" i="4"/>
  <c r="AM58" i="4"/>
  <c r="AM42" i="4"/>
  <c r="AM11" i="4"/>
  <c r="AM145" i="4"/>
  <c r="AM129" i="4"/>
  <c r="AM113" i="4"/>
  <c r="AM97" i="4"/>
  <c r="AM81" i="4"/>
  <c r="AM65" i="4"/>
  <c r="AM49" i="4"/>
  <c r="AM16" i="4"/>
  <c r="AM41" i="4"/>
  <c r="AM33" i="4"/>
  <c r="AM25" i="4"/>
  <c r="AM17" i="4"/>
  <c r="AM150" i="4"/>
  <c r="AM86" i="4"/>
  <c r="AM157" i="4"/>
  <c r="AM93" i="4"/>
  <c r="AM9" i="4"/>
  <c r="AM95" i="4"/>
  <c r="AM14" i="4"/>
  <c r="AM100" i="4"/>
  <c r="AM30" i="4"/>
  <c r="AM8" i="4"/>
  <c r="AM142" i="4"/>
  <c r="AM126" i="4"/>
  <c r="AM110" i="4"/>
  <c r="AM94" i="4"/>
  <c r="AM78" i="4"/>
  <c r="AM62" i="4"/>
  <c r="AM46" i="4"/>
  <c r="AM22" i="4"/>
  <c r="AM149" i="4"/>
  <c r="AM133" i="4"/>
  <c r="AM117" i="4"/>
  <c r="AM101" i="4"/>
  <c r="AM85" i="4"/>
  <c r="AM69" i="4"/>
  <c r="AM53" i="4"/>
  <c r="AM18" i="4"/>
  <c r="AM151" i="4"/>
  <c r="AM135" i="4"/>
  <c r="AM119" i="4"/>
  <c r="AM103" i="4"/>
  <c r="AM87" i="4"/>
  <c r="AM71" i="4"/>
  <c r="AM55" i="4"/>
  <c r="AM38" i="4"/>
  <c r="AM156" i="4"/>
  <c r="AM140" i="4"/>
  <c r="AM124" i="4"/>
  <c r="AM108" i="4"/>
  <c r="AM92" i="4"/>
  <c r="AM76" i="4"/>
  <c r="AM60" i="4"/>
  <c r="AM44" i="4"/>
  <c r="AM36" i="4"/>
  <c r="AM39" i="4"/>
  <c r="AM31" i="4"/>
  <c r="AM23" i="4"/>
  <c r="AM15" i="4"/>
  <c r="B53" i="10"/>
  <c r="B55" i="10" s="1"/>
  <c r="Z263" i="10" s="1"/>
  <c r="B228" i="2"/>
  <c r="B267" i="2"/>
  <c r="AH13" i="10"/>
  <c r="AI13" i="10"/>
  <c r="AL12" i="10"/>
  <c r="AK12" i="10"/>
  <c r="AK13" i="10"/>
  <c r="AL13" i="10"/>
  <c r="AR12" i="10"/>
  <c r="AQ12" i="10"/>
  <c r="AR13" i="10"/>
  <c r="AQ13" i="10"/>
  <c r="AI12" i="10"/>
  <c r="AH12" i="10"/>
  <c r="AO13" i="10"/>
  <c r="AN13" i="10"/>
  <c r="AS13" i="10"/>
  <c r="AN12" i="10"/>
  <c r="AO12" i="10"/>
  <c r="AS12" i="10"/>
  <c r="AM10" i="10"/>
  <c r="AJ10" i="10"/>
  <c r="AG10" i="10"/>
  <c r="T10" i="10"/>
  <c r="AP10" i="10"/>
  <c r="V7" i="10"/>
  <c r="U7" i="10"/>
  <c r="B17" i="10"/>
  <c r="B45" i="10" s="1"/>
  <c r="B271" i="2"/>
  <c r="U13" i="10"/>
  <c r="V13" i="10"/>
  <c r="V12" i="10"/>
  <c r="U12" i="10"/>
  <c r="V8" i="10"/>
  <c r="U8" i="10"/>
  <c r="U436" i="10"/>
  <c r="V436" i="10"/>
  <c r="V256" i="10"/>
  <c r="U256" i="10"/>
  <c r="V69" i="10"/>
  <c r="U69" i="10"/>
  <c r="V40" i="10"/>
  <c r="U40" i="10"/>
  <c r="V405" i="10"/>
  <c r="U405" i="10"/>
  <c r="U353" i="10"/>
  <c r="V353" i="10"/>
  <c r="U169" i="10"/>
  <c r="V169" i="10"/>
  <c r="V150" i="10"/>
  <c r="U150" i="10"/>
  <c r="U45" i="10"/>
  <c r="V45" i="10"/>
  <c r="U282" i="10"/>
  <c r="V282" i="10"/>
  <c r="U480" i="10"/>
  <c r="V480" i="10"/>
  <c r="U290" i="10"/>
  <c r="V290" i="10"/>
  <c r="V128" i="10"/>
  <c r="U128" i="10"/>
  <c r="V68" i="10"/>
  <c r="U68" i="10"/>
  <c r="V130" i="10"/>
  <c r="U130" i="10"/>
  <c r="U305" i="10"/>
  <c r="V305" i="10"/>
  <c r="V513" i="10"/>
  <c r="U513" i="10"/>
  <c r="U350" i="10"/>
  <c r="V350" i="10"/>
  <c r="U262" i="10"/>
  <c r="V262" i="10"/>
  <c r="V300" i="10"/>
  <c r="U300" i="10"/>
  <c r="V126" i="10"/>
  <c r="U126" i="10"/>
  <c r="U83" i="10"/>
  <c r="V83" i="10"/>
  <c r="V203" i="10"/>
  <c r="U203" i="10"/>
  <c r="V121" i="10"/>
  <c r="U121" i="10"/>
  <c r="V183" i="10"/>
  <c r="U183" i="10"/>
  <c r="U253" i="10"/>
  <c r="V253" i="10"/>
  <c r="U277" i="10"/>
  <c r="V277" i="10"/>
  <c r="V312" i="10"/>
  <c r="U312" i="10"/>
  <c r="U119" i="10"/>
  <c r="V119" i="10"/>
  <c r="V211" i="10"/>
  <c r="U211" i="10"/>
  <c r="V323" i="10"/>
  <c r="U323" i="10"/>
  <c r="V371" i="10"/>
  <c r="U371" i="10"/>
  <c r="U406" i="10"/>
  <c r="V406" i="10"/>
  <c r="U382" i="10"/>
  <c r="V382" i="10"/>
  <c r="V466" i="10"/>
  <c r="U466" i="10"/>
  <c r="V508" i="10"/>
  <c r="U508" i="10"/>
  <c r="V541" i="10"/>
  <c r="U541" i="10"/>
  <c r="AT454" i="10"/>
  <c r="AU454" i="10"/>
  <c r="AT199" i="10"/>
  <c r="AU199" i="10"/>
  <c r="AU250" i="10"/>
  <c r="AT250" i="10"/>
  <c r="AU148" i="10"/>
  <c r="AT148" i="10"/>
  <c r="AU214" i="10"/>
  <c r="AT214" i="10"/>
  <c r="AU475" i="10"/>
  <c r="AT475" i="10"/>
  <c r="AU409" i="10"/>
  <c r="AT409" i="10"/>
  <c r="AT416" i="10"/>
  <c r="AU416" i="10"/>
  <c r="AU469" i="10"/>
  <c r="AT469" i="10"/>
  <c r="AU134" i="10"/>
  <c r="AT134" i="10"/>
  <c r="AT378" i="10"/>
  <c r="AU378" i="10"/>
  <c r="AT227" i="10"/>
  <c r="AU227" i="10"/>
  <c r="AT255" i="10"/>
  <c r="AU255" i="10"/>
  <c r="AU160" i="10"/>
  <c r="AT160" i="10"/>
  <c r="AU546" i="10"/>
  <c r="AT546" i="10"/>
  <c r="AU190" i="10"/>
  <c r="AT190" i="10"/>
  <c r="AU460" i="10"/>
  <c r="AT460" i="10"/>
  <c r="AT549" i="10"/>
  <c r="AU549" i="10"/>
  <c r="AU485" i="10"/>
  <c r="AT485" i="10"/>
  <c r="AT239" i="10"/>
  <c r="AU239" i="10"/>
  <c r="AU274" i="10"/>
  <c r="AT274" i="10"/>
  <c r="AU58" i="10"/>
  <c r="AT58" i="10"/>
  <c r="AU189" i="10"/>
  <c r="AT189" i="10"/>
  <c r="AU483" i="10"/>
  <c r="AT483" i="10"/>
  <c r="AU353" i="10"/>
  <c r="AT353" i="10"/>
  <c r="AT478" i="10"/>
  <c r="AU478" i="10"/>
  <c r="AU450" i="10"/>
  <c r="AT450" i="10"/>
  <c r="AU350" i="10"/>
  <c r="AT350" i="10"/>
  <c r="AT224" i="10"/>
  <c r="AU224" i="10"/>
  <c r="AT514" i="10"/>
  <c r="AU514" i="10"/>
  <c r="AU142" i="10"/>
  <c r="AT142" i="10"/>
  <c r="AU456" i="10"/>
  <c r="AT456" i="10"/>
  <c r="AU535" i="10"/>
  <c r="AT535" i="10"/>
  <c r="AU497" i="10"/>
  <c r="AT497" i="10"/>
  <c r="V505" i="10"/>
  <c r="U505" i="10"/>
  <c r="V419" i="10"/>
  <c r="U419" i="10"/>
  <c r="V393" i="10"/>
  <c r="U393" i="10"/>
  <c r="V132" i="10"/>
  <c r="U132" i="10"/>
  <c r="V100" i="10"/>
  <c r="U100" i="10"/>
  <c r="V280" i="10"/>
  <c r="U280" i="10"/>
  <c r="V248" i="10"/>
  <c r="U248" i="10"/>
  <c r="V39" i="10"/>
  <c r="U39" i="10"/>
  <c r="V196" i="10"/>
  <c r="U196" i="10"/>
  <c r="V166" i="10"/>
  <c r="U166" i="10"/>
  <c r="V106" i="10"/>
  <c r="U106" i="10"/>
  <c r="V49" i="10"/>
  <c r="U49" i="10"/>
  <c r="U559" i="10"/>
  <c r="V559" i="10"/>
  <c r="U515" i="10"/>
  <c r="V515" i="10"/>
  <c r="V516" i="10"/>
  <c r="U516" i="10"/>
  <c r="U494" i="10"/>
  <c r="V494" i="10"/>
  <c r="V415" i="10"/>
  <c r="U415" i="10"/>
  <c r="V389" i="10"/>
  <c r="U389" i="10"/>
  <c r="U338" i="10"/>
  <c r="V338" i="10"/>
  <c r="V465" i="10"/>
  <c r="U465" i="10"/>
  <c r="U345" i="10"/>
  <c r="V345" i="10"/>
  <c r="U313" i="10"/>
  <c r="V313" i="10"/>
  <c r="U254" i="10"/>
  <c r="V254" i="10"/>
  <c r="V387" i="10"/>
  <c r="U387" i="10"/>
  <c r="V152" i="10"/>
  <c r="U152" i="10"/>
  <c r="V180" i="10"/>
  <c r="U180" i="10"/>
  <c r="V210" i="10"/>
  <c r="U210" i="10"/>
  <c r="V31" i="10"/>
  <c r="U31" i="10"/>
  <c r="V134" i="10"/>
  <c r="U134" i="10"/>
  <c r="U57" i="10"/>
  <c r="V57" i="10"/>
  <c r="U38" i="10"/>
  <c r="V38" i="10"/>
  <c r="V21" i="10"/>
  <c r="U21" i="10"/>
  <c r="V522" i="10"/>
  <c r="U522" i="10"/>
  <c r="V444" i="10"/>
  <c r="U444" i="10"/>
  <c r="U250" i="10"/>
  <c r="V250" i="10"/>
  <c r="U558" i="10"/>
  <c r="V558" i="10"/>
  <c r="V528" i="10"/>
  <c r="U528" i="10"/>
  <c r="V489" i="10"/>
  <c r="U489" i="10"/>
  <c r="U476" i="10"/>
  <c r="V476" i="10"/>
  <c r="V483" i="10"/>
  <c r="U483" i="10"/>
  <c r="V411" i="10"/>
  <c r="U411" i="10"/>
  <c r="V401" i="10"/>
  <c r="U401" i="10"/>
  <c r="U274" i="10"/>
  <c r="V274" i="10"/>
  <c r="U221" i="10"/>
  <c r="V221" i="10"/>
  <c r="U165" i="10"/>
  <c r="V165" i="10"/>
  <c r="V120" i="10"/>
  <c r="U120" i="10"/>
  <c r="V168" i="10"/>
  <c r="U168" i="10"/>
  <c r="V268" i="10"/>
  <c r="U268" i="10"/>
  <c r="V222" i="10"/>
  <c r="U222" i="10"/>
  <c r="U58" i="10"/>
  <c r="V58" i="10"/>
  <c r="V208" i="10"/>
  <c r="U208" i="10"/>
  <c r="V170" i="10"/>
  <c r="U170" i="10"/>
  <c r="V114" i="10"/>
  <c r="U114" i="10"/>
  <c r="V70" i="10"/>
  <c r="U70" i="10"/>
  <c r="V546" i="10"/>
  <c r="U546" i="10"/>
  <c r="V363" i="10"/>
  <c r="U363" i="10"/>
  <c r="U213" i="10"/>
  <c r="V213" i="10"/>
  <c r="V548" i="10"/>
  <c r="U548" i="10"/>
  <c r="U510" i="10"/>
  <c r="V510" i="10"/>
  <c r="U506" i="10"/>
  <c r="V506" i="10"/>
  <c r="U460" i="10"/>
  <c r="V460" i="10"/>
  <c r="U432" i="10"/>
  <c r="V432" i="10"/>
  <c r="V407" i="10"/>
  <c r="U407" i="10"/>
  <c r="V413" i="10"/>
  <c r="U413" i="10"/>
  <c r="U342" i="10"/>
  <c r="V342" i="10"/>
  <c r="U310" i="10"/>
  <c r="V310" i="10"/>
  <c r="U341" i="10"/>
  <c r="V341" i="10"/>
  <c r="U309" i="10"/>
  <c r="V309" i="10"/>
  <c r="U246" i="10"/>
  <c r="V246" i="10"/>
  <c r="U193" i="10"/>
  <c r="V193" i="10"/>
  <c r="V202" i="10"/>
  <c r="U202" i="10"/>
  <c r="V234" i="10"/>
  <c r="U234" i="10"/>
  <c r="V61" i="10"/>
  <c r="U61" i="10"/>
  <c r="V204" i="10"/>
  <c r="U204" i="10"/>
  <c r="V110" i="10"/>
  <c r="U110" i="10"/>
  <c r="V37" i="10"/>
  <c r="U37" i="10"/>
  <c r="V24" i="10"/>
  <c r="U24" i="10"/>
  <c r="V44" i="10"/>
  <c r="U44" i="10"/>
  <c r="U67" i="10"/>
  <c r="V67" i="10"/>
  <c r="U87" i="10"/>
  <c r="V87" i="10"/>
  <c r="V53" i="10"/>
  <c r="U53" i="10"/>
  <c r="U63" i="10"/>
  <c r="V63" i="10"/>
  <c r="V51" i="10"/>
  <c r="U51" i="10"/>
  <c r="U77" i="10"/>
  <c r="V77" i="10"/>
  <c r="U93" i="10"/>
  <c r="V93" i="10"/>
  <c r="V109" i="10"/>
  <c r="U109" i="10"/>
  <c r="V125" i="10"/>
  <c r="U125" i="10"/>
  <c r="V141" i="10"/>
  <c r="U141" i="10"/>
  <c r="V157" i="10"/>
  <c r="U157" i="10"/>
  <c r="V171" i="10"/>
  <c r="U171" i="10"/>
  <c r="V187" i="10"/>
  <c r="U187" i="10"/>
  <c r="V220" i="10"/>
  <c r="U220" i="10"/>
  <c r="V236" i="10"/>
  <c r="U236" i="10"/>
  <c r="U247" i="10"/>
  <c r="V247" i="10"/>
  <c r="U255" i="10"/>
  <c r="V255" i="10"/>
  <c r="U263" i="10"/>
  <c r="V263" i="10"/>
  <c r="U271" i="10"/>
  <c r="V271" i="10"/>
  <c r="U279" i="10"/>
  <c r="V279" i="10"/>
  <c r="U287" i="10"/>
  <c r="V287" i="10"/>
  <c r="U295" i="10"/>
  <c r="V295" i="10"/>
  <c r="V316" i="10"/>
  <c r="U316" i="10"/>
  <c r="V332" i="10"/>
  <c r="U332" i="10"/>
  <c r="V348" i="10"/>
  <c r="U348" i="10"/>
  <c r="U107" i="10"/>
  <c r="V107" i="10"/>
  <c r="U123" i="10"/>
  <c r="V123" i="10"/>
  <c r="U139" i="10"/>
  <c r="V139" i="10"/>
  <c r="U155" i="10"/>
  <c r="V155" i="10"/>
  <c r="V215" i="10"/>
  <c r="U215" i="10"/>
  <c r="V231" i="10"/>
  <c r="U231" i="10"/>
  <c r="U372" i="10"/>
  <c r="V372" i="10"/>
  <c r="V311" i="10"/>
  <c r="U311" i="10"/>
  <c r="V327" i="10"/>
  <c r="U327" i="10"/>
  <c r="V343" i="10"/>
  <c r="U343" i="10"/>
  <c r="V359" i="10"/>
  <c r="U359" i="10"/>
  <c r="U368" i="10"/>
  <c r="V368" i="10"/>
  <c r="V307" i="10"/>
  <c r="U307" i="10"/>
  <c r="V375" i="10"/>
  <c r="U375" i="10"/>
  <c r="U394" i="10"/>
  <c r="V394" i="10"/>
  <c r="U410" i="10"/>
  <c r="V410" i="10"/>
  <c r="U426" i="10"/>
  <c r="V426" i="10"/>
  <c r="V447" i="10"/>
  <c r="U447" i="10"/>
  <c r="V370" i="10"/>
  <c r="U370" i="10"/>
  <c r="U388" i="10"/>
  <c r="V388" i="10"/>
  <c r="U404" i="10"/>
  <c r="V404" i="10"/>
  <c r="U420" i="10"/>
  <c r="V420" i="10"/>
  <c r="V454" i="10"/>
  <c r="U454" i="10"/>
  <c r="U441" i="10"/>
  <c r="V441" i="10"/>
  <c r="V474" i="10"/>
  <c r="U474" i="10"/>
  <c r="V442" i="10"/>
  <c r="U442" i="10"/>
  <c r="U498" i="10"/>
  <c r="V498" i="10"/>
  <c r="U496" i="10"/>
  <c r="V496" i="10"/>
  <c r="V512" i="10"/>
  <c r="U512" i="10"/>
  <c r="V529" i="10"/>
  <c r="U529" i="10"/>
  <c r="U527" i="10"/>
  <c r="V527" i="10"/>
  <c r="V549" i="10"/>
  <c r="U549" i="10"/>
  <c r="V552" i="10"/>
  <c r="U552" i="10"/>
  <c r="AU559" i="10"/>
  <c r="AT559" i="10"/>
  <c r="AT560" i="10"/>
  <c r="AU560" i="10"/>
  <c r="AU507" i="10"/>
  <c r="AT507" i="10"/>
  <c r="AT470" i="10"/>
  <c r="AU470" i="10"/>
  <c r="AU477" i="10"/>
  <c r="AT477" i="10"/>
  <c r="AT382" i="10"/>
  <c r="AU382" i="10"/>
  <c r="AU427" i="10"/>
  <c r="AT427" i="10"/>
  <c r="AT327" i="10"/>
  <c r="AU327" i="10"/>
  <c r="AT231" i="10"/>
  <c r="AU231" i="10"/>
  <c r="AU330" i="10"/>
  <c r="AT330" i="10"/>
  <c r="AU266" i="10"/>
  <c r="AT266" i="10"/>
  <c r="AT259" i="10"/>
  <c r="AU259" i="10"/>
  <c r="AT161" i="10"/>
  <c r="AU161" i="10"/>
  <c r="AT188" i="10"/>
  <c r="AU188" i="10"/>
  <c r="AU43" i="10"/>
  <c r="AT43" i="10"/>
  <c r="AU100" i="10"/>
  <c r="AT100" i="10"/>
  <c r="AU54" i="10"/>
  <c r="AT54" i="10"/>
  <c r="AU170" i="10"/>
  <c r="AT170" i="10"/>
  <c r="AU308" i="10"/>
  <c r="AT308" i="10"/>
  <c r="AU532" i="10"/>
  <c r="AT532" i="10"/>
  <c r="AU37" i="10"/>
  <c r="AT37" i="10"/>
  <c r="AU234" i="10"/>
  <c r="AT234" i="10"/>
  <c r="AT197" i="10"/>
  <c r="AU197" i="10"/>
  <c r="AU491" i="10"/>
  <c r="AT491" i="10"/>
  <c r="AU513" i="10"/>
  <c r="AT513" i="10"/>
  <c r="AU547" i="10"/>
  <c r="AT547" i="10"/>
  <c r="AU74" i="10"/>
  <c r="AT74" i="10"/>
  <c r="AU182" i="10"/>
  <c r="AT182" i="10"/>
  <c r="AU70" i="10"/>
  <c r="AT70" i="10"/>
  <c r="AU242" i="10"/>
  <c r="AT242" i="10"/>
  <c r="AU401" i="10"/>
  <c r="AT401" i="10"/>
  <c r="AT552" i="10"/>
  <c r="AU552" i="10"/>
  <c r="AT512" i="10"/>
  <c r="AU512" i="10"/>
  <c r="AT496" i="10"/>
  <c r="AU496" i="10"/>
  <c r="AU442" i="10"/>
  <c r="AT442" i="10"/>
  <c r="AT371" i="10"/>
  <c r="AU371" i="10"/>
  <c r="AT339" i="10"/>
  <c r="AU339" i="10"/>
  <c r="AT243" i="10"/>
  <c r="AU243" i="10"/>
  <c r="AU342" i="10"/>
  <c r="AT342" i="10"/>
  <c r="AU278" i="10"/>
  <c r="AT278" i="10"/>
  <c r="AT216" i="10"/>
  <c r="AU216" i="10"/>
  <c r="AT271" i="10"/>
  <c r="AU271" i="10"/>
  <c r="AT60" i="10"/>
  <c r="AU60" i="10"/>
  <c r="AT65" i="10"/>
  <c r="AU65" i="10"/>
  <c r="AU112" i="10"/>
  <c r="AT112" i="10"/>
  <c r="AU61" i="10"/>
  <c r="AT61" i="10"/>
  <c r="AU209" i="10"/>
  <c r="AT209" i="10"/>
  <c r="AU368" i="10"/>
  <c r="AT368" i="10"/>
  <c r="AT420" i="10"/>
  <c r="AU420" i="10"/>
  <c r="AU476" i="10"/>
  <c r="AT476" i="10"/>
  <c r="AT204" i="10"/>
  <c r="AU204" i="10"/>
  <c r="AT125" i="10"/>
  <c r="AU125" i="10"/>
  <c r="AU173" i="10"/>
  <c r="AT173" i="10"/>
  <c r="AU32" i="10"/>
  <c r="AT32" i="10"/>
  <c r="AT201" i="10"/>
  <c r="AU201" i="10"/>
  <c r="AU365" i="10"/>
  <c r="AT365" i="10"/>
  <c r="AU452" i="10"/>
  <c r="AT452" i="10"/>
  <c r="AU45" i="10"/>
  <c r="AT45" i="10"/>
  <c r="AT89" i="10"/>
  <c r="AU89" i="10"/>
  <c r="AU165" i="10"/>
  <c r="AT165" i="10"/>
  <c r="AU313" i="10"/>
  <c r="AT313" i="10"/>
  <c r="AT525" i="10"/>
  <c r="AU525" i="10"/>
  <c r="AT482" i="10"/>
  <c r="AU482" i="10"/>
  <c r="AU449" i="10"/>
  <c r="AT449" i="10"/>
  <c r="AT428" i="10"/>
  <c r="AU428" i="10"/>
  <c r="AT386" i="10"/>
  <c r="AU386" i="10"/>
  <c r="AT383" i="10"/>
  <c r="AU383" i="10"/>
  <c r="AT351" i="10"/>
  <c r="AU351" i="10"/>
  <c r="AT303" i="10"/>
  <c r="AU303" i="10"/>
  <c r="AU354" i="10"/>
  <c r="AT354" i="10"/>
  <c r="AT175" i="10"/>
  <c r="AU175" i="10"/>
  <c r="AT75" i="10"/>
  <c r="AU75" i="10"/>
  <c r="AU290" i="10"/>
  <c r="AT290" i="10"/>
  <c r="AT228" i="10"/>
  <c r="AU228" i="10"/>
  <c r="AT283" i="10"/>
  <c r="AU283" i="10"/>
  <c r="AU124" i="10"/>
  <c r="AT124" i="10"/>
  <c r="AU185" i="10"/>
  <c r="AT185" i="10"/>
  <c r="AU372" i="10"/>
  <c r="AT372" i="10"/>
  <c r="AU389" i="10"/>
  <c r="AT389" i="10"/>
  <c r="AU509" i="10"/>
  <c r="AT509" i="10"/>
  <c r="AT301" i="10"/>
  <c r="AU301" i="10"/>
  <c r="AU126" i="10"/>
  <c r="AT126" i="10"/>
  <c r="AT113" i="10"/>
  <c r="AU113" i="10"/>
  <c r="AU341" i="10"/>
  <c r="AT341" i="10"/>
  <c r="AU465" i="10"/>
  <c r="AT465" i="10"/>
  <c r="AT422" i="10"/>
  <c r="AU422" i="10"/>
  <c r="AU527" i="10"/>
  <c r="AT527" i="10"/>
  <c r="AT265" i="10"/>
  <c r="AU265" i="10"/>
  <c r="AT205" i="10"/>
  <c r="AU205" i="10"/>
  <c r="AU69" i="10"/>
  <c r="AT69" i="10"/>
  <c r="AU177" i="10"/>
  <c r="AT177" i="10"/>
  <c r="AU380" i="10"/>
  <c r="AT380" i="10"/>
  <c r="AU413" i="10"/>
  <c r="AT413" i="10"/>
  <c r="AU34" i="10"/>
  <c r="AT34" i="10"/>
  <c r="AU139" i="10"/>
  <c r="AT139" i="10"/>
  <c r="AT297" i="10"/>
  <c r="AU297" i="10"/>
  <c r="AU320" i="10"/>
  <c r="AT320" i="10"/>
  <c r="AU461" i="10"/>
  <c r="AT461" i="10"/>
  <c r="AT533" i="10"/>
  <c r="AU533" i="10"/>
  <c r="AU495" i="10"/>
  <c r="AT495" i="10"/>
  <c r="AT467" i="10"/>
  <c r="AU467" i="10"/>
  <c r="AT398" i="10"/>
  <c r="AU398" i="10"/>
  <c r="AU399" i="10"/>
  <c r="AT399" i="10"/>
  <c r="AT362" i="10"/>
  <c r="AU362" i="10"/>
  <c r="AT187" i="10"/>
  <c r="AU187" i="10"/>
  <c r="AT87" i="10"/>
  <c r="AU87" i="10"/>
  <c r="AT240" i="10"/>
  <c r="AU240" i="10"/>
  <c r="AT295" i="10"/>
  <c r="AU295" i="10"/>
  <c r="AT26" i="10"/>
  <c r="AU26" i="10"/>
  <c r="AT172" i="10"/>
  <c r="AU172" i="10"/>
  <c r="AU76" i="10"/>
  <c r="AT76" i="10"/>
  <c r="AU136" i="10"/>
  <c r="AT136" i="10"/>
  <c r="AT44" i="10"/>
  <c r="AU44" i="10"/>
  <c r="AU88" i="10"/>
  <c r="AT88" i="10"/>
  <c r="AU154" i="10"/>
  <c r="AT154" i="10"/>
  <c r="AU288" i="10"/>
  <c r="AT288" i="10"/>
  <c r="AT451" i="10"/>
  <c r="AU451" i="10"/>
  <c r="AT494" i="10"/>
  <c r="AU494" i="10"/>
  <c r="AT261" i="10"/>
  <c r="AU261" i="10"/>
  <c r="AU329" i="10"/>
  <c r="AT329" i="10"/>
  <c r="AU78" i="10"/>
  <c r="AT78" i="10"/>
  <c r="AT101" i="10"/>
  <c r="AU101" i="10"/>
  <c r="AU317" i="10"/>
  <c r="AT317" i="10"/>
  <c r="AU193" i="10"/>
  <c r="AT193" i="10"/>
  <c r="AU22" i="10"/>
  <c r="AT22" i="10"/>
  <c r="AT200" i="10"/>
  <c r="AU200" i="10"/>
  <c r="AU226" i="10"/>
  <c r="AT226" i="10"/>
  <c r="AU385" i="10"/>
  <c r="AT385" i="10"/>
  <c r="V409" i="10"/>
  <c r="U409" i="10"/>
  <c r="V288" i="10"/>
  <c r="U288" i="10"/>
  <c r="V174" i="10"/>
  <c r="U174" i="10"/>
  <c r="V532" i="10"/>
  <c r="U532" i="10"/>
  <c r="V440" i="10"/>
  <c r="U440" i="10"/>
  <c r="U314" i="10"/>
  <c r="V314" i="10"/>
  <c r="U209" i="10"/>
  <c r="V209" i="10"/>
  <c r="U66" i="10"/>
  <c r="V66" i="10"/>
  <c r="V86" i="10"/>
  <c r="U86" i="10"/>
  <c r="U554" i="10"/>
  <c r="V554" i="10"/>
  <c r="V497" i="10"/>
  <c r="U497" i="10"/>
  <c r="V417" i="10"/>
  <c r="U417" i="10"/>
  <c r="V184" i="10"/>
  <c r="U184" i="10"/>
  <c r="V238" i="10"/>
  <c r="U238" i="10"/>
  <c r="V82" i="10"/>
  <c r="U82" i="10"/>
  <c r="V555" i="10"/>
  <c r="U555" i="10"/>
  <c r="V487" i="10"/>
  <c r="U487" i="10"/>
  <c r="V429" i="10"/>
  <c r="U429" i="10"/>
  <c r="U317" i="10"/>
  <c r="V317" i="10"/>
  <c r="V144" i="10"/>
  <c r="U144" i="10"/>
  <c r="V78" i="10"/>
  <c r="U78" i="10"/>
  <c r="V207" i="10"/>
  <c r="U207" i="10"/>
  <c r="U73" i="10"/>
  <c r="V73" i="10"/>
  <c r="V105" i="10"/>
  <c r="U105" i="10"/>
  <c r="V167" i="10"/>
  <c r="U167" i="10"/>
  <c r="U245" i="10"/>
  <c r="V245" i="10"/>
  <c r="U269" i="10"/>
  <c r="V269" i="10"/>
  <c r="V328" i="10"/>
  <c r="U328" i="10"/>
  <c r="U135" i="10"/>
  <c r="V135" i="10"/>
  <c r="V227" i="10"/>
  <c r="U227" i="10"/>
  <c r="V339" i="10"/>
  <c r="U339" i="10"/>
  <c r="U437" i="10"/>
  <c r="V437" i="10"/>
  <c r="U422" i="10"/>
  <c r="V422" i="10"/>
  <c r="U400" i="10"/>
  <c r="V400" i="10"/>
  <c r="U453" i="10"/>
  <c r="V453" i="10"/>
  <c r="U492" i="10"/>
  <c r="V492" i="10"/>
  <c r="V545" i="10"/>
  <c r="U545" i="10"/>
  <c r="AT410" i="10"/>
  <c r="AU410" i="10"/>
  <c r="AU363" i="10"/>
  <c r="AT363" i="10"/>
  <c r="AU314" i="10"/>
  <c r="AT314" i="10"/>
  <c r="AU96" i="10"/>
  <c r="AT96" i="10"/>
  <c r="AU106" i="10"/>
  <c r="AT106" i="10"/>
  <c r="AT439" i="10"/>
  <c r="AU439" i="10"/>
  <c r="AU328" i="10"/>
  <c r="AT328" i="10"/>
  <c r="AU464" i="10"/>
  <c r="AT464" i="10"/>
  <c r="AT93" i="10"/>
  <c r="AU93" i="10"/>
  <c r="AU38" i="10"/>
  <c r="AT38" i="10"/>
  <c r="AT466" i="10"/>
  <c r="AU466" i="10"/>
  <c r="AU432" i="10"/>
  <c r="AT432" i="10"/>
  <c r="AU127" i="10"/>
  <c r="AT127" i="10"/>
  <c r="AT29" i="10"/>
  <c r="AU29" i="10"/>
  <c r="AU324" i="10"/>
  <c r="AT324" i="10"/>
  <c r="AU213" i="10"/>
  <c r="AT213" i="10"/>
  <c r="AU90" i="10"/>
  <c r="AT90" i="10"/>
  <c r="AU86" i="10"/>
  <c r="AT86" i="10"/>
  <c r="AU438" i="10"/>
  <c r="AT438" i="10"/>
  <c r="AT212" i="10"/>
  <c r="AU212" i="10"/>
  <c r="AT63" i="10"/>
  <c r="AU63" i="10"/>
  <c r="AU515" i="10"/>
  <c r="AT515" i="10"/>
  <c r="AU166" i="10"/>
  <c r="AT166" i="10"/>
  <c r="AU210" i="10"/>
  <c r="AT210" i="10"/>
  <c r="AT518" i="10"/>
  <c r="AU518" i="10"/>
  <c r="AT379" i="10"/>
  <c r="AU379" i="10"/>
  <c r="AT67" i="10"/>
  <c r="AU67" i="10"/>
  <c r="AU120" i="10"/>
  <c r="AT120" i="10"/>
  <c r="AT388" i="10"/>
  <c r="AU388" i="10"/>
  <c r="AU64" i="10"/>
  <c r="AT64" i="10"/>
  <c r="AU349" i="10"/>
  <c r="AT349" i="10"/>
  <c r="AT281" i="10"/>
  <c r="AU281" i="10"/>
  <c r="AT208" i="10"/>
  <c r="AU208" i="10"/>
  <c r="AT245" i="10"/>
  <c r="AU245" i="10"/>
  <c r="V491" i="10"/>
  <c r="U491" i="10"/>
  <c r="V403" i="10"/>
  <c r="U403" i="10"/>
  <c r="U229" i="10"/>
  <c r="V229" i="10"/>
  <c r="V124" i="10"/>
  <c r="U124" i="10"/>
  <c r="V192" i="10"/>
  <c r="U192" i="10"/>
  <c r="V272" i="10"/>
  <c r="U272" i="10"/>
  <c r="V230" i="10"/>
  <c r="U230" i="10"/>
  <c r="V33" i="10"/>
  <c r="U33" i="10"/>
  <c r="V190" i="10"/>
  <c r="U190" i="10"/>
  <c r="V154" i="10"/>
  <c r="U154" i="10"/>
  <c r="V90" i="10"/>
  <c r="U90" i="10"/>
  <c r="V42" i="10"/>
  <c r="U42" i="10"/>
  <c r="V536" i="10"/>
  <c r="U536" i="10"/>
  <c r="V507" i="10"/>
  <c r="U507" i="10"/>
  <c r="V503" i="10"/>
  <c r="U503" i="10"/>
  <c r="U468" i="10"/>
  <c r="V468" i="10"/>
  <c r="V399" i="10"/>
  <c r="U399" i="10"/>
  <c r="V367" i="10"/>
  <c r="U367" i="10"/>
  <c r="U330" i="10"/>
  <c r="V330" i="10"/>
  <c r="U435" i="10"/>
  <c r="V435" i="10"/>
  <c r="U337" i="10"/>
  <c r="V337" i="10"/>
  <c r="U302" i="10"/>
  <c r="V302" i="10"/>
  <c r="U241" i="10"/>
  <c r="V241" i="10"/>
  <c r="V381" i="10"/>
  <c r="U381" i="10"/>
  <c r="V136" i="10"/>
  <c r="U136" i="10"/>
  <c r="V164" i="10"/>
  <c r="U164" i="10"/>
  <c r="V96" i="10"/>
  <c r="U96" i="10"/>
  <c r="U35" i="10"/>
  <c r="V35" i="10"/>
  <c r="V118" i="10"/>
  <c r="U118" i="10"/>
  <c r="U54" i="10"/>
  <c r="V54" i="10"/>
  <c r="V200" i="10"/>
  <c r="U200" i="10"/>
  <c r="V551" i="10"/>
  <c r="U551" i="10"/>
  <c r="V473" i="10"/>
  <c r="U473" i="10"/>
  <c r="V469" i="10"/>
  <c r="U469" i="10"/>
  <c r="U173" i="10"/>
  <c r="V173" i="10"/>
  <c r="U540" i="10"/>
  <c r="V540" i="10"/>
  <c r="V511" i="10"/>
  <c r="U511" i="10"/>
  <c r="V481" i="10"/>
  <c r="U481" i="10"/>
  <c r="U472" i="10"/>
  <c r="V472" i="10"/>
  <c r="V452" i="10"/>
  <c r="U452" i="10"/>
  <c r="V395" i="10"/>
  <c r="U395" i="10"/>
  <c r="V385" i="10"/>
  <c r="U385" i="10"/>
  <c r="U258" i="10"/>
  <c r="V258" i="10"/>
  <c r="U205" i="10"/>
  <c r="V205" i="10"/>
  <c r="V156" i="10"/>
  <c r="U156" i="10"/>
  <c r="V112" i="10"/>
  <c r="U112" i="10"/>
  <c r="V292" i="10"/>
  <c r="U292" i="10"/>
  <c r="V260" i="10"/>
  <c r="U260" i="10"/>
  <c r="V92" i="10"/>
  <c r="U92" i="10"/>
  <c r="U48" i="10"/>
  <c r="V48" i="10"/>
  <c r="V194" i="10"/>
  <c r="U194" i="10"/>
  <c r="V162" i="10"/>
  <c r="U162" i="10"/>
  <c r="U25" i="10"/>
  <c r="V25" i="10"/>
  <c r="V47" i="10"/>
  <c r="U47" i="10"/>
  <c r="V538" i="10"/>
  <c r="U538" i="10"/>
  <c r="U298" i="10"/>
  <c r="V298" i="10"/>
  <c r="U189" i="10"/>
  <c r="V189" i="10"/>
  <c r="U544" i="10"/>
  <c r="V544" i="10"/>
  <c r="V501" i="10"/>
  <c r="U501" i="10"/>
  <c r="V499" i="10"/>
  <c r="U499" i="10"/>
  <c r="V467" i="10"/>
  <c r="U467" i="10"/>
  <c r="V448" i="10"/>
  <c r="U448" i="10"/>
  <c r="V391" i="10"/>
  <c r="U391" i="10"/>
  <c r="V397" i="10"/>
  <c r="U397" i="10"/>
  <c r="U334" i="10"/>
  <c r="V334" i="10"/>
  <c r="V361" i="10"/>
  <c r="U361" i="10"/>
  <c r="U333" i="10"/>
  <c r="V333" i="10"/>
  <c r="U294" i="10"/>
  <c r="V294" i="10"/>
  <c r="U233" i="10"/>
  <c r="V233" i="10"/>
  <c r="U177" i="10"/>
  <c r="V177" i="10"/>
  <c r="V188" i="10"/>
  <c r="U188" i="10"/>
  <c r="V218" i="10"/>
  <c r="U218" i="10"/>
  <c r="V41" i="10"/>
  <c r="U41" i="10"/>
  <c r="V158" i="10"/>
  <c r="U158" i="10"/>
  <c r="U52" i="10"/>
  <c r="V52" i="10"/>
  <c r="V32" i="10"/>
  <c r="U32" i="10"/>
  <c r="U26" i="10"/>
  <c r="V26" i="10"/>
  <c r="V46" i="10"/>
  <c r="U46" i="10"/>
  <c r="U75" i="10"/>
  <c r="V75" i="10"/>
  <c r="U91" i="10"/>
  <c r="V91" i="10"/>
  <c r="V59" i="10"/>
  <c r="U59" i="10"/>
  <c r="U65" i="10"/>
  <c r="V65" i="10"/>
  <c r="V199" i="10"/>
  <c r="U199" i="10"/>
  <c r="U81" i="10"/>
  <c r="V81" i="10"/>
  <c r="U97" i="10"/>
  <c r="V97" i="10"/>
  <c r="V113" i="10"/>
  <c r="U113" i="10"/>
  <c r="V129" i="10"/>
  <c r="U129" i="10"/>
  <c r="V145" i="10"/>
  <c r="U145" i="10"/>
  <c r="V161" i="10"/>
  <c r="U161" i="10"/>
  <c r="V175" i="10"/>
  <c r="U175" i="10"/>
  <c r="V191" i="10"/>
  <c r="U191" i="10"/>
  <c r="V224" i="10"/>
  <c r="U224" i="10"/>
  <c r="V240" i="10"/>
  <c r="U240" i="10"/>
  <c r="U249" i="10"/>
  <c r="V249" i="10"/>
  <c r="U257" i="10"/>
  <c r="V257" i="10"/>
  <c r="U265" i="10"/>
  <c r="V265" i="10"/>
  <c r="U273" i="10"/>
  <c r="V273" i="10"/>
  <c r="U281" i="10"/>
  <c r="V281" i="10"/>
  <c r="U289" i="10"/>
  <c r="V289" i="10"/>
  <c r="U297" i="10"/>
  <c r="V297" i="10"/>
  <c r="V320" i="10"/>
  <c r="U320" i="10"/>
  <c r="V336" i="10"/>
  <c r="U336" i="10"/>
  <c r="V352" i="10"/>
  <c r="U352" i="10"/>
  <c r="U111" i="10"/>
  <c r="V111" i="10"/>
  <c r="U127" i="10"/>
  <c r="V127" i="10"/>
  <c r="U143" i="10"/>
  <c r="V143" i="10"/>
  <c r="U159" i="10"/>
  <c r="V159" i="10"/>
  <c r="V219" i="10"/>
  <c r="U219" i="10"/>
  <c r="V235" i="10"/>
  <c r="U235" i="10"/>
  <c r="U380" i="10"/>
  <c r="V380" i="10"/>
  <c r="V315" i="10"/>
  <c r="U315" i="10"/>
  <c r="V331" i="10"/>
  <c r="U331" i="10"/>
  <c r="V347" i="10"/>
  <c r="U347" i="10"/>
  <c r="U384" i="10"/>
  <c r="V384" i="10"/>
  <c r="U376" i="10"/>
  <c r="V376" i="10"/>
  <c r="U362" i="10"/>
  <c r="V362" i="10"/>
  <c r="V379" i="10"/>
  <c r="U379" i="10"/>
  <c r="U398" i="10"/>
  <c r="V398" i="10"/>
  <c r="U414" i="10"/>
  <c r="V414" i="10"/>
  <c r="U430" i="10"/>
  <c r="V430" i="10"/>
  <c r="V451" i="10"/>
  <c r="U451" i="10"/>
  <c r="U374" i="10"/>
  <c r="V374" i="10"/>
  <c r="U392" i="10"/>
  <c r="V392" i="10"/>
  <c r="U408" i="10"/>
  <c r="V408" i="10"/>
  <c r="U424" i="10"/>
  <c r="V424" i="10"/>
  <c r="V458" i="10"/>
  <c r="U458" i="10"/>
  <c r="U445" i="10"/>
  <c r="V445" i="10"/>
  <c r="V478" i="10"/>
  <c r="U478" i="10"/>
  <c r="V446" i="10"/>
  <c r="U446" i="10"/>
  <c r="U523" i="10"/>
  <c r="V523" i="10"/>
  <c r="U500" i="10"/>
  <c r="V500" i="10"/>
  <c r="V517" i="10"/>
  <c r="U517" i="10"/>
  <c r="V531" i="10"/>
  <c r="U531" i="10"/>
  <c r="U533" i="10"/>
  <c r="V533" i="10"/>
  <c r="V553" i="10"/>
  <c r="U553" i="10"/>
  <c r="V556" i="10"/>
  <c r="U556" i="10"/>
  <c r="AT517" i="10"/>
  <c r="AU517" i="10"/>
  <c r="AT474" i="10"/>
  <c r="AU474" i="10"/>
  <c r="AU441" i="10"/>
  <c r="AT441" i="10"/>
  <c r="AU446" i="10"/>
  <c r="AT446" i="10"/>
  <c r="AT375" i="10"/>
  <c r="AU375" i="10"/>
  <c r="AT343" i="10"/>
  <c r="AU343" i="10"/>
  <c r="AT299" i="10"/>
  <c r="AU299" i="10"/>
  <c r="AU346" i="10"/>
  <c r="AT346" i="10"/>
  <c r="AT167" i="10"/>
  <c r="AU167" i="10"/>
  <c r="AU282" i="10"/>
  <c r="AT282" i="10"/>
  <c r="AT220" i="10"/>
  <c r="AU220" i="10"/>
  <c r="AT275" i="10"/>
  <c r="AU275" i="10"/>
  <c r="AU116" i="10"/>
  <c r="AT116" i="10"/>
  <c r="AT196" i="10"/>
  <c r="AU196" i="10"/>
  <c r="AU300" i="10"/>
  <c r="AT300" i="10"/>
  <c r="AU360" i="10"/>
  <c r="AT360" i="10"/>
  <c r="AT404" i="10"/>
  <c r="AU404" i="10"/>
  <c r="AU421" i="10"/>
  <c r="AT421" i="10"/>
  <c r="AU522" i="10"/>
  <c r="AT522" i="10"/>
  <c r="AU534" i="10"/>
  <c r="AT534" i="10"/>
  <c r="AU158" i="10"/>
  <c r="AT158" i="10"/>
  <c r="AT121" i="10"/>
  <c r="AU121" i="10"/>
  <c r="AU357" i="10"/>
  <c r="AT357" i="10"/>
  <c r="AT293" i="10"/>
  <c r="AU293" i="10"/>
  <c r="AU345" i="10"/>
  <c r="AT345" i="10"/>
  <c r="AU27" i="10"/>
  <c r="AT27" i="10"/>
  <c r="AU71" i="10"/>
  <c r="AT71" i="10"/>
  <c r="AU304" i="10"/>
  <c r="AT304" i="10"/>
  <c r="AU364" i="10"/>
  <c r="AT364" i="10"/>
  <c r="AT412" i="10"/>
  <c r="AU412" i="10"/>
  <c r="AT73" i="10"/>
  <c r="AU73" i="10"/>
  <c r="AU352" i="10"/>
  <c r="AT352" i="10"/>
  <c r="AU472" i="10"/>
  <c r="AT472" i="10"/>
  <c r="AT529" i="10"/>
  <c r="AU529" i="10"/>
  <c r="AU453" i="10"/>
  <c r="AT453" i="10"/>
  <c r="AT459" i="10"/>
  <c r="AU459" i="10"/>
  <c r="AT390" i="10"/>
  <c r="AU390" i="10"/>
  <c r="AU391" i="10"/>
  <c r="AT391" i="10"/>
  <c r="AT355" i="10"/>
  <c r="AU355" i="10"/>
  <c r="AU358" i="10"/>
  <c r="AT358" i="10"/>
  <c r="AT179" i="10"/>
  <c r="AU179" i="10"/>
  <c r="AT95" i="10"/>
  <c r="AU95" i="10"/>
  <c r="AT79" i="10"/>
  <c r="AU79" i="10"/>
  <c r="AU294" i="10"/>
  <c r="AT294" i="10"/>
  <c r="AT232" i="10"/>
  <c r="AU232" i="10"/>
  <c r="AT287" i="10"/>
  <c r="AU287" i="10"/>
  <c r="AU128" i="10"/>
  <c r="AT128" i="10"/>
  <c r="AU41" i="10"/>
  <c r="AT41" i="10"/>
  <c r="AU169" i="10"/>
  <c r="AT169" i="10"/>
  <c r="AU501" i="10"/>
  <c r="AT501" i="10"/>
  <c r="AT289" i="10"/>
  <c r="AU289" i="10"/>
  <c r="AU28" i="10"/>
  <c r="AT28" i="10"/>
  <c r="AU110" i="10"/>
  <c r="AT110" i="10"/>
  <c r="AT109" i="10"/>
  <c r="AU109" i="10"/>
  <c r="AU333" i="10"/>
  <c r="AT333" i="10"/>
  <c r="AU479" i="10"/>
  <c r="AT479" i="10"/>
  <c r="AU516" i="10"/>
  <c r="AT516" i="10"/>
  <c r="AU457" i="10"/>
  <c r="AT457" i="10"/>
  <c r="AT557" i="10"/>
  <c r="AU557" i="10"/>
  <c r="AU292" i="10"/>
  <c r="AT292" i="10"/>
  <c r="AU397" i="10"/>
  <c r="AT397" i="10"/>
  <c r="AU21" i="10"/>
  <c r="AT21" i="10"/>
  <c r="AT285" i="10"/>
  <c r="AU285" i="10"/>
  <c r="AU237" i="10"/>
  <c r="AT237" i="10"/>
  <c r="AU551" i="10"/>
  <c r="AT551" i="10"/>
  <c r="AU548" i="10"/>
  <c r="AT548" i="10"/>
  <c r="AU511" i="10"/>
  <c r="AT511" i="10"/>
  <c r="AT402" i="10"/>
  <c r="AU402" i="10"/>
  <c r="AU403" i="10"/>
  <c r="AT403" i="10"/>
  <c r="AT366" i="10"/>
  <c r="AU366" i="10"/>
  <c r="AT191" i="10"/>
  <c r="AU191" i="10"/>
  <c r="AT91" i="10"/>
  <c r="AU91" i="10"/>
  <c r="AU244" i="10"/>
  <c r="AT244" i="10"/>
  <c r="AT137" i="10"/>
  <c r="AU137" i="10"/>
  <c r="AT176" i="10"/>
  <c r="AU176" i="10"/>
  <c r="AU80" i="10"/>
  <c r="AT80" i="10"/>
  <c r="AU140" i="10"/>
  <c r="AT140" i="10"/>
  <c r="AU59" i="10"/>
  <c r="AT59" i="10"/>
  <c r="AT46" i="10"/>
  <c r="AU46" i="10"/>
  <c r="AT168" i="10"/>
  <c r="AU168" i="10"/>
  <c r="AU23" i="10"/>
  <c r="AT23" i="10"/>
  <c r="AU138" i="10"/>
  <c r="AT138" i="10"/>
  <c r="AU280" i="10"/>
  <c r="AT280" i="10"/>
  <c r="AT447" i="10"/>
  <c r="AU447" i="10"/>
  <c r="AU468" i="10"/>
  <c r="AT468" i="10"/>
  <c r="AU52" i="10"/>
  <c r="AT52" i="10"/>
  <c r="AT56" i="10"/>
  <c r="AU56" i="10"/>
  <c r="AT97" i="10"/>
  <c r="AU97" i="10"/>
  <c r="AU309" i="10"/>
  <c r="AT309" i="10"/>
  <c r="AU498" i="10"/>
  <c r="AT498" i="10"/>
  <c r="AU35" i="10"/>
  <c r="AT35" i="10"/>
  <c r="AU222" i="10"/>
  <c r="AT222" i="10"/>
  <c r="AU268" i="10"/>
  <c r="AT268" i="10"/>
  <c r="AU487" i="10"/>
  <c r="AT487" i="10"/>
  <c r="AT553" i="10"/>
  <c r="AU553" i="10"/>
  <c r="AT257" i="10"/>
  <c r="AU257" i="10"/>
  <c r="AU540" i="10"/>
  <c r="AT540" i="10"/>
  <c r="AU528" i="10"/>
  <c r="AT528" i="10"/>
  <c r="AT458" i="10"/>
  <c r="AU458" i="10"/>
  <c r="AT414" i="10"/>
  <c r="AU414" i="10"/>
  <c r="AT370" i="10"/>
  <c r="AU370" i="10"/>
  <c r="AU415" i="10"/>
  <c r="AT415" i="10"/>
  <c r="AT315" i="10"/>
  <c r="AU315" i="10"/>
  <c r="AU367" i="10"/>
  <c r="AT367" i="10"/>
  <c r="AT219" i="10"/>
  <c r="AU219" i="10"/>
  <c r="AT203" i="10"/>
  <c r="AU203" i="10"/>
  <c r="AU302" i="10"/>
  <c r="AT302" i="10"/>
  <c r="AU318" i="10"/>
  <c r="AT318" i="10"/>
  <c r="AU119" i="10"/>
  <c r="AT119" i="10"/>
  <c r="AU103" i="10"/>
  <c r="AT103" i="10"/>
  <c r="AU254" i="10"/>
  <c r="AT254" i="10"/>
  <c r="AT247" i="10"/>
  <c r="AU247" i="10"/>
  <c r="AT149" i="10"/>
  <c r="AU149" i="10"/>
  <c r="AU206" i="10"/>
  <c r="AT206" i="10"/>
  <c r="AT164" i="10"/>
  <c r="AU164" i="10"/>
  <c r="AU152" i="10"/>
  <c r="AT152" i="10"/>
  <c r="AT55" i="10"/>
  <c r="AU55" i="10"/>
  <c r="AU19" i="10"/>
  <c r="AT19" i="10"/>
  <c r="AU98" i="10"/>
  <c r="AT98" i="10"/>
  <c r="AU194" i="10"/>
  <c r="AT194" i="10"/>
  <c r="AT85" i="10"/>
  <c r="AU85" i="10"/>
  <c r="AU256" i="10"/>
  <c r="AT256" i="10"/>
  <c r="AU373" i="10"/>
  <c r="AT373" i="10"/>
  <c r="AU356" i="10"/>
  <c r="AT356" i="10"/>
  <c r="AU147" i="10"/>
  <c r="AT147" i="10"/>
  <c r="AU312" i="10"/>
  <c r="AT312" i="10"/>
  <c r="AT392" i="10"/>
  <c r="AU392" i="10"/>
  <c r="AU393" i="10"/>
  <c r="AT393" i="10"/>
  <c r="AU506" i="10"/>
  <c r="AT506" i="10"/>
  <c r="AU519" i="10"/>
  <c r="AT519" i="10"/>
  <c r="AT400" i="10"/>
  <c r="AU400" i="10"/>
  <c r="AU471" i="10"/>
  <c r="AT471" i="10"/>
  <c r="AU130" i="10"/>
  <c r="AT130" i="10"/>
  <c r="AU238" i="10"/>
  <c r="AT238" i="10"/>
  <c r="AU276" i="10"/>
  <c r="AT276" i="10"/>
  <c r="AT396" i="10"/>
  <c r="AU396" i="10"/>
  <c r="AU429" i="10"/>
  <c r="AT429" i="10"/>
  <c r="AU155" i="10"/>
  <c r="AT155" i="10"/>
  <c r="AU305" i="10"/>
  <c r="AT305" i="10"/>
  <c r="AU336" i="10"/>
  <c r="AT336" i="10"/>
  <c r="AU502" i="10"/>
  <c r="AT502" i="10"/>
  <c r="AT537" i="10"/>
  <c r="AU537" i="10"/>
  <c r="V509" i="10"/>
  <c r="U509" i="10"/>
  <c r="V373" i="10"/>
  <c r="U373" i="10"/>
  <c r="V108" i="10"/>
  <c r="U108" i="10"/>
  <c r="V84" i="10"/>
  <c r="U84" i="10"/>
  <c r="V122" i="10"/>
  <c r="U122" i="10"/>
  <c r="V56" i="10"/>
  <c r="U56" i="10"/>
  <c r="V530" i="10"/>
  <c r="U530" i="10"/>
  <c r="V477" i="10"/>
  <c r="U477" i="10"/>
  <c r="U346" i="10"/>
  <c r="V346" i="10"/>
  <c r="U321" i="10"/>
  <c r="V321" i="10"/>
  <c r="U270" i="10"/>
  <c r="V270" i="10"/>
  <c r="V198" i="10"/>
  <c r="U198" i="10"/>
  <c r="V226" i="10"/>
  <c r="U226" i="10"/>
  <c r="V71" i="10"/>
  <c r="U71" i="10"/>
  <c r="V518" i="10"/>
  <c r="U518" i="10"/>
  <c r="V475" i="10"/>
  <c r="U475" i="10"/>
  <c r="V542" i="10"/>
  <c r="U542" i="10"/>
  <c r="V463" i="10"/>
  <c r="U463" i="10"/>
  <c r="V427" i="10"/>
  <c r="U427" i="10"/>
  <c r="U237" i="10"/>
  <c r="V237" i="10"/>
  <c r="U181" i="10"/>
  <c r="V181" i="10"/>
  <c r="V276" i="10"/>
  <c r="U276" i="10"/>
  <c r="V19" i="10"/>
  <c r="U19" i="10"/>
  <c r="V178" i="10"/>
  <c r="U178" i="10"/>
  <c r="V27" i="10"/>
  <c r="U27" i="10"/>
  <c r="V434" i="10"/>
  <c r="U434" i="10"/>
  <c r="U514" i="10"/>
  <c r="V514" i="10"/>
  <c r="V479" i="10"/>
  <c r="U479" i="10"/>
  <c r="V423" i="10"/>
  <c r="U423" i="10"/>
  <c r="U318" i="10"/>
  <c r="V318" i="10"/>
  <c r="U349" i="10"/>
  <c r="V349" i="10"/>
  <c r="U201" i="10"/>
  <c r="V201" i="10"/>
  <c r="V72" i="10"/>
  <c r="U72" i="10"/>
  <c r="U64" i="10"/>
  <c r="V64" i="10"/>
  <c r="V20" i="10"/>
  <c r="U20" i="10"/>
  <c r="V36" i="10"/>
  <c r="U36" i="10"/>
  <c r="U99" i="10"/>
  <c r="V99" i="10"/>
  <c r="U60" i="10"/>
  <c r="V60" i="10"/>
  <c r="U89" i="10"/>
  <c r="V89" i="10"/>
  <c r="V137" i="10"/>
  <c r="U137" i="10"/>
  <c r="V153" i="10"/>
  <c r="U153" i="10"/>
  <c r="V216" i="10"/>
  <c r="U216" i="10"/>
  <c r="V232" i="10"/>
  <c r="U232" i="10"/>
  <c r="U261" i="10"/>
  <c r="V261" i="10"/>
  <c r="U285" i="10"/>
  <c r="V285" i="10"/>
  <c r="U293" i="10"/>
  <c r="V293" i="10"/>
  <c r="V344" i="10"/>
  <c r="U344" i="10"/>
  <c r="U103" i="10"/>
  <c r="V103" i="10"/>
  <c r="U151" i="10"/>
  <c r="V151" i="10"/>
  <c r="V243" i="10"/>
  <c r="U243" i="10"/>
  <c r="U303" i="10"/>
  <c r="V303" i="10"/>
  <c r="V355" i="10"/>
  <c r="U355" i="10"/>
  <c r="U364" i="10"/>
  <c r="V364" i="10"/>
  <c r="U390" i="10"/>
  <c r="V390" i="10"/>
  <c r="V443" i="10"/>
  <c r="U443" i="10"/>
  <c r="V470" i="10"/>
  <c r="U470" i="10"/>
  <c r="U416" i="10"/>
  <c r="V416" i="10"/>
  <c r="V438" i="10"/>
  <c r="U438" i="10"/>
  <c r="U486" i="10"/>
  <c r="V486" i="10"/>
  <c r="V493" i="10"/>
  <c r="U493" i="10"/>
  <c r="V525" i="10"/>
  <c r="U525" i="10"/>
  <c r="V557" i="10"/>
  <c r="U557" i="10"/>
  <c r="AU524" i="10"/>
  <c r="AT524" i="10"/>
  <c r="AU411" i="10"/>
  <c r="AT411" i="10"/>
  <c r="AT311" i="10"/>
  <c r="AU311" i="10"/>
  <c r="AT215" i="10"/>
  <c r="AU215" i="10"/>
  <c r="AU115" i="10"/>
  <c r="AT115" i="10"/>
  <c r="AT145" i="10"/>
  <c r="AU145" i="10"/>
  <c r="AT36" i="10"/>
  <c r="AU36" i="10"/>
  <c r="AT53" i="10"/>
  <c r="AU53" i="10"/>
  <c r="AU33" i="10"/>
  <c r="AT33" i="10"/>
  <c r="AU264" i="10"/>
  <c r="AT264" i="10"/>
  <c r="AT47" i="10"/>
  <c r="AU47" i="10"/>
  <c r="AT408" i="10"/>
  <c r="AU408" i="10"/>
  <c r="AT539" i="10"/>
  <c r="AU539" i="10"/>
  <c r="AU146" i="10"/>
  <c r="AT146" i="10"/>
  <c r="AU252" i="10"/>
  <c r="AT252" i="10"/>
  <c r="AU526" i="10"/>
  <c r="AT526" i="10"/>
  <c r="AT249" i="10"/>
  <c r="AU249" i="10"/>
  <c r="AT556" i="10"/>
  <c r="AU556" i="10"/>
  <c r="AU473" i="10"/>
  <c r="AT473" i="10"/>
  <c r="AU423" i="10"/>
  <c r="AT423" i="10"/>
  <c r="AT323" i="10"/>
  <c r="AU323" i="10"/>
  <c r="AU326" i="10"/>
  <c r="AT326" i="10"/>
  <c r="AU262" i="10"/>
  <c r="AT262" i="10"/>
  <c r="AT157" i="10"/>
  <c r="AU157" i="10"/>
  <c r="AT184" i="10"/>
  <c r="AU184" i="10"/>
  <c r="AU178" i="10"/>
  <c r="AT178" i="10"/>
  <c r="AT435" i="10"/>
  <c r="AU435" i="10"/>
  <c r="AU381" i="10"/>
  <c r="AT381" i="10"/>
  <c r="AU135" i="10"/>
  <c r="AT135" i="10"/>
  <c r="AU316" i="10"/>
  <c r="AT316" i="10"/>
  <c r="AU417" i="10"/>
  <c r="AT417" i="10"/>
  <c r="AT508" i="10"/>
  <c r="AU508" i="10"/>
  <c r="AT492" i="10"/>
  <c r="AU492" i="10"/>
  <c r="AT335" i="10"/>
  <c r="AU335" i="10"/>
  <c r="AU338" i="10"/>
  <c r="AT338" i="10"/>
  <c r="AT267" i="10"/>
  <c r="AU267" i="10"/>
  <c r="AU108" i="10"/>
  <c r="AT108" i="10"/>
  <c r="AU225" i="10"/>
  <c r="AT225" i="10"/>
  <c r="AT129" i="10"/>
  <c r="AU129" i="10"/>
  <c r="AU520" i="10"/>
  <c r="AT520" i="10"/>
  <c r="AU217" i="10"/>
  <c r="AT217" i="10"/>
  <c r="AU181" i="10"/>
  <c r="AT181" i="10"/>
  <c r="AT521" i="10"/>
  <c r="AU521" i="10"/>
  <c r="AU445" i="10"/>
  <c r="AT445" i="10"/>
  <c r="AT455" i="10"/>
  <c r="AU455" i="10"/>
  <c r="AT347" i="10"/>
  <c r="AU347" i="10"/>
  <c r="AT171" i="10"/>
  <c r="AU171" i="10"/>
  <c r="AU286" i="10"/>
  <c r="AT286" i="10"/>
  <c r="AT279" i="10"/>
  <c r="AU279" i="10"/>
  <c r="AU405" i="10"/>
  <c r="AT405" i="10"/>
  <c r="AU530" i="10"/>
  <c r="AT530" i="10"/>
  <c r="AT117" i="10"/>
  <c r="AU117" i="10"/>
  <c r="AT426" i="10"/>
  <c r="AU426" i="10"/>
  <c r="AU321" i="10"/>
  <c r="AT321" i="10"/>
  <c r="AU40" i="10"/>
  <c r="AT40" i="10"/>
  <c r="AU348" i="10"/>
  <c r="AT348" i="10"/>
  <c r="AU118" i="10"/>
  <c r="AT118" i="10"/>
  <c r="U539" i="10"/>
  <c r="V539" i="10"/>
  <c r="V455" i="10"/>
  <c r="U455" i="10"/>
  <c r="V425" i="10"/>
  <c r="U425" i="10"/>
  <c r="U197" i="10"/>
  <c r="V197" i="10"/>
  <c r="V116" i="10"/>
  <c r="U116" i="10"/>
  <c r="V296" i="10"/>
  <c r="U296" i="10"/>
  <c r="V264" i="10"/>
  <c r="U264" i="10"/>
  <c r="V214" i="10"/>
  <c r="U214" i="10"/>
  <c r="U22" i="10"/>
  <c r="V22" i="10"/>
  <c r="V182" i="10"/>
  <c r="U182" i="10"/>
  <c r="V138" i="10"/>
  <c r="U138" i="10"/>
  <c r="V74" i="10"/>
  <c r="U74" i="10"/>
  <c r="V30" i="10"/>
  <c r="U30" i="10"/>
  <c r="V524" i="10"/>
  <c r="U524" i="10"/>
  <c r="V534" i="10"/>
  <c r="U534" i="10"/>
  <c r="U495" i="10"/>
  <c r="V495" i="10"/>
  <c r="V459" i="10"/>
  <c r="U459" i="10"/>
  <c r="V421" i="10"/>
  <c r="U421" i="10"/>
  <c r="U354" i="10"/>
  <c r="V354" i="10"/>
  <c r="U322" i="10"/>
  <c r="V322" i="10"/>
  <c r="V369" i="10"/>
  <c r="U369" i="10"/>
  <c r="U329" i="10"/>
  <c r="V329" i="10"/>
  <c r="U286" i="10"/>
  <c r="V286" i="10"/>
  <c r="U225" i="10"/>
  <c r="V225" i="10"/>
  <c r="U185" i="10"/>
  <c r="V185" i="10"/>
  <c r="V206" i="10"/>
  <c r="U206" i="10"/>
  <c r="V242" i="10"/>
  <c r="U242" i="10"/>
  <c r="V80" i="10"/>
  <c r="U80" i="10"/>
  <c r="U28" i="10"/>
  <c r="V28" i="10"/>
  <c r="V102" i="10"/>
  <c r="U102" i="10"/>
  <c r="U50" i="10"/>
  <c r="V50" i="10"/>
  <c r="U62" i="10"/>
  <c r="V62" i="10"/>
  <c r="U519" i="10"/>
  <c r="V519" i="10"/>
  <c r="U490" i="10"/>
  <c r="V490" i="10"/>
  <c r="V365" i="10"/>
  <c r="U365" i="10"/>
  <c r="V176" i="10"/>
  <c r="U176" i="10"/>
  <c r="V550" i="10"/>
  <c r="U550" i="10"/>
  <c r="V526" i="10"/>
  <c r="U526" i="10"/>
  <c r="U484" i="10"/>
  <c r="V484" i="10"/>
  <c r="U464" i="10"/>
  <c r="V464" i="10"/>
  <c r="V431" i="10"/>
  <c r="U431" i="10"/>
  <c r="V471" i="10"/>
  <c r="U471" i="10"/>
  <c r="V306" i="10"/>
  <c r="U306" i="10"/>
  <c r="V377" i="10"/>
  <c r="U377" i="10"/>
  <c r="V304" i="10"/>
  <c r="U304" i="10"/>
  <c r="V140" i="10"/>
  <c r="U140" i="10"/>
  <c r="V104" i="10"/>
  <c r="U104" i="10"/>
  <c r="V284" i="10"/>
  <c r="U284" i="10"/>
  <c r="V252" i="10"/>
  <c r="U252" i="10"/>
  <c r="V76" i="10"/>
  <c r="U76" i="10"/>
  <c r="U43" i="10"/>
  <c r="V43" i="10"/>
  <c r="V186" i="10"/>
  <c r="U186" i="10"/>
  <c r="V146" i="10"/>
  <c r="U146" i="10"/>
  <c r="V98" i="10"/>
  <c r="U98" i="10"/>
  <c r="V34" i="10"/>
  <c r="U34" i="10"/>
  <c r="U456" i="10"/>
  <c r="V456" i="10"/>
  <c r="U266" i="10"/>
  <c r="V266" i="10"/>
  <c r="V148" i="10"/>
  <c r="U148" i="10"/>
  <c r="U543" i="10"/>
  <c r="V543" i="10"/>
  <c r="V520" i="10"/>
  <c r="U520" i="10"/>
  <c r="V485" i="10"/>
  <c r="U485" i="10"/>
  <c r="U502" i="10"/>
  <c r="V502" i="10"/>
  <c r="V457" i="10"/>
  <c r="U457" i="10"/>
  <c r="V461" i="10"/>
  <c r="U461" i="10"/>
  <c r="U358" i="10"/>
  <c r="V358" i="10"/>
  <c r="U326" i="10"/>
  <c r="V326" i="10"/>
  <c r="U357" i="10"/>
  <c r="V357" i="10"/>
  <c r="U325" i="10"/>
  <c r="V325" i="10"/>
  <c r="U278" i="10"/>
  <c r="V278" i="10"/>
  <c r="U217" i="10"/>
  <c r="V217" i="10"/>
  <c r="V160" i="10"/>
  <c r="U160" i="10"/>
  <c r="V172" i="10"/>
  <c r="U172" i="10"/>
  <c r="V88" i="10"/>
  <c r="U88" i="10"/>
  <c r="V23" i="10"/>
  <c r="U23" i="10"/>
  <c r="V142" i="10"/>
  <c r="U142" i="10"/>
  <c r="V94" i="10"/>
  <c r="U94" i="10"/>
  <c r="V29" i="10"/>
  <c r="U29" i="10"/>
  <c r="V55" i="10"/>
  <c r="U55" i="10"/>
  <c r="U79" i="10"/>
  <c r="V79" i="10"/>
  <c r="U95" i="10"/>
  <c r="V95" i="10"/>
  <c r="V195" i="10"/>
  <c r="U195" i="10"/>
  <c r="U85" i="10"/>
  <c r="V85" i="10"/>
  <c r="V101" i="10"/>
  <c r="U101" i="10"/>
  <c r="V117" i="10"/>
  <c r="U117" i="10"/>
  <c r="V133" i="10"/>
  <c r="U133" i="10"/>
  <c r="V149" i="10"/>
  <c r="U149" i="10"/>
  <c r="U301" i="10"/>
  <c r="V301" i="10"/>
  <c r="V179" i="10"/>
  <c r="U179" i="10"/>
  <c r="V212" i="10"/>
  <c r="U212" i="10"/>
  <c r="V228" i="10"/>
  <c r="U228" i="10"/>
  <c r="V244" i="10"/>
  <c r="U244" i="10"/>
  <c r="U251" i="10"/>
  <c r="V251" i="10"/>
  <c r="U259" i="10"/>
  <c r="V259" i="10"/>
  <c r="U267" i="10"/>
  <c r="V267" i="10"/>
  <c r="U275" i="10"/>
  <c r="V275" i="10"/>
  <c r="U283" i="10"/>
  <c r="V283" i="10"/>
  <c r="U291" i="10"/>
  <c r="V291" i="10"/>
  <c r="V308" i="10"/>
  <c r="U308" i="10"/>
  <c r="V324" i="10"/>
  <c r="U324" i="10"/>
  <c r="V340" i="10"/>
  <c r="U340" i="10"/>
  <c r="V356" i="10"/>
  <c r="U356" i="10"/>
  <c r="U115" i="10"/>
  <c r="V115" i="10"/>
  <c r="U131" i="10"/>
  <c r="V131" i="10"/>
  <c r="U147" i="10"/>
  <c r="V147" i="10"/>
  <c r="U163" i="10"/>
  <c r="V163" i="10"/>
  <c r="V223" i="10"/>
  <c r="U223" i="10"/>
  <c r="V239" i="10"/>
  <c r="U239" i="10"/>
  <c r="U299" i="10"/>
  <c r="V299" i="10"/>
  <c r="V319" i="10"/>
  <c r="U319" i="10"/>
  <c r="V335" i="10"/>
  <c r="U335" i="10"/>
  <c r="V351" i="10"/>
  <c r="U351" i="10"/>
  <c r="U360" i="10"/>
  <c r="V360" i="10"/>
  <c r="U433" i="10"/>
  <c r="V433" i="10"/>
  <c r="U366" i="10"/>
  <c r="V366" i="10"/>
  <c r="V383" i="10"/>
  <c r="U383" i="10"/>
  <c r="U402" i="10"/>
  <c r="V402" i="10"/>
  <c r="U418" i="10"/>
  <c r="V418" i="10"/>
  <c r="V439" i="10"/>
  <c r="U439" i="10"/>
  <c r="U386" i="10"/>
  <c r="V386" i="10"/>
  <c r="V378" i="10"/>
  <c r="U378" i="10"/>
  <c r="U396" i="10"/>
  <c r="V396" i="10"/>
  <c r="U412" i="10"/>
  <c r="V412" i="10"/>
  <c r="U428" i="10"/>
  <c r="V428" i="10"/>
  <c r="V462" i="10"/>
  <c r="U462" i="10"/>
  <c r="U449" i="10"/>
  <c r="V449" i="10"/>
  <c r="V482" i="10"/>
  <c r="U482" i="10"/>
  <c r="V450" i="10"/>
  <c r="U450" i="10"/>
  <c r="U488" i="10"/>
  <c r="V488" i="10"/>
  <c r="V504" i="10"/>
  <c r="U504" i="10"/>
  <c r="V521" i="10"/>
  <c r="U521" i="10"/>
  <c r="U535" i="10"/>
  <c r="V535" i="10"/>
  <c r="V537" i="10"/>
  <c r="U537" i="10"/>
  <c r="U547" i="10"/>
  <c r="V547" i="10"/>
  <c r="V560" i="10"/>
  <c r="U560" i="10"/>
  <c r="AT541" i="10"/>
  <c r="AU541" i="10"/>
  <c r="AU536" i="10"/>
  <c r="AT536" i="10"/>
  <c r="AT500" i="10"/>
  <c r="AU500" i="10"/>
  <c r="AT463" i="10"/>
  <c r="AU463" i="10"/>
  <c r="AT394" i="10"/>
  <c r="AU394" i="10"/>
  <c r="AU395" i="10"/>
  <c r="AT395" i="10"/>
  <c r="AT433" i="10"/>
  <c r="AU433" i="10"/>
  <c r="AT359" i="10"/>
  <c r="AU359" i="10"/>
  <c r="AT183" i="10"/>
  <c r="AU183" i="10"/>
  <c r="AU99" i="10"/>
  <c r="AT99" i="10"/>
  <c r="AT83" i="10"/>
  <c r="AU83" i="10"/>
  <c r="AU298" i="10"/>
  <c r="AT298" i="10"/>
  <c r="AT236" i="10"/>
  <c r="AU236" i="10"/>
  <c r="AT291" i="10"/>
  <c r="AU291" i="10"/>
  <c r="AT24" i="10"/>
  <c r="AU24" i="10"/>
  <c r="AU68" i="10"/>
  <c r="AT68" i="10"/>
  <c r="AU72" i="10"/>
  <c r="AT72" i="10"/>
  <c r="AU132" i="10"/>
  <c r="AT132" i="10"/>
  <c r="AU198" i="10"/>
  <c r="AT198" i="10"/>
  <c r="AU84" i="10"/>
  <c r="AT84" i="10"/>
  <c r="AU296" i="10"/>
  <c r="AT296" i="10"/>
  <c r="AU505" i="10"/>
  <c r="AT505" i="10"/>
  <c r="AT273" i="10"/>
  <c r="AU273" i="10"/>
  <c r="AU337" i="10"/>
  <c r="AT337" i="10"/>
  <c r="AU94" i="10"/>
  <c r="AT94" i="10"/>
  <c r="AU163" i="10"/>
  <c r="AT163" i="10"/>
  <c r="AT105" i="10"/>
  <c r="AU105" i="10"/>
  <c r="AU325" i="10"/>
  <c r="AT325" i="10"/>
  <c r="AU448" i="10"/>
  <c r="AT448" i="10"/>
  <c r="AU284" i="10"/>
  <c r="AT284" i="10"/>
  <c r="AU377" i="10"/>
  <c r="AT377" i="10"/>
  <c r="AU484" i="10"/>
  <c r="AT484" i="10"/>
  <c r="AU554" i="10"/>
  <c r="AT554" i="10"/>
  <c r="AT277" i="10"/>
  <c r="AU277" i="10"/>
  <c r="AU221" i="10"/>
  <c r="AT221" i="10"/>
  <c r="AU233" i="10"/>
  <c r="AT233" i="10"/>
  <c r="AT531" i="10"/>
  <c r="AU531" i="10"/>
  <c r="AU503" i="10"/>
  <c r="AT503" i="10"/>
  <c r="AT504" i="10"/>
  <c r="AU504" i="10"/>
  <c r="AU489" i="10"/>
  <c r="AT489" i="10"/>
  <c r="AU434" i="10"/>
  <c r="AT434" i="10"/>
  <c r="AT406" i="10"/>
  <c r="AU406" i="10"/>
  <c r="AU407" i="10"/>
  <c r="AT407" i="10"/>
  <c r="AT307" i="10"/>
  <c r="AU307" i="10"/>
  <c r="AT211" i="10"/>
  <c r="AU211" i="10"/>
  <c r="AT195" i="10"/>
  <c r="AU195" i="10"/>
  <c r="AU310" i="10"/>
  <c r="AT310" i="10"/>
  <c r="AU111" i="10"/>
  <c r="AT111" i="10"/>
  <c r="AU246" i="10"/>
  <c r="AT246" i="10"/>
  <c r="AT141" i="10"/>
  <c r="AU141" i="10"/>
  <c r="AU92" i="10"/>
  <c r="AT92" i="10"/>
  <c r="AU144" i="10"/>
  <c r="AT144" i="10"/>
  <c r="AT51" i="10"/>
  <c r="AU51" i="10"/>
  <c r="AT192" i="10"/>
  <c r="AU192" i="10"/>
  <c r="AU31" i="10"/>
  <c r="AT31" i="10"/>
  <c r="AT25" i="10"/>
  <c r="AU25" i="10"/>
  <c r="AU122" i="10"/>
  <c r="AT122" i="10"/>
  <c r="AU143" i="10"/>
  <c r="AT143" i="10"/>
  <c r="AU230" i="10"/>
  <c r="AT230" i="10"/>
  <c r="AU272" i="10"/>
  <c r="AT272" i="10"/>
  <c r="AT431" i="10"/>
  <c r="AU431" i="10"/>
  <c r="AT443" i="10"/>
  <c r="AU443" i="10"/>
  <c r="AU523" i="10"/>
  <c r="AT523" i="10"/>
  <c r="AU50" i="10"/>
  <c r="AT50" i="10"/>
  <c r="AU49" i="10"/>
  <c r="AT49" i="10"/>
  <c r="AT81" i="10"/>
  <c r="AU81" i="10"/>
  <c r="AU344" i="10"/>
  <c r="AT344" i="10"/>
  <c r="AU369" i="10"/>
  <c r="AT369" i="10"/>
  <c r="AT424" i="10"/>
  <c r="AU424" i="10"/>
  <c r="AU425" i="10"/>
  <c r="AT425" i="10"/>
  <c r="AU486" i="10"/>
  <c r="AT486" i="10"/>
  <c r="AU542" i="10"/>
  <c r="AT542" i="10"/>
  <c r="AU361" i="10"/>
  <c r="AT361" i="10"/>
  <c r="AU493" i="10"/>
  <c r="AT493" i="10"/>
  <c r="AU162" i="10"/>
  <c r="AT162" i="10"/>
  <c r="AT133" i="10"/>
  <c r="AU133" i="10"/>
  <c r="AU260" i="10"/>
  <c r="AT260" i="10"/>
  <c r="AT543" i="10"/>
  <c r="AU543" i="10"/>
  <c r="AU150" i="10"/>
  <c r="AT150" i="10"/>
  <c r="AT253" i="10"/>
  <c r="AU253" i="10"/>
  <c r="AT77" i="10"/>
  <c r="AU77" i="10"/>
  <c r="AU555" i="10"/>
  <c r="AT555" i="10"/>
  <c r="AU499" i="10"/>
  <c r="AT499" i="10"/>
  <c r="AT462" i="10"/>
  <c r="AU462" i="10"/>
  <c r="AT418" i="10"/>
  <c r="AU418" i="10"/>
  <c r="AT374" i="10"/>
  <c r="AU374" i="10"/>
  <c r="AU419" i="10"/>
  <c r="AT419" i="10"/>
  <c r="AU437" i="10"/>
  <c r="AT437" i="10"/>
  <c r="AT319" i="10"/>
  <c r="AU319" i="10"/>
  <c r="AU306" i="10"/>
  <c r="AT306" i="10"/>
  <c r="AT223" i="10"/>
  <c r="AU223" i="10"/>
  <c r="AT207" i="10"/>
  <c r="AU207" i="10"/>
  <c r="AU322" i="10"/>
  <c r="AT322" i="10"/>
  <c r="AU123" i="10"/>
  <c r="AT123" i="10"/>
  <c r="AU107" i="10"/>
  <c r="AT107" i="10"/>
  <c r="AU258" i="10"/>
  <c r="AT258" i="10"/>
  <c r="AT251" i="10"/>
  <c r="AU251" i="10"/>
  <c r="AT153" i="10"/>
  <c r="AU153" i="10"/>
  <c r="AT20" i="10"/>
  <c r="AU20" i="10"/>
  <c r="AT180" i="10"/>
  <c r="AU180" i="10"/>
  <c r="AU156" i="10"/>
  <c r="AT156" i="10"/>
  <c r="AU82" i="10"/>
  <c r="AT82" i="10"/>
  <c r="AU186" i="10"/>
  <c r="AT186" i="10"/>
  <c r="AU159" i="10"/>
  <c r="AT159" i="10"/>
  <c r="AU248" i="10"/>
  <c r="AT248" i="10"/>
  <c r="AU340" i="10"/>
  <c r="AT340" i="10"/>
  <c r="AT430" i="10"/>
  <c r="AU430" i="10"/>
  <c r="AU550" i="10"/>
  <c r="AT550" i="10"/>
  <c r="AU510" i="10"/>
  <c r="AT510" i="10"/>
  <c r="AU57" i="10"/>
  <c r="AT57" i="10"/>
  <c r="AU131" i="10"/>
  <c r="AT131" i="10"/>
  <c r="AU229" i="10"/>
  <c r="AT229" i="10"/>
  <c r="AU376" i="10"/>
  <c r="AT376" i="10"/>
  <c r="AU480" i="10"/>
  <c r="AT480" i="10"/>
  <c r="AT384" i="10"/>
  <c r="AU384" i="10"/>
  <c r="AU440" i="10"/>
  <c r="AT440" i="10"/>
  <c r="AU114" i="10"/>
  <c r="AT114" i="10"/>
  <c r="AU62" i="10"/>
  <c r="AT62" i="10"/>
  <c r="AU151" i="10"/>
  <c r="AT151" i="10"/>
  <c r="AU332" i="10"/>
  <c r="AT332" i="10"/>
  <c r="AT66" i="10"/>
  <c r="AU66" i="10"/>
  <c r="AU102" i="10"/>
  <c r="AT102" i="10"/>
  <c r="AT545" i="10"/>
  <c r="AU545" i="10"/>
  <c r="AU544" i="10"/>
  <c r="AT544" i="10"/>
  <c r="AT488" i="10"/>
  <c r="AU488" i="10"/>
  <c r="AU481" i="10"/>
  <c r="AT481" i="10"/>
  <c r="AU436" i="10"/>
  <c r="AT436" i="10"/>
  <c r="AT331" i="10"/>
  <c r="AU331" i="10"/>
  <c r="AT235" i="10"/>
  <c r="AU235" i="10"/>
  <c r="AU334" i="10"/>
  <c r="AT334" i="10"/>
  <c r="AU270" i="10"/>
  <c r="AT270" i="10"/>
  <c r="AT263" i="10"/>
  <c r="AU263" i="10"/>
  <c r="AU202" i="10"/>
  <c r="AT202" i="10"/>
  <c r="AU48" i="10"/>
  <c r="AT48" i="10"/>
  <c r="AU104" i="10"/>
  <c r="AT104" i="10"/>
  <c r="AU39" i="10"/>
  <c r="AT39" i="10"/>
  <c r="AU241" i="10"/>
  <c r="AT241" i="10"/>
  <c r="AU444" i="10"/>
  <c r="AT444" i="10"/>
  <c r="AU538" i="10"/>
  <c r="AT538" i="10"/>
  <c r="AU30" i="10"/>
  <c r="AT30" i="10"/>
  <c r="AU218" i="10"/>
  <c r="AT218" i="10"/>
  <c r="AU387" i="10"/>
  <c r="AT387" i="10"/>
  <c r="AU42" i="10"/>
  <c r="AT42" i="10"/>
  <c r="AU174" i="10"/>
  <c r="AT174" i="10"/>
  <c r="AU490" i="10"/>
  <c r="AT490" i="10"/>
  <c r="AU558" i="10"/>
  <c r="AT558" i="10"/>
  <c r="AT269" i="10"/>
  <c r="AU269" i="10"/>
  <c r="B230" i="2"/>
  <c r="F232" i="2"/>
  <c r="E230" i="2"/>
  <c r="B178" i="2"/>
  <c r="B186" i="2"/>
  <c r="B17" i="5"/>
  <c r="B45" i="5" s="1"/>
  <c r="B46" i="5" s="1"/>
  <c r="B180" i="2"/>
  <c r="B52" i="5"/>
  <c r="B53" i="5" s="1"/>
  <c r="B55" i="5" s="1"/>
  <c r="H18" i="1"/>
  <c r="H19" i="1"/>
  <c r="B80" i="2"/>
  <c r="B88" i="2"/>
  <c r="B84" i="2"/>
  <c r="B75" i="2"/>
  <c r="H23" i="1" s="1"/>
  <c r="U7" i="5"/>
  <c r="B113" i="2"/>
  <c r="B195" i="2"/>
  <c r="AR7" i="5"/>
  <c r="AQ7" i="5"/>
  <c r="B291" i="2"/>
  <c r="S17" i="4"/>
  <c r="AW17" i="4" s="1"/>
  <c r="S22" i="4"/>
  <c r="AW22" i="4" s="1"/>
  <c r="S25" i="4"/>
  <c r="AW25" i="4" s="1"/>
  <c r="S30" i="4"/>
  <c r="AW30" i="4" s="1"/>
  <c r="S33" i="4"/>
  <c r="AW33" i="4" s="1"/>
  <c r="S38" i="4"/>
  <c r="AW38" i="4" s="1"/>
  <c r="S41" i="4"/>
  <c r="AW41" i="4" s="1"/>
  <c r="S43" i="4"/>
  <c r="AW43" i="4" s="1"/>
  <c r="S45" i="4"/>
  <c r="AW45" i="4" s="1"/>
  <c r="S47" i="4"/>
  <c r="AW47" i="4" s="1"/>
  <c r="S49" i="4"/>
  <c r="AW49" i="4" s="1"/>
  <c r="S51" i="4"/>
  <c r="AW51" i="4" s="1"/>
  <c r="S53" i="4"/>
  <c r="AW53" i="4" s="1"/>
  <c r="S55" i="4"/>
  <c r="AW55" i="4" s="1"/>
  <c r="S57" i="4"/>
  <c r="AW57" i="4" s="1"/>
  <c r="S59" i="4"/>
  <c r="AW59" i="4" s="1"/>
  <c r="S61" i="4"/>
  <c r="AW61" i="4" s="1"/>
  <c r="S63" i="4"/>
  <c r="AW63" i="4" s="1"/>
  <c r="S65" i="4"/>
  <c r="AW65" i="4" s="1"/>
  <c r="S67" i="4"/>
  <c r="AW67" i="4" s="1"/>
  <c r="S69" i="4"/>
  <c r="AW69" i="4" s="1"/>
  <c r="S71" i="4"/>
  <c r="AW71" i="4" s="1"/>
  <c r="S73" i="4"/>
  <c r="AW73" i="4" s="1"/>
  <c r="S75" i="4"/>
  <c r="AW75" i="4" s="1"/>
  <c r="S77" i="4"/>
  <c r="AW77" i="4" s="1"/>
  <c r="S79" i="4"/>
  <c r="AW79" i="4" s="1"/>
  <c r="S81" i="4"/>
  <c r="AW81" i="4" s="1"/>
  <c r="S83" i="4"/>
  <c r="AW83" i="4" s="1"/>
  <c r="S85" i="4"/>
  <c r="AW85" i="4" s="1"/>
  <c r="S87" i="4"/>
  <c r="AW87" i="4" s="1"/>
  <c r="S89" i="4"/>
  <c r="AW89" i="4" s="1"/>
  <c r="S91" i="4"/>
  <c r="AW91" i="4" s="1"/>
  <c r="S93" i="4"/>
  <c r="AW93" i="4" s="1"/>
  <c r="S95" i="4"/>
  <c r="AW95" i="4" s="1"/>
  <c r="S97" i="4"/>
  <c r="AW97" i="4" s="1"/>
  <c r="S99" i="4"/>
  <c r="AW99" i="4" s="1"/>
  <c r="S101" i="4"/>
  <c r="AW101" i="4" s="1"/>
  <c r="S103" i="4"/>
  <c r="AW103" i="4" s="1"/>
  <c r="S105" i="4"/>
  <c r="AW105" i="4" s="1"/>
  <c r="S107" i="4"/>
  <c r="AW107" i="4" s="1"/>
  <c r="S109" i="4"/>
  <c r="AW109" i="4" s="1"/>
  <c r="S111" i="4"/>
  <c r="AW111" i="4" s="1"/>
  <c r="S113" i="4"/>
  <c r="AW113" i="4" s="1"/>
  <c r="S115" i="4"/>
  <c r="AW115" i="4" s="1"/>
  <c r="S117" i="4"/>
  <c r="AW117" i="4" s="1"/>
  <c r="S119" i="4"/>
  <c r="AW119" i="4" s="1"/>
  <c r="S121" i="4"/>
  <c r="AW121" i="4" s="1"/>
  <c r="S123" i="4"/>
  <c r="AW123" i="4" s="1"/>
  <c r="S125" i="4"/>
  <c r="AW125" i="4" s="1"/>
  <c r="S127" i="4"/>
  <c r="AW127" i="4" s="1"/>
  <c r="S129" i="4"/>
  <c r="AW129" i="4" s="1"/>
  <c r="S131" i="4"/>
  <c r="AW131" i="4" s="1"/>
  <c r="S133" i="4"/>
  <c r="AW133" i="4" s="1"/>
  <c r="S135" i="4"/>
  <c r="AW135" i="4" s="1"/>
  <c r="S137" i="4"/>
  <c r="AW137" i="4" s="1"/>
  <c r="S139" i="4"/>
  <c r="AW139" i="4" s="1"/>
  <c r="S141" i="4"/>
  <c r="AW141" i="4" s="1"/>
  <c r="S143" i="4"/>
  <c r="AW143" i="4" s="1"/>
  <c r="S145" i="4"/>
  <c r="AW145" i="4" s="1"/>
  <c r="S147" i="4"/>
  <c r="AW147" i="4" s="1"/>
  <c r="S149" i="4"/>
  <c r="AW149" i="4" s="1"/>
  <c r="S151" i="4"/>
  <c r="AW151" i="4" s="1"/>
  <c r="S153" i="4"/>
  <c r="AW153" i="4" s="1"/>
  <c r="S155" i="4"/>
  <c r="AW155" i="4" s="1"/>
  <c r="S157" i="4"/>
  <c r="AW157" i="4" s="1"/>
  <c r="S9" i="4"/>
  <c r="AW9" i="4" s="1"/>
  <c r="S11" i="4"/>
  <c r="AW11" i="4" s="1"/>
  <c r="S13" i="4"/>
  <c r="AW13" i="4" s="1"/>
  <c r="S19" i="4"/>
  <c r="AW19" i="4" s="1"/>
  <c r="S23" i="4"/>
  <c r="AW23" i="4" s="1"/>
  <c r="S26" i="4"/>
  <c r="AW26" i="4" s="1"/>
  <c r="S37" i="4"/>
  <c r="AW37" i="4" s="1"/>
  <c r="S40" i="4"/>
  <c r="AW40" i="4" s="1"/>
  <c r="S46" i="4"/>
  <c r="AW46" i="4" s="1"/>
  <c r="S54" i="4"/>
  <c r="AW54" i="4" s="1"/>
  <c r="S62" i="4"/>
  <c r="AW62" i="4" s="1"/>
  <c r="S70" i="4"/>
  <c r="AW70" i="4" s="1"/>
  <c r="S78" i="4"/>
  <c r="AW78" i="4" s="1"/>
  <c r="S86" i="4"/>
  <c r="AW86" i="4" s="1"/>
  <c r="S94" i="4"/>
  <c r="AW94" i="4" s="1"/>
  <c r="S102" i="4"/>
  <c r="AW102" i="4" s="1"/>
  <c r="S110" i="4"/>
  <c r="AW110" i="4" s="1"/>
  <c r="S118" i="4"/>
  <c r="AW118" i="4" s="1"/>
  <c r="S126" i="4"/>
  <c r="AW126" i="4" s="1"/>
  <c r="S134" i="4"/>
  <c r="AW134" i="4" s="1"/>
  <c r="S142" i="4"/>
  <c r="AW142" i="4" s="1"/>
  <c r="S150" i="4"/>
  <c r="AW150" i="4" s="1"/>
  <c r="S8" i="4"/>
  <c r="S16" i="4"/>
  <c r="AW16" i="4" s="1"/>
  <c r="S20" i="4"/>
  <c r="AW20" i="4" s="1"/>
  <c r="S27" i="4"/>
  <c r="AW27" i="4" s="1"/>
  <c r="S31" i="4"/>
  <c r="AW31" i="4" s="1"/>
  <c r="S34" i="4"/>
  <c r="AW34" i="4" s="1"/>
  <c r="S44" i="4"/>
  <c r="AW44" i="4" s="1"/>
  <c r="S52" i="4"/>
  <c r="AW52" i="4" s="1"/>
  <c r="S60" i="4"/>
  <c r="AW60" i="4" s="1"/>
  <c r="S68" i="4"/>
  <c r="AW68" i="4" s="1"/>
  <c r="S76" i="4"/>
  <c r="AW76" i="4" s="1"/>
  <c r="S84" i="4"/>
  <c r="AW84" i="4" s="1"/>
  <c r="S92" i="4"/>
  <c r="AW92" i="4" s="1"/>
  <c r="S100" i="4"/>
  <c r="AW100" i="4" s="1"/>
  <c r="S108" i="4"/>
  <c r="AW108" i="4" s="1"/>
  <c r="S116" i="4"/>
  <c r="AW116" i="4" s="1"/>
  <c r="S124" i="4"/>
  <c r="AW124" i="4" s="1"/>
  <c r="S132" i="4"/>
  <c r="AW132" i="4" s="1"/>
  <c r="S140" i="4"/>
  <c r="AW140" i="4" s="1"/>
  <c r="S148" i="4"/>
  <c r="AW148" i="4" s="1"/>
  <c r="S156" i="4"/>
  <c r="AW156" i="4" s="1"/>
  <c r="S14" i="4"/>
  <c r="AW14" i="4" s="1"/>
  <c r="S21" i="4"/>
  <c r="AW21" i="4" s="1"/>
  <c r="S24" i="4"/>
  <c r="AW24" i="4" s="1"/>
  <c r="S28" i="4"/>
  <c r="AW28" i="4" s="1"/>
  <c r="S35" i="4"/>
  <c r="AW35" i="4" s="1"/>
  <c r="S39" i="4"/>
  <c r="AW39" i="4" s="1"/>
  <c r="S42" i="4"/>
  <c r="AW42" i="4" s="1"/>
  <c r="S50" i="4"/>
  <c r="AW50" i="4" s="1"/>
  <c r="S58" i="4"/>
  <c r="AW58" i="4" s="1"/>
  <c r="S66" i="4"/>
  <c r="AW66" i="4" s="1"/>
  <c r="S74" i="4"/>
  <c r="AW74" i="4" s="1"/>
  <c r="S82" i="4"/>
  <c r="AW82" i="4" s="1"/>
  <c r="S90" i="4"/>
  <c r="AW90" i="4" s="1"/>
  <c r="S98" i="4"/>
  <c r="AW98" i="4" s="1"/>
  <c r="S106" i="4"/>
  <c r="AW106" i="4" s="1"/>
  <c r="S114" i="4"/>
  <c r="AW114" i="4" s="1"/>
  <c r="S122" i="4"/>
  <c r="AW122" i="4" s="1"/>
  <c r="S130" i="4"/>
  <c r="AW130" i="4" s="1"/>
  <c r="S138" i="4"/>
  <c r="AW138" i="4" s="1"/>
  <c r="S146" i="4"/>
  <c r="AW146" i="4" s="1"/>
  <c r="S154" i="4"/>
  <c r="AW154" i="4" s="1"/>
  <c r="S12" i="4"/>
  <c r="AW12" i="4" s="1"/>
  <c r="S15" i="4"/>
  <c r="AW15" i="4" s="1"/>
  <c r="S18" i="4"/>
  <c r="AW18" i="4" s="1"/>
  <c r="S29" i="4"/>
  <c r="AW29" i="4" s="1"/>
  <c r="S32" i="4"/>
  <c r="AW32" i="4" s="1"/>
  <c r="S36" i="4"/>
  <c r="AW36" i="4" s="1"/>
  <c r="S48" i="4"/>
  <c r="AW48" i="4" s="1"/>
  <c r="S56" i="4"/>
  <c r="AW56" i="4" s="1"/>
  <c r="S64" i="4"/>
  <c r="AW64" i="4" s="1"/>
  <c r="S72" i="4"/>
  <c r="AW72" i="4" s="1"/>
  <c r="S80" i="4"/>
  <c r="AW80" i="4" s="1"/>
  <c r="S88" i="4"/>
  <c r="AW88" i="4" s="1"/>
  <c r="S96" i="4"/>
  <c r="AW96" i="4" s="1"/>
  <c r="S104" i="4"/>
  <c r="AW104" i="4" s="1"/>
  <c r="S112" i="4"/>
  <c r="AW112" i="4" s="1"/>
  <c r="S120" i="4"/>
  <c r="AW120" i="4" s="1"/>
  <c r="S128" i="4"/>
  <c r="AW128" i="4" s="1"/>
  <c r="S136" i="4"/>
  <c r="AW136" i="4" s="1"/>
  <c r="S144" i="4"/>
  <c r="AW144" i="4" s="1"/>
  <c r="S152" i="4"/>
  <c r="AW152" i="4" s="1"/>
  <c r="S10" i="4"/>
  <c r="AW10" i="4" s="1"/>
  <c r="B16" i="5"/>
  <c r="P15" i="5" s="1"/>
  <c r="S7" i="4"/>
  <c r="O9" i="4"/>
  <c r="V8" i="5"/>
  <c r="AQ8" i="5"/>
  <c r="AL13" i="5"/>
  <c r="AK13" i="5"/>
  <c r="AN12" i="5"/>
  <c r="AO12" i="5"/>
  <c r="AI13" i="5"/>
  <c r="AH13" i="5"/>
  <c r="AP13" i="5"/>
  <c r="U13" i="5"/>
  <c r="V13" i="5"/>
  <c r="AI12" i="5"/>
  <c r="AH12" i="5"/>
  <c r="AP12" i="5"/>
  <c r="U12" i="5"/>
  <c r="V12" i="5"/>
  <c r="AG10" i="5"/>
  <c r="T10" i="5"/>
  <c r="AM10" i="5"/>
  <c r="AJ10" i="5"/>
  <c r="AO13" i="5"/>
  <c r="AN13" i="5"/>
  <c r="AK12" i="5"/>
  <c r="AL12" i="5"/>
  <c r="AR57" i="5"/>
  <c r="AQ57" i="5"/>
  <c r="AR101" i="5"/>
  <c r="AQ101" i="5"/>
  <c r="AR116" i="5"/>
  <c r="AQ116" i="5"/>
  <c r="AQ245" i="5"/>
  <c r="AR245" i="5"/>
  <c r="AR244" i="5"/>
  <c r="AQ244" i="5"/>
  <c r="AQ406" i="5"/>
  <c r="AR406" i="5"/>
  <c r="AQ419" i="5"/>
  <c r="AR419" i="5"/>
  <c r="AR448" i="5"/>
  <c r="AQ448" i="5"/>
  <c r="AR540" i="5"/>
  <c r="AQ540" i="5"/>
  <c r="AQ19" i="5"/>
  <c r="AR19" i="5"/>
  <c r="AR425" i="5"/>
  <c r="AQ425" i="5"/>
  <c r="AR49" i="5"/>
  <c r="AQ49" i="5"/>
  <c r="AR145" i="5"/>
  <c r="AQ145" i="5"/>
  <c r="AR155" i="5"/>
  <c r="AQ155" i="5"/>
  <c r="AQ254" i="5"/>
  <c r="AR254" i="5"/>
  <c r="AQ349" i="5"/>
  <c r="AR349" i="5"/>
  <c r="AQ371" i="5"/>
  <c r="AR371" i="5"/>
  <c r="AQ435" i="5"/>
  <c r="AR435" i="5"/>
  <c r="AR543" i="5"/>
  <c r="AQ543" i="5"/>
  <c r="AQ486" i="5"/>
  <c r="AR486" i="5"/>
  <c r="V547" i="5"/>
  <c r="U547" i="5"/>
  <c r="V497" i="5"/>
  <c r="U497" i="5"/>
  <c r="V539" i="5"/>
  <c r="U539" i="5"/>
  <c r="V560" i="5"/>
  <c r="U560" i="5"/>
  <c r="U473" i="5"/>
  <c r="V473" i="5"/>
  <c r="U401" i="5"/>
  <c r="V401" i="5"/>
  <c r="U503" i="5"/>
  <c r="V503" i="5"/>
  <c r="U454" i="5"/>
  <c r="V454" i="5"/>
  <c r="V339" i="5"/>
  <c r="U339" i="5"/>
  <c r="U472" i="5"/>
  <c r="V472" i="5"/>
  <c r="V287" i="5"/>
  <c r="U287" i="5"/>
  <c r="V379" i="5"/>
  <c r="U379" i="5"/>
  <c r="U162" i="5"/>
  <c r="V162" i="5"/>
  <c r="U437" i="5"/>
  <c r="V437" i="5"/>
  <c r="U393" i="5"/>
  <c r="V393" i="5"/>
  <c r="U312" i="5"/>
  <c r="V312" i="5"/>
  <c r="V310" i="5"/>
  <c r="U310" i="5"/>
  <c r="U269" i="5"/>
  <c r="V269" i="5"/>
  <c r="V313" i="5"/>
  <c r="U313" i="5"/>
  <c r="U250" i="5"/>
  <c r="V250" i="5"/>
  <c r="U279" i="5"/>
  <c r="V279" i="5"/>
  <c r="U252" i="5"/>
  <c r="V252" i="5"/>
  <c r="U221" i="5"/>
  <c r="V221" i="5"/>
  <c r="U222" i="5"/>
  <c r="V222" i="5"/>
  <c r="V239" i="5"/>
  <c r="U239" i="5"/>
  <c r="V188" i="5"/>
  <c r="U188" i="5"/>
  <c r="V183" i="5"/>
  <c r="U183" i="5"/>
  <c r="V169" i="5"/>
  <c r="U169" i="5"/>
  <c r="V134" i="5"/>
  <c r="U134" i="5"/>
  <c r="V151" i="5"/>
  <c r="U151" i="5"/>
  <c r="U155" i="5"/>
  <c r="V155" i="5"/>
  <c r="U91" i="5"/>
  <c r="V91" i="5"/>
  <c r="U98" i="5"/>
  <c r="V98" i="5"/>
  <c r="V57" i="5"/>
  <c r="U57" i="5"/>
  <c r="U56" i="5"/>
  <c r="V56" i="5"/>
  <c r="U43" i="5"/>
  <c r="V43" i="5"/>
  <c r="V32" i="5"/>
  <c r="U32" i="5"/>
  <c r="AR454" i="5"/>
  <c r="AQ454" i="5"/>
  <c r="AR528" i="5"/>
  <c r="AQ528" i="5"/>
  <c r="AQ35" i="5"/>
  <c r="AR35" i="5"/>
  <c r="AR83" i="5"/>
  <c r="AQ83" i="5"/>
  <c r="AQ163" i="5"/>
  <c r="AR163" i="5"/>
  <c r="AR224" i="5"/>
  <c r="AQ224" i="5"/>
  <c r="AQ322" i="5"/>
  <c r="AR322" i="5"/>
  <c r="AQ291" i="5"/>
  <c r="AR291" i="5"/>
  <c r="AQ433" i="5"/>
  <c r="AR433" i="5"/>
  <c r="AQ431" i="5"/>
  <c r="AR431" i="5"/>
  <c r="AR515" i="5"/>
  <c r="AQ515" i="5"/>
  <c r="AR546" i="5"/>
  <c r="AQ546" i="5"/>
  <c r="AQ34" i="5"/>
  <c r="AR34" i="5"/>
  <c r="AR100" i="5"/>
  <c r="AQ100" i="5"/>
  <c r="AQ218" i="5"/>
  <c r="AR218" i="5"/>
  <c r="AR273" i="5"/>
  <c r="AQ273" i="5"/>
  <c r="AQ299" i="5"/>
  <c r="AR299" i="5"/>
  <c r="AR436" i="5"/>
  <c r="AQ436" i="5"/>
  <c r="AR474" i="5"/>
  <c r="AQ474" i="5"/>
  <c r="AQ495" i="5"/>
  <c r="AR495" i="5"/>
  <c r="AQ37" i="5"/>
  <c r="AR37" i="5"/>
  <c r="AR178" i="5"/>
  <c r="AQ178" i="5"/>
  <c r="AQ232" i="5"/>
  <c r="AR232" i="5"/>
  <c r="AQ318" i="5"/>
  <c r="AR318" i="5"/>
  <c r="AQ405" i="5"/>
  <c r="AR405" i="5"/>
  <c r="AQ434" i="5"/>
  <c r="AR434" i="5"/>
  <c r="AR392" i="5"/>
  <c r="AQ392" i="5"/>
  <c r="AQ461" i="5"/>
  <c r="AR461" i="5"/>
  <c r="AR46" i="5"/>
  <c r="AQ46" i="5"/>
  <c r="AQ76" i="5"/>
  <c r="AR76" i="5"/>
  <c r="AQ132" i="5"/>
  <c r="AR132" i="5"/>
  <c r="AR179" i="5"/>
  <c r="AQ179" i="5"/>
  <c r="AQ188" i="5"/>
  <c r="AR188" i="5"/>
  <c r="AR309" i="5"/>
  <c r="AQ309" i="5"/>
  <c r="AR174" i="5"/>
  <c r="AQ174" i="5"/>
  <c r="AR391" i="5"/>
  <c r="AQ391" i="5"/>
  <c r="AR369" i="5"/>
  <c r="AQ369" i="5"/>
  <c r="AQ469" i="5"/>
  <c r="AR469" i="5"/>
  <c r="AQ554" i="5"/>
  <c r="AR554" i="5"/>
  <c r="U469" i="5"/>
  <c r="V469" i="5"/>
  <c r="U524" i="5"/>
  <c r="V524" i="5"/>
  <c r="V545" i="5"/>
  <c r="U545" i="5"/>
  <c r="V344" i="5"/>
  <c r="U344" i="5"/>
  <c r="U486" i="5"/>
  <c r="V486" i="5"/>
  <c r="U422" i="5"/>
  <c r="V422" i="5"/>
  <c r="U522" i="5"/>
  <c r="V522" i="5"/>
  <c r="U474" i="5"/>
  <c r="V474" i="5"/>
  <c r="U427" i="5"/>
  <c r="V427" i="5"/>
  <c r="V491" i="5"/>
  <c r="U491" i="5"/>
  <c r="U432" i="5"/>
  <c r="V432" i="5"/>
  <c r="V370" i="5"/>
  <c r="U370" i="5"/>
  <c r="U417" i="5"/>
  <c r="V417" i="5"/>
  <c r="U404" i="5"/>
  <c r="V404" i="5"/>
  <c r="U388" i="5"/>
  <c r="V388" i="5"/>
  <c r="V336" i="5"/>
  <c r="U336" i="5"/>
  <c r="U272" i="5"/>
  <c r="V272" i="5"/>
  <c r="V418" i="5"/>
  <c r="U418" i="5"/>
  <c r="U391" i="5"/>
  <c r="V391" i="5"/>
  <c r="V380" i="5"/>
  <c r="U380" i="5"/>
  <c r="V371" i="5"/>
  <c r="U371" i="5"/>
  <c r="V297" i="5"/>
  <c r="U297" i="5"/>
  <c r="U436" i="5"/>
  <c r="V436" i="5"/>
  <c r="U421" i="5"/>
  <c r="V421" i="5"/>
  <c r="U405" i="5"/>
  <c r="V405" i="5"/>
  <c r="V390" i="5"/>
  <c r="U390" i="5"/>
  <c r="V367" i="5"/>
  <c r="U367" i="5"/>
  <c r="U359" i="5"/>
  <c r="V359" i="5"/>
  <c r="V337" i="5"/>
  <c r="U337" i="5"/>
  <c r="V309" i="5"/>
  <c r="U309" i="5"/>
  <c r="U267" i="5"/>
  <c r="V267" i="5"/>
  <c r="U349" i="5"/>
  <c r="V349" i="5"/>
  <c r="U326" i="5"/>
  <c r="V326" i="5"/>
  <c r="U307" i="5"/>
  <c r="V307" i="5"/>
  <c r="V298" i="5"/>
  <c r="U298" i="5"/>
  <c r="V285" i="5"/>
  <c r="U285" i="5"/>
  <c r="U268" i="5"/>
  <c r="V268" i="5"/>
  <c r="U256" i="5"/>
  <c r="V256" i="5"/>
  <c r="U226" i="5"/>
  <c r="V226" i="5"/>
  <c r="U325" i="5"/>
  <c r="V325" i="5"/>
  <c r="V311" i="5"/>
  <c r="U311" i="5"/>
  <c r="V291" i="5"/>
  <c r="U291" i="5"/>
  <c r="U266" i="5"/>
  <c r="V266" i="5"/>
  <c r="U244" i="5"/>
  <c r="V244" i="5"/>
  <c r="V332" i="5"/>
  <c r="U332" i="5"/>
  <c r="U314" i="5"/>
  <c r="V314" i="5"/>
  <c r="U295" i="5"/>
  <c r="V295" i="5"/>
  <c r="U278" i="5"/>
  <c r="V278" i="5"/>
  <c r="U270" i="5"/>
  <c r="V270" i="5"/>
  <c r="V257" i="5"/>
  <c r="U257" i="5"/>
  <c r="U249" i="5"/>
  <c r="V249" i="5"/>
  <c r="V153" i="5"/>
  <c r="U153" i="5"/>
  <c r="U233" i="5"/>
  <c r="V233" i="5"/>
  <c r="U219" i="5"/>
  <c r="V219" i="5"/>
  <c r="U192" i="5"/>
  <c r="V192" i="5"/>
  <c r="U168" i="5"/>
  <c r="V168" i="5"/>
  <c r="U238" i="5"/>
  <c r="V238" i="5"/>
  <c r="U217" i="5"/>
  <c r="V217" i="5"/>
  <c r="U193" i="5"/>
  <c r="V193" i="5"/>
  <c r="U144" i="5"/>
  <c r="V144" i="5"/>
  <c r="U234" i="5"/>
  <c r="V234" i="5"/>
  <c r="U220" i="5"/>
  <c r="V220" i="5"/>
  <c r="U209" i="5"/>
  <c r="V209" i="5"/>
  <c r="U202" i="5"/>
  <c r="V202" i="5"/>
  <c r="U164" i="5"/>
  <c r="V164" i="5"/>
  <c r="U198" i="5"/>
  <c r="V198" i="5"/>
  <c r="V189" i="5"/>
  <c r="U189" i="5"/>
  <c r="V179" i="5"/>
  <c r="U179" i="5"/>
  <c r="U158" i="5"/>
  <c r="V158" i="5"/>
  <c r="U184" i="5"/>
  <c r="V184" i="5"/>
  <c r="U163" i="5"/>
  <c r="V163" i="5"/>
  <c r="V111" i="5"/>
  <c r="U111" i="5"/>
  <c r="U178" i="5"/>
  <c r="V178" i="5"/>
  <c r="U167" i="5"/>
  <c r="V167" i="5"/>
  <c r="V128" i="5"/>
  <c r="U128" i="5"/>
  <c r="U145" i="5"/>
  <c r="V145" i="5"/>
  <c r="U122" i="5"/>
  <c r="V122" i="5"/>
  <c r="V104" i="5"/>
  <c r="U104" i="5"/>
  <c r="U148" i="5"/>
  <c r="V148" i="5"/>
  <c r="U129" i="5"/>
  <c r="V129" i="5"/>
  <c r="U116" i="5"/>
  <c r="V116" i="5"/>
  <c r="U103" i="5"/>
  <c r="V103" i="5"/>
  <c r="U147" i="5"/>
  <c r="V147" i="5"/>
  <c r="U132" i="5"/>
  <c r="V132" i="5"/>
  <c r="U113" i="5"/>
  <c r="V113" i="5"/>
  <c r="U110" i="5"/>
  <c r="V110" i="5"/>
  <c r="U90" i="5"/>
  <c r="V90" i="5"/>
  <c r="U72" i="5"/>
  <c r="V72" i="5"/>
  <c r="U102" i="5"/>
  <c r="V102" i="5"/>
  <c r="U97" i="5"/>
  <c r="V97" i="5"/>
  <c r="V81" i="5"/>
  <c r="U81" i="5"/>
  <c r="U78" i="5"/>
  <c r="V78" i="5"/>
  <c r="U77" i="5"/>
  <c r="V77" i="5"/>
  <c r="U71" i="5"/>
  <c r="V71" i="5"/>
  <c r="V58" i="5"/>
  <c r="U58" i="5"/>
  <c r="U65" i="5"/>
  <c r="V65" i="5"/>
  <c r="U51" i="5"/>
  <c r="V51" i="5"/>
  <c r="U23" i="5"/>
  <c r="V23" i="5"/>
  <c r="U54" i="5"/>
  <c r="V54" i="5"/>
  <c r="U49" i="5"/>
  <c r="V49" i="5"/>
  <c r="U40" i="5"/>
  <c r="V40" i="5"/>
  <c r="U45" i="5"/>
  <c r="V45" i="5"/>
  <c r="U31" i="5"/>
  <c r="V31" i="5"/>
  <c r="U21" i="5"/>
  <c r="V21" i="5"/>
  <c r="U29" i="5"/>
  <c r="V29" i="5"/>
  <c r="AR21" i="5"/>
  <c r="AQ21" i="5"/>
  <c r="AR31" i="5"/>
  <c r="AQ31" i="5"/>
  <c r="AR63" i="5"/>
  <c r="AQ63" i="5"/>
  <c r="AR52" i="5"/>
  <c r="AQ52" i="5"/>
  <c r="AQ90" i="5"/>
  <c r="AR90" i="5"/>
  <c r="AR88" i="5"/>
  <c r="AQ88" i="5"/>
  <c r="AR71" i="5"/>
  <c r="AQ71" i="5"/>
  <c r="AQ122" i="5"/>
  <c r="AR122" i="5"/>
  <c r="AQ138" i="5"/>
  <c r="AR138" i="5"/>
  <c r="AQ157" i="5"/>
  <c r="AR157" i="5"/>
  <c r="AR154" i="5"/>
  <c r="AQ154" i="5"/>
  <c r="AR215" i="5"/>
  <c r="AQ215" i="5"/>
  <c r="AQ209" i="5"/>
  <c r="AR209" i="5"/>
  <c r="AQ249" i="5"/>
  <c r="AR249" i="5"/>
  <c r="AQ255" i="5"/>
  <c r="AR255" i="5"/>
  <c r="AR295" i="5"/>
  <c r="AQ295" i="5"/>
  <c r="AQ312" i="5"/>
  <c r="AR312" i="5"/>
  <c r="AR246" i="5"/>
  <c r="AQ246" i="5"/>
  <c r="AQ271" i="5"/>
  <c r="AR271" i="5"/>
  <c r="AQ333" i="5"/>
  <c r="AR333" i="5"/>
  <c r="AQ409" i="5"/>
  <c r="AR409" i="5"/>
  <c r="AR353" i="5"/>
  <c r="AQ353" i="5"/>
  <c r="AQ390" i="5"/>
  <c r="AR390" i="5"/>
  <c r="AQ379" i="5"/>
  <c r="AR379" i="5"/>
  <c r="AQ450" i="5"/>
  <c r="AR450" i="5"/>
  <c r="AQ493" i="5"/>
  <c r="AR493" i="5"/>
  <c r="AR491" i="5"/>
  <c r="AQ491" i="5"/>
  <c r="AQ463" i="5"/>
  <c r="AR463" i="5"/>
  <c r="AQ482" i="5"/>
  <c r="AR482" i="5"/>
  <c r="AQ441" i="5"/>
  <c r="AR441" i="5"/>
  <c r="AQ484" i="5"/>
  <c r="AR484" i="5"/>
  <c r="AQ365" i="5"/>
  <c r="AR365" i="5"/>
  <c r="AQ432" i="5"/>
  <c r="AR432" i="5"/>
  <c r="AQ556" i="5"/>
  <c r="AR556" i="5"/>
  <c r="AQ446" i="5"/>
  <c r="AR446" i="5"/>
  <c r="AR42" i="5"/>
  <c r="AQ42" i="5"/>
  <c r="AR54" i="5"/>
  <c r="AQ54" i="5"/>
  <c r="AR66" i="5"/>
  <c r="AQ66" i="5"/>
  <c r="AQ93" i="5"/>
  <c r="AR93" i="5"/>
  <c r="AQ103" i="5"/>
  <c r="AR103" i="5"/>
  <c r="AQ91" i="5"/>
  <c r="AR91" i="5"/>
  <c r="AR89" i="5"/>
  <c r="AQ89" i="5"/>
  <c r="AR142" i="5"/>
  <c r="AQ142" i="5"/>
  <c r="AR135" i="5"/>
  <c r="AQ135" i="5"/>
  <c r="AQ131" i="5"/>
  <c r="AR131" i="5"/>
  <c r="AQ160" i="5"/>
  <c r="AR160" i="5"/>
  <c r="AQ176" i="5"/>
  <c r="AR176" i="5"/>
  <c r="AR211" i="5"/>
  <c r="AQ211" i="5"/>
  <c r="AQ221" i="5"/>
  <c r="AR221" i="5"/>
  <c r="AQ283" i="5"/>
  <c r="AR283" i="5"/>
  <c r="AQ314" i="5"/>
  <c r="AR314" i="5"/>
  <c r="AQ324" i="5"/>
  <c r="AR324" i="5"/>
  <c r="AR276" i="5"/>
  <c r="AQ276" i="5"/>
  <c r="AR286" i="5"/>
  <c r="AQ286" i="5"/>
  <c r="AR356" i="5"/>
  <c r="AQ356" i="5"/>
  <c r="AR284" i="5"/>
  <c r="AQ284" i="5"/>
  <c r="AQ397" i="5"/>
  <c r="AR397" i="5"/>
  <c r="AR262" i="5"/>
  <c r="AQ262" i="5"/>
  <c r="AR321" i="5"/>
  <c r="AQ321" i="5"/>
  <c r="AR396" i="5"/>
  <c r="AQ396" i="5"/>
  <c r="AR410" i="5"/>
  <c r="AQ410" i="5"/>
  <c r="AQ360" i="5"/>
  <c r="AR360" i="5"/>
  <c r="AR375" i="5"/>
  <c r="AQ375" i="5"/>
  <c r="AR275" i="5"/>
  <c r="AQ275" i="5"/>
  <c r="AR346" i="5"/>
  <c r="AQ346" i="5"/>
  <c r="AQ530" i="5"/>
  <c r="AR530" i="5"/>
  <c r="AR370" i="5"/>
  <c r="AQ370" i="5"/>
  <c r="AQ337" i="5"/>
  <c r="AR337" i="5"/>
  <c r="AQ459" i="5"/>
  <c r="AR459" i="5"/>
  <c r="AR377" i="5"/>
  <c r="AQ377" i="5"/>
  <c r="AQ558" i="5"/>
  <c r="AR558" i="5"/>
  <c r="AQ45" i="5"/>
  <c r="AR45" i="5"/>
  <c r="AQ70" i="5"/>
  <c r="AR70" i="5"/>
  <c r="AQ144" i="5"/>
  <c r="AR144" i="5"/>
  <c r="AQ166" i="5"/>
  <c r="AR166" i="5"/>
  <c r="AR306" i="5"/>
  <c r="AQ306" i="5"/>
  <c r="AQ364" i="5"/>
  <c r="AR364" i="5"/>
  <c r="AQ418" i="5"/>
  <c r="AR418" i="5"/>
  <c r="AQ499" i="5"/>
  <c r="AR499" i="5"/>
  <c r="AQ512" i="5"/>
  <c r="AR512" i="5"/>
  <c r="AR428" i="5"/>
  <c r="AQ428" i="5"/>
  <c r="AR542" i="5"/>
  <c r="AQ542" i="5"/>
  <c r="AR27" i="5"/>
  <c r="AQ27" i="5"/>
  <c r="AR86" i="5"/>
  <c r="AQ86" i="5"/>
  <c r="AR123" i="5"/>
  <c r="AQ123" i="5"/>
  <c r="AQ207" i="5"/>
  <c r="AR207" i="5"/>
  <c r="AQ203" i="5"/>
  <c r="AR203" i="5"/>
  <c r="AQ323" i="5"/>
  <c r="AR323" i="5"/>
  <c r="AQ502" i="5"/>
  <c r="AR502" i="5"/>
  <c r="AQ453" i="5"/>
  <c r="AR453" i="5"/>
  <c r="AQ358" i="5"/>
  <c r="AR358" i="5"/>
  <c r="U509" i="5"/>
  <c r="V509" i="5"/>
  <c r="U449" i="5"/>
  <c r="V449" i="5"/>
  <c r="U412" i="5"/>
  <c r="V412" i="5"/>
  <c r="V546" i="5"/>
  <c r="U546" i="5"/>
  <c r="V531" i="5"/>
  <c r="U531" i="5"/>
  <c r="U461" i="5"/>
  <c r="V461" i="5"/>
  <c r="U425" i="5"/>
  <c r="V425" i="5"/>
  <c r="U517" i="5"/>
  <c r="V517" i="5"/>
  <c r="U464" i="5"/>
  <c r="V464" i="5"/>
  <c r="U525" i="5"/>
  <c r="V525" i="5"/>
  <c r="V451" i="5"/>
  <c r="U451" i="5"/>
  <c r="U408" i="5"/>
  <c r="V408" i="5"/>
  <c r="U361" i="5"/>
  <c r="V361" i="5"/>
  <c r="V396" i="5"/>
  <c r="U396" i="5"/>
  <c r="V317" i="5"/>
  <c r="U317" i="5"/>
  <c r="U410" i="5"/>
  <c r="V410" i="5"/>
  <c r="U342" i="5"/>
  <c r="V342" i="5"/>
  <c r="U330" i="5"/>
  <c r="V330" i="5"/>
  <c r="U290" i="5"/>
  <c r="V290" i="5"/>
  <c r="U328" i="5"/>
  <c r="V328" i="5"/>
  <c r="V334" i="5"/>
  <c r="U334" i="5"/>
  <c r="V301" i="5"/>
  <c r="U301" i="5"/>
  <c r="U260" i="5"/>
  <c r="V260" i="5"/>
  <c r="V207" i="5"/>
  <c r="U207" i="5"/>
  <c r="V199" i="5"/>
  <c r="U199" i="5"/>
  <c r="V223" i="5"/>
  <c r="U223" i="5"/>
  <c r="U201" i="5"/>
  <c r="V201" i="5"/>
  <c r="V161" i="5"/>
  <c r="U161" i="5"/>
  <c r="U118" i="5"/>
  <c r="V118" i="5"/>
  <c r="U146" i="5"/>
  <c r="V146" i="5"/>
  <c r="U114" i="5"/>
  <c r="V114" i="5"/>
  <c r="U106" i="5"/>
  <c r="V106" i="5"/>
  <c r="V37" i="5"/>
  <c r="U37" i="5"/>
  <c r="U105" i="5"/>
  <c r="V105" i="5"/>
  <c r="V89" i="5"/>
  <c r="U89" i="5"/>
  <c r="U67" i="5"/>
  <c r="V67" i="5"/>
  <c r="U41" i="5"/>
  <c r="V41" i="5"/>
  <c r="U24" i="5"/>
  <c r="V24" i="5"/>
  <c r="AR525" i="5"/>
  <c r="AQ525" i="5"/>
  <c r="AQ544" i="5"/>
  <c r="AR544" i="5"/>
  <c r="AR43" i="5"/>
  <c r="AQ43" i="5"/>
  <c r="AQ126" i="5"/>
  <c r="AR126" i="5"/>
  <c r="AR173" i="5"/>
  <c r="AQ173" i="5"/>
  <c r="AQ191" i="5"/>
  <c r="AR191" i="5"/>
  <c r="AQ270" i="5"/>
  <c r="AR270" i="5"/>
  <c r="AQ374" i="5"/>
  <c r="AR374" i="5"/>
  <c r="AQ381" i="5"/>
  <c r="AR381" i="5"/>
  <c r="AR471" i="5"/>
  <c r="AQ471" i="5"/>
  <c r="AQ533" i="5"/>
  <c r="AR533" i="5"/>
  <c r="AR41" i="5"/>
  <c r="AQ41" i="5"/>
  <c r="AQ96" i="5"/>
  <c r="AR96" i="5"/>
  <c r="AR165" i="5"/>
  <c r="AQ165" i="5"/>
  <c r="AQ251" i="5"/>
  <c r="AR251" i="5"/>
  <c r="AQ237" i="5"/>
  <c r="AR237" i="5"/>
  <c r="AQ403" i="5"/>
  <c r="AR403" i="5"/>
  <c r="AQ494" i="5"/>
  <c r="AR494" i="5"/>
  <c r="AR553" i="5"/>
  <c r="AQ553" i="5"/>
  <c r="AQ521" i="5"/>
  <c r="AR521" i="5"/>
  <c r="AQ194" i="5"/>
  <c r="AR194" i="5"/>
  <c r="AQ274" i="5"/>
  <c r="AR274" i="5"/>
  <c r="AR319" i="5"/>
  <c r="AQ319" i="5"/>
  <c r="AQ267" i="5"/>
  <c r="AR267" i="5"/>
  <c r="AQ488" i="5"/>
  <c r="AR488" i="5"/>
  <c r="AQ452" i="5"/>
  <c r="AR452" i="5"/>
  <c r="AR552" i="5"/>
  <c r="AQ552" i="5"/>
  <c r="AR449" i="5"/>
  <c r="AQ449" i="5"/>
  <c r="AQ33" i="5"/>
  <c r="AR33" i="5"/>
  <c r="AQ60" i="5"/>
  <c r="AR60" i="5"/>
  <c r="AR114" i="5"/>
  <c r="AQ114" i="5"/>
  <c r="AR152" i="5"/>
  <c r="AQ152" i="5"/>
  <c r="AR197" i="5"/>
  <c r="AQ197" i="5"/>
  <c r="AQ213" i="5"/>
  <c r="AR213" i="5"/>
  <c r="AR196" i="5"/>
  <c r="AQ196" i="5"/>
  <c r="AR268" i="5"/>
  <c r="AQ268" i="5"/>
  <c r="AR317" i="5"/>
  <c r="AQ317" i="5"/>
  <c r="AR334" i="5"/>
  <c r="AQ334" i="5"/>
  <c r="AQ490" i="5"/>
  <c r="AR490" i="5"/>
  <c r="U19" i="5"/>
  <c r="V19" i="5"/>
  <c r="V559" i="5"/>
  <c r="U559" i="5"/>
  <c r="V552" i="5"/>
  <c r="U552" i="5"/>
  <c r="U406" i="5"/>
  <c r="V406" i="5"/>
  <c r="U465" i="5"/>
  <c r="V465" i="5"/>
  <c r="U493" i="5"/>
  <c r="V493" i="5"/>
  <c r="U457" i="5"/>
  <c r="V457" i="5"/>
  <c r="V368" i="5"/>
  <c r="U368" i="5"/>
  <c r="U501" i="5"/>
  <c r="V501" i="5"/>
  <c r="U462" i="5"/>
  <c r="V462" i="5"/>
  <c r="V537" i="5"/>
  <c r="U537" i="5"/>
  <c r="U466" i="5"/>
  <c r="V466" i="5"/>
  <c r="V355" i="5"/>
  <c r="U355" i="5"/>
  <c r="AR127" i="5"/>
  <c r="AQ127" i="5"/>
  <c r="AR58" i="5"/>
  <c r="AQ58" i="5"/>
  <c r="AR82" i="5"/>
  <c r="AQ82" i="5"/>
  <c r="AR140" i="5"/>
  <c r="AQ140" i="5"/>
  <c r="AQ223" i="5"/>
  <c r="AR223" i="5"/>
  <c r="AQ260" i="5"/>
  <c r="AR260" i="5"/>
  <c r="AR219" i="5"/>
  <c r="AQ219" i="5"/>
  <c r="AQ304" i="5"/>
  <c r="AR304" i="5"/>
  <c r="AQ359" i="5"/>
  <c r="AR359" i="5"/>
  <c r="AQ372" i="5"/>
  <c r="AR372" i="5"/>
  <c r="AQ466" i="5"/>
  <c r="AR466" i="5"/>
  <c r="AQ464" i="5"/>
  <c r="AR464" i="5"/>
  <c r="AQ498" i="5"/>
  <c r="AR498" i="5"/>
  <c r="AR547" i="5"/>
  <c r="AQ547" i="5"/>
  <c r="AR523" i="5"/>
  <c r="AQ523" i="5"/>
  <c r="AR108" i="5"/>
  <c r="AQ108" i="5"/>
  <c r="AQ171" i="5"/>
  <c r="AR171" i="5"/>
  <c r="AR227" i="5"/>
  <c r="AQ227" i="5"/>
  <c r="AR277" i="5"/>
  <c r="AQ277" i="5"/>
  <c r="AR292" i="5"/>
  <c r="AQ292" i="5"/>
  <c r="AQ180" i="5"/>
  <c r="AR180" i="5"/>
  <c r="AR352" i="5"/>
  <c r="AQ352" i="5"/>
  <c r="AR331" i="5"/>
  <c r="AQ331" i="5"/>
  <c r="AR456" i="5"/>
  <c r="AQ456" i="5"/>
  <c r="AQ272" i="5"/>
  <c r="AR272" i="5"/>
  <c r="AQ504" i="5"/>
  <c r="AR504" i="5"/>
  <c r="AR559" i="5"/>
  <c r="AQ559" i="5"/>
  <c r="AQ416" i="5"/>
  <c r="AR416" i="5"/>
  <c r="AQ509" i="5"/>
  <c r="AR509" i="5"/>
  <c r="AR555" i="5"/>
  <c r="AQ555" i="5"/>
  <c r="AQ467" i="5"/>
  <c r="AR467" i="5"/>
  <c r="AQ500" i="5"/>
  <c r="AR500" i="5"/>
  <c r="AQ534" i="5"/>
  <c r="AR534" i="5"/>
  <c r="V523" i="5"/>
  <c r="U523" i="5"/>
  <c r="U488" i="5"/>
  <c r="V488" i="5"/>
  <c r="U445" i="5"/>
  <c r="V445" i="5"/>
  <c r="V558" i="5"/>
  <c r="U558" i="5"/>
  <c r="U530" i="5"/>
  <c r="V530" i="5"/>
  <c r="U419" i="5"/>
  <c r="V419" i="5"/>
  <c r="V551" i="5"/>
  <c r="U551" i="5"/>
  <c r="U518" i="5"/>
  <c r="V518" i="5"/>
  <c r="U450" i="5"/>
  <c r="V450" i="5"/>
  <c r="U394" i="5"/>
  <c r="V394" i="5"/>
  <c r="V550" i="5"/>
  <c r="U550" i="5"/>
  <c r="V542" i="5"/>
  <c r="U542" i="5"/>
  <c r="U534" i="5"/>
  <c r="V534" i="5"/>
  <c r="U444" i="5"/>
  <c r="V444" i="5"/>
  <c r="V338" i="5"/>
  <c r="U338" i="5"/>
  <c r="V556" i="5"/>
  <c r="U556" i="5"/>
  <c r="U510" i="5"/>
  <c r="V510" i="5"/>
  <c r="U492" i="5"/>
  <c r="V492" i="5"/>
  <c r="U482" i="5"/>
  <c r="V482" i="5"/>
  <c r="U467" i="5"/>
  <c r="V467" i="5"/>
  <c r="U455" i="5"/>
  <c r="V455" i="5"/>
  <c r="V435" i="5"/>
  <c r="U435" i="5"/>
  <c r="V416" i="5"/>
  <c r="U416" i="5"/>
  <c r="U395" i="5"/>
  <c r="V395" i="5"/>
  <c r="U360" i="5"/>
  <c r="V360" i="5"/>
  <c r="U521" i="5"/>
  <c r="V521" i="5"/>
  <c r="U511" i="5"/>
  <c r="V511" i="5"/>
  <c r="U500" i="5"/>
  <c r="V500" i="5"/>
  <c r="V483" i="5"/>
  <c r="U483" i="5"/>
  <c r="V471" i="5"/>
  <c r="U471" i="5"/>
  <c r="U459" i="5"/>
  <c r="V459" i="5"/>
  <c r="U442" i="5"/>
  <c r="V442" i="5"/>
  <c r="U351" i="5"/>
  <c r="V351" i="5"/>
  <c r="U533" i="5"/>
  <c r="V533" i="5"/>
  <c r="V515" i="5"/>
  <c r="U515" i="5"/>
  <c r="U505" i="5"/>
  <c r="V505" i="5"/>
  <c r="V481" i="5"/>
  <c r="U481" i="5"/>
  <c r="U460" i="5"/>
  <c r="V460" i="5"/>
  <c r="U447" i="5"/>
  <c r="V447" i="5"/>
  <c r="U430" i="5"/>
  <c r="V430" i="5"/>
  <c r="U357" i="5"/>
  <c r="V357" i="5"/>
  <c r="U414" i="5"/>
  <c r="V414" i="5"/>
  <c r="U402" i="5"/>
  <c r="V402" i="5"/>
  <c r="V383" i="5"/>
  <c r="U383" i="5"/>
  <c r="U365" i="5"/>
  <c r="V365" i="5"/>
  <c r="U353" i="5"/>
  <c r="V353" i="5"/>
  <c r="U319" i="5"/>
  <c r="V319" i="5"/>
  <c r="U228" i="5"/>
  <c r="V228" i="5"/>
  <c r="U409" i="5"/>
  <c r="V409" i="5"/>
  <c r="V389" i="5"/>
  <c r="U389" i="5"/>
  <c r="V376" i="5"/>
  <c r="U376" i="5"/>
  <c r="U369" i="5"/>
  <c r="V369" i="5"/>
  <c r="U247" i="5"/>
  <c r="V247" i="5"/>
  <c r="U433" i="5"/>
  <c r="V433" i="5"/>
  <c r="U420" i="5"/>
  <c r="V420" i="5"/>
  <c r="U403" i="5"/>
  <c r="V403" i="5"/>
  <c r="U387" i="5"/>
  <c r="V387" i="5"/>
  <c r="U366" i="5"/>
  <c r="V366" i="5"/>
  <c r="U350" i="5"/>
  <c r="V350" i="5"/>
  <c r="V329" i="5"/>
  <c r="U329" i="5"/>
  <c r="U286" i="5"/>
  <c r="V286" i="5"/>
  <c r="U262" i="5"/>
  <c r="V262" i="5"/>
  <c r="V343" i="5"/>
  <c r="U343" i="5"/>
  <c r="V321" i="5"/>
  <c r="U321" i="5"/>
  <c r="V305" i="5"/>
  <c r="U305" i="5"/>
  <c r="V296" i="5"/>
  <c r="U296" i="5"/>
  <c r="V281" i="5"/>
  <c r="U281" i="5"/>
  <c r="U264" i="5"/>
  <c r="V264" i="5"/>
  <c r="U253" i="5"/>
  <c r="V253" i="5"/>
  <c r="U160" i="5"/>
  <c r="V160" i="5"/>
  <c r="U323" i="5"/>
  <c r="V323" i="5"/>
  <c r="U302" i="5"/>
  <c r="V302" i="5"/>
  <c r="V288" i="5"/>
  <c r="U288" i="5"/>
  <c r="U258" i="5"/>
  <c r="V258" i="5"/>
  <c r="U237" i="5"/>
  <c r="V237" i="5"/>
  <c r="V327" i="5"/>
  <c r="U327" i="5"/>
  <c r="V308" i="5"/>
  <c r="U308" i="5"/>
  <c r="V289" i="5"/>
  <c r="U289" i="5"/>
  <c r="U277" i="5"/>
  <c r="V277" i="5"/>
  <c r="U265" i="5"/>
  <c r="V265" i="5"/>
  <c r="U255" i="5"/>
  <c r="V255" i="5"/>
  <c r="U248" i="5"/>
  <c r="V248" i="5"/>
  <c r="U240" i="5"/>
  <c r="V240" i="5"/>
  <c r="U230" i="5"/>
  <c r="V230" i="5"/>
  <c r="U213" i="5"/>
  <c r="V213" i="5"/>
  <c r="U191" i="5"/>
  <c r="V191" i="5"/>
  <c r="V157" i="5"/>
  <c r="U157" i="5"/>
  <c r="U232" i="5"/>
  <c r="V232" i="5"/>
  <c r="U216" i="5"/>
  <c r="V216" i="5"/>
  <c r="U166" i="5"/>
  <c r="V166" i="5"/>
  <c r="U120" i="5"/>
  <c r="V120" i="5"/>
  <c r="V227" i="5"/>
  <c r="U227" i="5"/>
  <c r="U218" i="5"/>
  <c r="V218" i="5"/>
  <c r="U208" i="5"/>
  <c r="V208" i="5"/>
  <c r="U200" i="5"/>
  <c r="V200" i="5"/>
  <c r="U206" i="5"/>
  <c r="V206" i="5"/>
  <c r="U197" i="5"/>
  <c r="V197" i="5"/>
  <c r="V186" i="5"/>
  <c r="U186" i="5"/>
  <c r="V175" i="5"/>
  <c r="U175" i="5"/>
  <c r="U154" i="5"/>
  <c r="V154" i="5"/>
  <c r="U182" i="5"/>
  <c r="V182" i="5"/>
  <c r="U140" i="5"/>
  <c r="V140" i="5"/>
  <c r="V86" i="5"/>
  <c r="U86" i="5"/>
  <c r="V177" i="5"/>
  <c r="U177" i="5"/>
  <c r="V165" i="5"/>
  <c r="U165" i="5"/>
  <c r="U125" i="5"/>
  <c r="V125" i="5"/>
  <c r="V143" i="5"/>
  <c r="U143" i="5"/>
  <c r="U119" i="5"/>
  <c r="V119" i="5"/>
  <c r="U75" i="5"/>
  <c r="V75" i="5"/>
  <c r="U142" i="5"/>
  <c r="V142" i="5"/>
  <c r="U124" i="5"/>
  <c r="V124" i="5"/>
  <c r="V112" i="5"/>
  <c r="U112" i="5"/>
  <c r="U99" i="5"/>
  <c r="V99" i="5"/>
  <c r="U141" i="5"/>
  <c r="V141" i="5"/>
  <c r="V127" i="5"/>
  <c r="U127" i="5"/>
  <c r="U93" i="5"/>
  <c r="V93" i="5"/>
  <c r="U108" i="5"/>
  <c r="V108" i="5"/>
  <c r="U88" i="5"/>
  <c r="V88" i="5"/>
  <c r="U60" i="5"/>
  <c r="V60" i="5"/>
  <c r="U95" i="5"/>
  <c r="V95" i="5"/>
  <c r="U96" i="5"/>
  <c r="V96" i="5"/>
  <c r="U25" i="5"/>
  <c r="V25" i="5"/>
  <c r="V73" i="5"/>
  <c r="U73" i="5"/>
  <c r="U74" i="5"/>
  <c r="V74" i="5"/>
  <c r="U68" i="5"/>
  <c r="V68" i="5"/>
  <c r="V55" i="5"/>
  <c r="U55" i="5"/>
  <c r="U62" i="5"/>
  <c r="V62" i="5"/>
  <c r="U50" i="5"/>
  <c r="V50" i="5"/>
  <c r="U20" i="5"/>
  <c r="V20" i="5"/>
  <c r="U53" i="5"/>
  <c r="V53" i="5"/>
  <c r="U48" i="5"/>
  <c r="V48" i="5"/>
  <c r="U36" i="5"/>
  <c r="V36" i="5"/>
  <c r="U42" i="5"/>
  <c r="V42" i="5"/>
  <c r="V27" i="5"/>
  <c r="U27" i="5"/>
  <c r="U46" i="5"/>
  <c r="V46" i="5"/>
  <c r="V28" i="5"/>
  <c r="U28" i="5"/>
  <c r="AQ241" i="5"/>
  <c r="AR241" i="5"/>
  <c r="AR483" i="5"/>
  <c r="AQ483" i="5"/>
  <c r="AR536" i="5"/>
  <c r="AQ536" i="5"/>
  <c r="AR39" i="5"/>
  <c r="AQ39" i="5"/>
  <c r="AQ53" i="5"/>
  <c r="AR53" i="5"/>
  <c r="AQ20" i="5"/>
  <c r="AR20" i="5"/>
  <c r="AR22" i="5"/>
  <c r="AQ22" i="5"/>
  <c r="AR77" i="5"/>
  <c r="AQ77" i="5"/>
  <c r="AQ75" i="5"/>
  <c r="AR75" i="5"/>
  <c r="AQ136" i="5"/>
  <c r="AR136" i="5"/>
  <c r="AR129" i="5"/>
  <c r="AQ129" i="5"/>
  <c r="AR150" i="5"/>
  <c r="AQ150" i="5"/>
  <c r="AR111" i="5"/>
  <c r="AQ111" i="5"/>
  <c r="AR198" i="5"/>
  <c r="AQ198" i="5"/>
  <c r="AR248" i="5"/>
  <c r="AQ248" i="5"/>
  <c r="AQ238" i="5"/>
  <c r="AR238" i="5"/>
  <c r="AQ280" i="5"/>
  <c r="AR280" i="5"/>
  <c r="AQ297" i="5"/>
  <c r="AR297" i="5"/>
  <c r="AQ311" i="5"/>
  <c r="AR311" i="5"/>
  <c r="AR259" i="5"/>
  <c r="AQ259" i="5"/>
  <c r="AR335" i="5"/>
  <c r="AQ335" i="5"/>
  <c r="AQ231" i="5"/>
  <c r="AR231" i="5"/>
  <c r="AR330" i="5"/>
  <c r="AQ330" i="5"/>
  <c r="AQ401" i="5"/>
  <c r="AR401" i="5"/>
  <c r="AR420" i="5"/>
  <c r="AQ420" i="5"/>
  <c r="AR298" i="5"/>
  <c r="AQ298" i="5"/>
  <c r="AQ393" i="5"/>
  <c r="AR393" i="5"/>
  <c r="AQ339" i="5"/>
  <c r="AR339" i="5"/>
  <c r="AQ344" i="5"/>
  <c r="AR344" i="5"/>
  <c r="AR508" i="5"/>
  <c r="AQ508" i="5"/>
  <c r="AQ442" i="5"/>
  <c r="AR442" i="5"/>
  <c r="AQ475" i="5"/>
  <c r="AR475" i="5"/>
  <c r="AQ457" i="5"/>
  <c r="AR457" i="5"/>
  <c r="AQ505" i="5"/>
  <c r="AR505" i="5"/>
  <c r="AR524" i="5"/>
  <c r="AQ524" i="5"/>
  <c r="AQ204" i="5"/>
  <c r="AR204" i="5"/>
  <c r="AQ541" i="5"/>
  <c r="AR541" i="5"/>
  <c r="AR532" i="5"/>
  <c r="AQ532" i="5"/>
  <c r="AQ119" i="5"/>
  <c r="AR119" i="5"/>
  <c r="AQ29" i="5"/>
  <c r="AR29" i="5"/>
  <c r="AR24" i="5"/>
  <c r="AQ24" i="5"/>
  <c r="AR25" i="5"/>
  <c r="AQ25" i="5"/>
  <c r="AR78" i="5"/>
  <c r="AQ78" i="5"/>
  <c r="AQ79" i="5"/>
  <c r="AR79" i="5"/>
  <c r="AR141" i="5"/>
  <c r="AQ141" i="5"/>
  <c r="AQ118" i="5"/>
  <c r="AR118" i="5"/>
  <c r="AR110" i="5"/>
  <c r="AQ110" i="5"/>
  <c r="AR187" i="5"/>
  <c r="AQ187" i="5"/>
  <c r="AQ199" i="5"/>
  <c r="AR199" i="5"/>
  <c r="AR164" i="5"/>
  <c r="AQ164" i="5"/>
  <c r="AQ195" i="5"/>
  <c r="AR195" i="5"/>
  <c r="AQ233" i="5"/>
  <c r="AR233" i="5"/>
  <c r="AR250" i="5"/>
  <c r="AQ250" i="5"/>
  <c r="AQ316" i="5"/>
  <c r="AR316" i="5"/>
  <c r="AQ328" i="5"/>
  <c r="AR328" i="5"/>
  <c r="AR281" i="5"/>
  <c r="AQ281" i="5"/>
  <c r="AQ345" i="5"/>
  <c r="AR345" i="5"/>
  <c r="AQ378" i="5"/>
  <c r="AR378" i="5"/>
  <c r="AQ438" i="5"/>
  <c r="AR438" i="5"/>
  <c r="AQ451" i="5"/>
  <c r="AR451" i="5"/>
  <c r="AR496" i="5"/>
  <c r="AQ496" i="5"/>
  <c r="AQ439" i="5"/>
  <c r="AR439" i="5"/>
  <c r="AR507" i="5"/>
  <c r="AQ507" i="5"/>
  <c r="AR44" i="5"/>
  <c r="AQ44" i="5"/>
  <c r="AR26" i="5"/>
  <c r="AQ26" i="5"/>
  <c r="AQ94" i="5"/>
  <c r="AR94" i="5"/>
  <c r="AR143" i="5"/>
  <c r="AQ143" i="5"/>
  <c r="AR112" i="5"/>
  <c r="AQ112" i="5"/>
  <c r="AR214" i="5"/>
  <c r="AQ214" i="5"/>
  <c r="AR315" i="5"/>
  <c r="AQ315" i="5"/>
  <c r="AQ285" i="5"/>
  <c r="AR285" i="5"/>
  <c r="AQ326" i="5"/>
  <c r="AR326" i="5"/>
  <c r="AR350" i="5"/>
  <c r="AQ350" i="5"/>
  <c r="AR443" i="5"/>
  <c r="AQ443" i="5"/>
  <c r="AR485" i="5"/>
  <c r="AQ485" i="5"/>
  <c r="AR476" i="5"/>
  <c r="AQ476" i="5"/>
  <c r="AR389" i="5"/>
  <c r="AQ389" i="5"/>
  <c r="AQ529" i="5"/>
  <c r="AR529" i="5"/>
  <c r="AQ279" i="5"/>
  <c r="AR279" i="5"/>
  <c r="AR545" i="5"/>
  <c r="AQ545" i="5"/>
  <c r="AQ32" i="5"/>
  <c r="AR32" i="5"/>
  <c r="AR68" i="5"/>
  <c r="AQ68" i="5"/>
  <c r="AR107" i="5"/>
  <c r="AQ107" i="5"/>
  <c r="AQ106" i="5"/>
  <c r="AR106" i="5"/>
  <c r="AR125" i="5"/>
  <c r="AQ125" i="5"/>
  <c r="AQ206" i="5"/>
  <c r="AR206" i="5"/>
  <c r="AQ263" i="5"/>
  <c r="AR263" i="5"/>
  <c r="AR253" i="5"/>
  <c r="AQ253" i="5"/>
  <c r="AR411" i="5"/>
  <c r="AQ411" i="5"/>
  <c r="AR427" i="5"/>
  <c r="AQ427" i="5"/>
  <c r="AQ408" i="5"/>
  <c r="AR408" i="5"/>
  <c r="AQ468" i="5"/>
  <c r="AR468" i="5"/>
  <c r="AQ537" i="5"/>
  <c r="AR537" i="5"/>
  <c r="V476" i="5"/>
  <c r="U476" i="5"/>
  <c r="U397" i="5"/>
  <c r="V397" i="5"/>
  <c r="V553" i="5"/>
  <c r="U553" i="5"/>
  <c r="U527" i="5"/>
  <c r="V527" i="5"/>
  <c r="V541" i="5"/>
  <c r="U541" i="5"/>
  <c r="U484" i="5"/>
  <c r="V484" i="5"/>
  <c r="U346" i="5"/>
  <c r="V346" i="5"/>
  <c r="U495" i="5"/>
  <c r="V495" i="5"/>
  <c r="V487" i="5"/>
  <c r="U487" i="5"/>
  <c r="U446" i="5"/>
  <c r="V446" i="5"/>
  <c r="V374" i="5"/>
  <c r="U374" i="5"/>
  <c r="U333" i="5"/>
  <c r="V333" i="5"/>
  <c r="U496" i="5"/>
  <c r="V496" i="5"/>
  <c r="U475" i="5"/>
  <c r="V475" i="5"/>
  <c r="U431" i="5"/>
  <c r="V431" i="5"/>
  <c r="U508" i="5"/>
  <c r="V508" i="5"/>
  <c r="V494" i="5"/>
  <c r="U494" i="5"/>
  <c r="V441" i="5"/>
  <c r="U441" i="5"/>
  <c r="U384" i="5"/>
  <c r="V384" i="5"/>
  <c r="U392" i="5"/>
  <c r="V392" i="5"/>
  <c r="V340" i="5"/>
  <c r="U340" i="5"/>
  <c r="U275" i="5"/>
  <c r="V275" i="5"/>
  <c r="U385" i="5"/>
  <c r="V385" i="5"/>
  <c r="U372" i="5"/>
  <c r="V372" i="5"/>
  <c r="U424" i="5"/>
  <c r="V424" i="5"/>
  <c r="V378" i="5"/>
  <c r="U378" i="5"/>
  <c r="V362" i="5"/>
  <c r="U362" i="5"/>
  <c r="U280" i="5"/>
  <c r="V280" i="5"/>
  <c r="U354" i="5"/>
  <c r="V354" i="5"/>
  <c r="V300" i="5"/>
  <c r="U300" i="5"/>
  <c r="U259" i="5"/>
  <c r="V259" i="5"/>
  <c r="U231" i="5"/>
  <c r="V231" i="5"/>
  <c r="V292" i="5"/>
  <c r="U292" i="5"/>
  <c r="U276" i="5"/>
  <c r="V276" i="5"/>
  <c r="V318" i="5"/>
  <c r="U318" i="5"/>
  <c r="V273" i="5"/>
  <c r="U273" i="5"/>
  <c r="U176" i="5"/>
  <c r="V176" i="5"/>
  <c r="U235" i="5"/>
  <c r="V235" i="5"/>
  <c r="V174" i="5"/>
  <c r="U174" i="5"/>
  <c r="U242" i="5"/>
  <c r="V242" i="5"/>
  <c r="U150" i="5"/>
  <c r="V150" i="5"/>
  <c r="U211" i="5"/>
  <c r="V211" i="5"/>
  <c r="U203" i="5"/>
  <c r="V203" i="5"/>
  <c r="U190" i="5"/>
  <c r="V190" i="5"/>
  <c r="U79" i="5"/>
  <c r="V79" i="5"/>
  <c r="V181" i="5"/>
  <c r="U181" i="5"/>
  <c r="V171" i="5"/>
  <c r="U171" i="5"/>
  <c r="U130" i="5"/>
  <c r="V130" i="5"/>
  <c r="U131" i="5"/>
  <c r="V131" i="5"/>
  <c r="U117" i="5"/>
  <c r="V117" i="5"/>
  <c r="U136" i="5"/>
  <c r="V136" i="5"/>
  <c r="U121" i="5"/>
  <c r="V121" i="5"/>
  <c r="U83" i="5"/>
  <c r="V83" i="5"/>
  <c r="U82" i="5"/>
  <c r="V82" i="5"/>
  <c r="U76" i="5"/>
  <c r="V76" i="5"/>
  <c r="V63" i="5"/>
  <c r="U63" i="5"/>
  <c r="U30" i="5"/>
  <c r="V30" i="5"/>
  <c r="U64" i="5"/>
  <c r="V64" i="5"/>
  <c r="U22" i="5"/>
  <c r="V22" i="5"/>
  <c r="V38" i="5"/>
  <c r="U38" i="5"/>
  <c r="AQ492" i="5"/>
  <c r="AR492" i="5"/>
  <c r="AQ444" i="5"/>
  <c r="AR444" i="5"/>
  <c r="AR87" i="5"/>
  <c r="AQ87" i="5"/>
  <c r="AR115" i="5"/>
  <c r="AQ115" i="5"/>
  <c r="AR109" i="5"/>
  <c r="AQ109" i="5"/>
  <c r="AR172" i="5"/>
  <c r="AQ172" i="5"/>
  <c r="AR234" i="5"/>
  <c r="AQ234" i="5"/>
  <c r="AR265" i="5"/>
  <c r="AQ265" i="5"/>
  <c r="AR327" i="5"/>
  <c r="AQ327" i="5"/>
  <c r="AR307" i="5"/>
  <c r="AQ307" i="5"/>
  <c r="AQ394" i="5"/>
  <c r="AR394" i="5"/>
  <c r="AQ367" i="5"/>
  <c r="AR367" i="5"/>
  <c r="AQ414" i="5"/>
  <c r="AR414" i="5"/>
  <c r="AR302" i="5"/>
  <c r="AQ302" i="5"/>
  <c r="AR551" i="5"/>
  <c r="AQ551" i="5"/>
  <c r="AR413" i="5"/>
  <c r="AQ413" i="5"/>
  <c r="AR38" i="5"/>
  <c r="AQ38" i="5"/>
  <c r="AQ23" i="5"/>
  <c r="AR23" i="5"/>
  <c r="AQ69" i="5"/>
  <c r="AR69" i="5"/>
  <c r="AR153" i="5"/>
  <c r="AQ153" i="5"/>
  <c r="AQ175" i="5"/>
  <c r="AR175" i="5"/>
  <c r="AR229" i="5"/>
  <c r="AQ229" i="5"/>
  <c r="AR301" i="5"/>
  <c r="AQ301" i="5"/>
  <c r="AQ313" i="5"/>
  <c r="AR313" i="5"/>
  <c r="AQ341" i="5"/>
  <c r="AR341" i="5"/>
  <c r="AR487" i="5"/>
  <c r="AQ487" i="5"/>
  <c r="AQ516" i="5"/>
  <c r="AR516" i="5"/>
  <c r="AQ380" i="5"/>
  <c r="AR380" i="5"/>
  <c r="AR426" i="5"/>
  <c r="AQ426" i="5"/>
  <c r="AQ81" i="5"/>
  <c r="AR81" i="5"/>
  <c r="AQ146" i="5"/>
  <c r="AR146" i="5"/>
  <c r="AR184" i="5"/>
  <c r="AQ184" i="5"/>
  <c r="AQ201" i="5"/>
  <c r="AR201" i="5"/>
  <c r="AR235" i="5"/>
  <c r="AQ235" i="5"/>
  <c r="AQ258" i="5"/>
  <c r="AR258" i="5"/>
  <c r="AQ290" i="5"/>
  <c r="AR290" i="5"/>
  <c r="AQ398" i="5"/>
  <c r="AR398" i="5"/>
  <c r="AQ383" i="5"/>
  <c r="AR383" i="5"/>
  <c r="AQ384" i="5"/>
  <c r="AR384" i="5"/>
  <c r="AR363" i="5"/>
  <c r="AQ363" i="5"/>
  <c r="AQ557" i="5"/>
  <c r="AR557" i="5"/>
  <c r="AQ535" i="5"/>
  <c r="AR535" i="5"/>
  <c r="AR527" i="5"/>
  <c r="AQ527" i="5"/>
  <c r="AR193" i="5"/>
  <c r="AQ193" i="5"/>
  <c r="AQ473" i="5"/>
  <c r="AR473" i="5"/>
  <c r="AR40" i="5"/>
  <c r="AQ40" i="5"/>
  <c r="AQ73" i="5"/>
  <c r="AR73" i="5"/>
  <c r="AR98" i="5"/>
  <c r="AQ98" i="5"/>
  <c r="AR151" i="5"/>
  <c r="AQ151" i="5"/>
  <c r="AQ95" i="5"/>
  <c r="AR95" i="5"/>
  <c r="AR247" i="5"/>
  <c r="AQ247" i="5"/>
  <c r="AQ228" i="5"/>
  <c r="AR228" i="5"/>
  <c r="AR303" i="5"/>
  <c r="AQ303" i="5"/>
  <c r="AQ415" i="5"/>
  <c r="AR415" i="5"/>
  <c r="AQ407" i="5"/>
  <c r="AR407" i="5"/>
  <c r="AR385" i="5"/>
  <c r="AQ385" i="5"/>
  <c r="AQ489" i="5"/>
  <c r="AR489" i="5"/>
  <c r="AQ472" i="5"/>
  <c r="AR472" i="5"/>
  <c r="AQ440" i="5"/>
  <c r="AR440" i="5"/>
  <c r="U502" i="5"/>
  <c r="V502" i="5"/>
  <c r="V535" i="5"/>
  <c r="U535" i="5"/>
  <c r="U440" i="5"/>
  <c r="V440" i="5"/>
  <c r="U490" i="5"/>
  <c r="V490" i="5"/>
  <c r="V554" i="5"/>
  <c r="U554" i="5"/>
  <c r="U536" i="5"/>
  <c r="V536" i="5"/>
  <c r="V557" i="5"/>
  <c r="U557" i="5"/>
  <c r="U526" i="5"/>
  <c r="V526" i="5"/>
  <c r="U470" i="5"/>
  <c r="V470" i="5"/>
  <c r="U439" i="5"/>
  <c r="V439" i="5"/>
  <c r="U398" i="5"/>
  <c r="V398" i="5"/>
  <c r="U512" i="5"/>
  <c r="V512" i="5"/>
  <c r="U485" i="5"/>
  <c r="V485" i="5"/>
  <c r="U453" i="5"/>
  <c r="V453" i="5"/>
  <c r="U516" i="5"/>
  <c r="V516" i="5"/>
  <c r="V507" i="5"/>
  <c r="U507" i="5"/>
  <c r="U448" i="5"/>
  <c r="V448" i="5"/>
  <c r="V373" i="5"/>
  <c r="U373" i="5"/>
  <c r="AQ67" i="5"/>
  <c r="AR67" i="5"/>
  <c r="AR72" i="5"/>
  <c r="AQ72" i="5"/>
  <c r="AQ105" i="5"/>
  <c r="AR105" i="5"/>
  <c r="AQ148" i="5"/>
  <c r="AR148" i="5"/>
  <c r="AQ169" i="5"/>
  <c r="AR169" i="5"/>
  <c r="AR185" i="5"/>
  <c r="AQ185" i="5"/>
  <c r="AQ216" i="5"/>
  <c r="AR216" i="5"/>
  <c r="AQ222" i="5"/>
  <c r="AR222" i="5"/>
  <c r="AR287" i="5"/>
  <c r="AQ287" i="5"/>
  <c r="AQ332" i="5"/>
  <c r="AR332" i="5"/>
  <c r="AQ278" i="5"/>
  <c r="AR278" i="5"/>
  <c r="AQ289" i="5"/>
  <c r="AR289" i="5"/>
  <c r="AQ348" i="5"/>
  <c r="AR348" i="5"/>
  <c r="AQ382" i="5"/>
  <c r="AR382" i="5"/>
  <c r="AR387" i="5"/>
  <c r="AQ387" i="5"/>
  <c r="AQ305" i="5"/>
  <c r="AR305" i="5"/>
  <c r="AQ513" i="5"/>
  <c r="AR513" i="5"/>
  <c r="AQ517" i="5"/>
  <c r="AR517" i="5"/>
  <c r="AR477" i="5"/>
  <c r="AQ477" i="5"/>
  <c r="AQ549" i="5"/>
  <c r="AR549" i="5"/>
  <c r="AQ519" i="5"/>
  <c r="AR519" i="5"/>
  <c r="AQ470" i="5"/>
  <c r="AR470" i="5"/>
  <c r="AR128" i="5"/>
  <c r="AQ128" i="5"/>
  <c r="AR548" i="5"/>
  <c r="AQ548" i="5"/>
  <c r="AQ343" i="5"/>
  <c r="AR343" i="5"/>
  <c r="AR61" i="5"/>
  <c r="AQ61" i="5"/>
  <c r="AQ74" i="5"/>
  <c r="AR74" i="5"/>
  <c r="AQ124" i="5"/>
  <c r="AR124" i="5"/>
  <c r="AQ137" i="5"/>
  <c r="AR137" i="5"/>
  <c r="AQ170" i="5"/>
  <c r="AR170" i="5"/>
  <c r="AR186" i="5"/>
  <c r="AQ186" i="5"/>
  <c r="AR242" i="5"/>
  <c r="AQ242" i="5"/>
  <c r="AQ236" i="5"/>
  <c r="AR236" i="5"/>
  <c r="AQ293" i="5"/>
  <c r="AR293" i="5"/>
  <c r="AQ325" i="5"/>
  <c r="AR325" i="5"/>
  <c r="AQ310" i="5"/>
  <c r="AR310" i="5"/>
  <c r="AQ400" i="5"/>
  <c r="AR400" i="5"/>
  <c r="AQ329" i="5"/>
  <c r="AR329" i="5"/>
  <c r="AR168" i="5"/>
  <c r="AQ168" i="5"/>
  <c r="AQ445" i="5"/>
  <c r="AR445" i="5"/>
  <c r="AR514" i="5"/>
  <c r="AQ514" i="5"/>
  <c r="AR30" i="5"/>
  <c r="AQ30" i="5"/>
  <c r="AR28" i="5"/>
  <c r="AQ28" i="5"/>
  <c r="AQ36" i="5"/>
  <c r="AR36" i="5"/>
  <c r="AR48" i="5"/>
  <c r="AQ48" i="5"/>
  <c r="AR56" i="5"/>
  <c r="AQ56" i="5"/>
  <c r="AQ97" i="5"/>
  <c r="AR97" i="5"/>
  <c r="AR113" i="5"/>
  <c r="AQ113" i="5"/>
  <c r="AR104" i="5"/>
  <c r="AQ104" i="5"/>
  <c r="AR99" i="5"/>
  <c r="AQ99" i="5"/>
  <c r="AQ134" i="5"/>
  <c r="AR134" i="5"/>
  <c r="AR158" i="5"/>
  <c r="AQ158" i="5"/>
  <c r="AR149" i="5"/>
  <c r="AQ149" i="5"/>
  <c r="AR162" i="5"/>
  <c r="AQ162" i="5"/>
  <c r="AR192" i="5"/>
  <c r="AQ192" i="5"/>
  <c r="AR212" i="5"/>
  <c r="AQ212" i="5"/>
  <c r="AQ252" i="5"/>
  <c r="AR252" i="5"/>
  <c r="AQ264" i="5"/>
  <c r="AR264" i="5"/>
  <c r="AQ300" i="5"/>
  <c r="AR300" i="5"/>
  <c r="AQ338" i="5"/>
  <c r="AR338" i="5"/>
  <c r="AQ424" i="5"/>
  <c r="AR424" i="5"/>
  <c r="AQ437" i="5"/>
  <c r="AR437" i="5"/>
  <c r="AR355" i="5"/>
  <c r="AQ355" i="5"/>
  <c r="AQ202" i="5"/>
  <c r="AR202" i="5"/>
  <c r="AQ351" i="5"/>
  <c r="AR351" i="5"/>
  <c r="AQ361" i="5"/>
  <c r="AR361" i="5"/>
  <c r="AQ404" i="5"/>
  <c r="AR404" i="5"/>
  <c r="AQ294" i="5"/>
  <c r="AR294" i="5"/>
  <c r="AQ497" i="5"/>
  <c r="AR497" i="5"/>
  <c r="AQ462" i="5"/>
  <c r="AR462" i="5"/>
  <c r="AQ531" i="5"/>
  <c r="AR531" i="5"/>
  <c r="AQ506" i="5"/>
  <c r="AR506" i="5"/>
  <c r="AQ455" i="5"/>
  <c r="AR455" i="5"/>
  <c r="AQ560" i="5"/>
  <c r="AR560" i="5"/>
  <c r="AQ50" i="5"/>
  <c r="AR50" i="5"/>
  <c r="AQ59" i="5"/>
  <c r="AR59" i="5"/>
  <c r="AR80" i="5"/>
  <c r="AQ80" i="5"/>
  <c r="AR85" i="5"/>
  <c r="AQ85" i="5"/>
  <c r="AR120" i="5"/>
  <c r="AQ120" i="5"/>
  <c r="AR147" i="5"/>
  <c r="AQ147" i="5"/>
  <c r="AQ161" i="5"/>
  <c r="AR161" i="5"/>
  <c r="AQ167" i="5"/>
  <c r="AR167" i="5"/>
  <c r="AQ208" i="5"/>
  <c r="AR208" i="5"/>
  <c r="AQ220" i="5"/>
  <c r="AR220" i="5"/>
  <c r="AR225" i="5"/>
  <c r="AQ225" i="5"/>
  <c r="AQ320" i="5"/>
  <c r="AR320" i="5"/>
  <c r="AR266" i="5"/>
  <c r="AQ266" i="5"/>
  <c r="AR308" i="5"/>
  <c r="AQ308" i="5"/>
  <c r="AQ269" i="5"/>
  <c r="AR269" i="5"/>
  <c r="AR288" i="5"/>
  <c r="AQ288" i="5"/>
  <c r="AR342" i="5"/>
  <c r="AQ342" i="5"/>
  <c r="AR366" i="5"/>
  <c r="AQ366" i="5"/>
  <c r="AQ388" i="5"/>
  <c r="AR388" i="5"/>
  <c r="AQ429" i="5"/>
  <c r="AR429" i="5"/>
  <c r="AQ362" i="5"/>
  <c r="AR362" i="5"/>
  <c r="AR376" i="5"/>
  <c r="AQ376" i="5"/>
  <c r="AQ518" i="5"/>
  <c r="AR518" i="5"/>
  <c r="AR501" i="5"/>
  <c r="AQ501" i="5"/>
  <c r="AQ399" i="5"/>
  <c r="AR399" i="5"/>
  <c r="AQ478" i="5"/>
  <c r="AR478" i="5"/>
  <c r="AR550" i="5"/>
  <c r="AQ550" i="5"/>
  <c r="AR479" i="5"/>
  <c r="AQ479" i="5"/>
  <c r="AQ539" i="5"/>
  <c r="AR539" i="5"/>
  <c r="AQ465" i="5"/>
  <c r="AR465" i="5"/>
  <c r="AQ526" i="5"/>
  <c r="AR526" i="5"/>
  <c r="AQ395" i="5"/>
  <c r="AR395" i="5"/>
  <c r="AQ430" i="5"/>
  <c r="AR430" i="5"/>
  <c r="U520" i="5"/>
  <c r="V520" i="5"/>
  <c r="U479" i="5"/>
  <c r="V479" i="5"/>
  <c r="U423" i="5"/>
  <c r="V423" i="5"/>
  <c r="V549" i="5"/>
  <c r="U549" i="5"/>
  <c r="U528" i="5"/>
  <c r="V528" i="5"/>
  <c r="V555" i="5"/>
  <c r="U555" i="5"/>
  <c r="V543" i="5"/>
  <c r="U543" i="5"/>
  <c r="U514" i="5"/>
  <c r="V514" i="5"/>
  <c r="U426" i="5"/>
  <c r="V426" i="5"/>
  <c r="V544" i="5"/>
  <c r="U544" i="5"/>
  <c r="V548" i="5"/>
  <c r="U548" i="5"/>
  <c r="V540" i="5"/>
  <c r="U540" i="5"/>
  <c r="V529" i="5"/>
  <c r="U529" i="5"/>
  <c r="U352" i="5"/>
  <c r="V352" i="5"/>
  <c r="V304" i="5"/>
  <c r="U304" i="5"/>
  <c r="V538" i="5"/>
  <c r="U538" i="5"/>
  <c r="U506" i="5"/>
  <c r="V506" i="5"/>
  <c r="V489" i="5"/>
  <c r="U489" i="5"/>
  <c r="U477" i="5"/>
  <c r="V477" i="5"/>
  <c r="U463" i="5"/>
  <c r="V463" i="5"/>
  <c r="U452" i="5"/>
  <c r="V452" i="5"/>
  <c r="U434" i="5"/>
  <c r="V434" i="5"/>
  <c r="U413" i="5"/>
  <c r="V413" i="5"/>
  <c r="U377" i="5"/>
  <c r="V377" i="5"/>
  <c r="U358" i="5"/>
  <c r="V358" i="5"/>
  <c r="U519" i="5"/>
  <c r="V519" i="5"/>
  <c r="U504" i="5"/>
  <c r="V504" i="5"/>
  <c r="U498" i="5"/>
  <c r="V498" i="5"/>
  <c r="U480" i="5"/>
  <c r="V480" i="5"/>
  <c r="U468" i="5"/>
  <c r="V468" i="5"/>
  <c r="V456" i="5"/>
  <c r="U456" i="5"/>
  <c r="U438" i="5"/>
  <c r="V438" i="5"/>
  <c r="U347" i="5"/>
  <c r="V347" i="5"/>
  <c r="U532" i="5"/>
  <c r="V532" i="5"/>
  <c r="V513" i="5"/>
  <c r="U513" i="5"/>
  <c r="V499" i="5"/>
  <c r="U499" i="5"/>
  <c r="U478" i="5"/>
  <c r="V478" i="5"/>
  <c r="U458" i="5"/>
  <c r="V458" i="5"/>
  <c r="U443" i="5"/>
  <c r="V443" i="5"/>
  <c r="V428" i="5"/>
  <c r="U428" i="5"/>
  <c r="U324" i="5"/>
  <c r="V324" i="5"/>
  <c r="U411" i="5"/>
  <c r="V411" i="5"/>
  <c r="U399" i="5"/>
  <c r="V399" i="5"/>
  <c r="V382" i="5"/>
  <c r="U382" i="5"/>
  <c r="U363" i="5"/>
  <c r="V363" i="5"/>
  <c r="V348" i="5"/>
  <c r="U348" i="5"/>
  <c r="V294" i="5"/>
  <c r="U294" i="5"/>
  <c r="U195" i="5"/>
  <c r="V195" i="5"/>
  <c r="V407" i="5"/>
  <c r="U407" i="5"/>
  <c r="V386" i="5"/>
  <c r="U386" i="5"/>
  <c r="U375" i="5"/>
  <c r="V375" i="5"/>
  <c r="U341" i="5"/>
  <c r="V341" i="5"/>
  <c r="U214" i="5"/>
  <c r="V214" i="5"/>
  <c r="V429" i="5"/>
  <c r="U429" i="5"/>
  <c r="V415" i="5"/>
  <c r="U415" i="5"/>
  <c r="U400" i="5"/>
  <c r="V400" i="5"/>
  <c r="V381" i="5"/>
  <c r="U381" i="5"/>
  <c r="V364" i="5"/>
  <c r="U364" i="5"/>
  <c r="U345" i="5"/>
  <c r="V345" i="5"/>
  <c r="V315" i="5"/>
  <c r="U315" i="5"/>
  <c r="V283" i="5"/>
  <c r="U283" i="5"/>
  <c r="V356" i="5"/>
  <c r="U356" i="5"/>
  <c r="U335" i="5"/>
  <c r="V335" i="5"/>
  <c r="V320" i="5"/>
  <c r="U320" i="5"/>
  <c r="V303" i="5"/>
  <c r="U303" i="5"/>
  <c r="V293" i="5"/>
  <c r="U293" i="5"/>
  <c r="U271" i="5"/>
  <c r="V271" i="5"/>
  <c r="U261" i="5"/>
  <c r="V261" i="5"/>
  <c r="U246" i="5"/>
  <c r="V246" i="5"/>
  <c r="U331" i="5"/>
  <c r="V331" i="5"/>
  <c r="V316" i="5"/>
  <c r="U316" i="5"/>
  <c r="V299" i="5"/>
  <c r="U299" i="5"/>
  <c r="V284" i="5"/>
  <c r="U284" i="5"/>
  <c r="U251" i="5"/>
  <c r="V251" i="5"/>
  <c r="U135" i="5"/>
  <c r="V135" i="5"/>
  <c r="V322" i="5"/>
  <c r="U322" i="5"/>
  <c r="V306" i="5"/>
  <c r="U306" i="5"/>
  <c r="V282" i="5"/>
  <c r="U282" i="5"/>
  <c r="U274" i="5"/>
  <c r="V274" i="5"/>
  <c r="V263" i="5"/>
  <c r="U263" i="5"/>
  <c r="U254" i="5"/>
  <c r="V254" i="5"/>
  <c r="U241" i="5"/>
  <c r="V241" i="5"/>
  <c r="U236" i="5"/>
  <c r="V236" i="5"/>
  <c r="U225" i="5"/>
  <c r="V225" i="5"/>
  <c r="U210" i="5"/>
  <c r="V210" i="5"/>
  <c r="U180" i="5"/>
  <c r="V180" i="5"/>
  <c r="U243" i="5"/>
  <c r="V243" i="5"/>
  <c r="U229" i="5"/>
  <c r="V229" i="5"/>
  <c r="U212" i="5"/>
  <c r="V212" i="5"/>
  <c r="V159" i="5"/>
  <c r="U159" i="5"/>
  <c r="U245" i="5"/>
  <c r="V245" i="5"/>
  <c r="U224" i="5"/>
  <c r="V224" i="5"/>
  <c r="V215" i="5"/>
  <c r="U215" i="5"/>
  <c r="U205" i="5"/>
  <c r="V205" i="5"/>
  <c r="U196" i="5"/>
  <c r="V196" i="5"/>
  <c r="U204" i="5"/>
  <c r="V204" i="5"/>
  <c r="U194" i="5"/>
  <c r="V194" i="5"/>
  <c r="V185" i="5"/>
  <c r="U185" i="5"/>
  <c r="U172" i="5"/>
  <c r="V172" i="5"/>
  <c r="U100" i="5"/>
  <c r="V100" i="5"/>
  <c r="U170" i="5"/>
  <c r="V170" i="5"/>
  <c r="U133" i="5"/>
  <c r="V133" i="5"/>
  <c r="U187" i="5"/>
  <c r="V187" i="5"/>
  <c r="V173" i="5"/>
  <c r="U173" i="5"/>
  <c r="V149" i="5"/>
  <c r="U149" i="5"/>
  <c r="U152" i="5"/>
  <c r="V152" i="5"/>
  <c r="U138" i="5"/>
  <c r="V138" i="5"/>
  <c r="U115" i="5"/>
  <c r="V115" i="5"/>
  <c r="V156" i="5"/>
  <c r="U156" i="5"/>
  <c r="V137" i="5"/>
  <c r="U137" i="5"/>
  <c r="U123" i="5"/>
  <c r="V123" i="5"/>
  <c r="U109" i="5"/>
  <c r="V109" i="5"/>
  <c r="U84" i="5"/>
  <c r="V84" i="5"/>
  <c r="U139" i="5"/>
  <c r="V139" i="5"/>
  <c r="U126" i="5"/>
  <c r="V126" i="5"/>
  <c r="U87" i="5"/>
  <c r="V87" i="5"/>
  <c r="U101" i="5"/>
  <c r="V101" i="5"/>
  <c r="U85" i="5"/>
  <c r="V85" i="5"/>
  <c r="U107" i="5"/>
  <c r="V107" i="5"/>
  <c r="U69" i="5"/>
  <c r="V69" i="5"/>
  <c r="U94" i="5"/>
  <c r="V94" i="5"/>
  <c r="U92" i="5"/>
  <c r="V92" i="5"/>
  <c r="V61" i="5"/>
  <c r="U61" i="5"/>
  <c r="U80" i="5"/>
  <c r="V80" i="5"/>
  <c r="U66" i="5"/>
  <c r="V66" i="5"/>
  <c r="V35" i="5"/>
  <c r="U35" i="5"/>
  <c r="V59" i="5"/>
  <c r="U59" i="5"/>
  <c r="U33" i="5"/>
  <c r="V33" i="5"/>
  <c r="U70" i="5"/>
  <c r="V70" i="5"/>
  <c r="U52" i="5"/>
  <c r="V52" i="5"/>
  <c r="U47" i="5"/>
  <c r="V47" i="5"/>
  <c r="U34" i="5"/>
  <c r="V34" i="5"/>
  <c r="U39" i="5"/>
  <c r="V39" i="5"/>
  <c r="V26" i="5"/>
  <c r="U26" i="5"/>
  <c r="V44" i="5"/>
  <c r="U44" i="5"/>
  <c r="AQ130" i="5"/>
  <c r="AR130" i="5"/>
  <c r="AQ51" i="5"/>
  <c r="AR51" i="5"/>
  <c r="AQ62" i="5"/>
  <c r="AR62" i="5"/>
  <c r="AR102" i="5"/>
  <c r="AQ102" i="5"/>
  <c r="AQ156" i="5"/>
  <c r="AR156" i="5"/>
  <c r="AQ84" i="5"/>
  <c r="AR84" i="5"/>
  <c r="AQ183" i="5"/>
  <c r="AR183" i="5"/>
  <c r="AR181" i="5"/>
  <c r="AQ181" i="5"/>
  <c r="AQ189" i="5"/>
  <c r="AR189" i="5"/>
  <c r="AR243" i="5"/>
  <c r="AQ243" i="5"/>
  <c r="AQ230" i="5"/>
  <c r="AR230" i="5"/>
  <c r="AQ205" i="5"/>
  <c r="AR205" i="5"/>
  <c r="AQ282" i="5"/>
  <c r="AR282" i="5"/>
  <c r="AQ200" i="5"/>
  <c r="AR200" i="5"/>
  <c r="AQ354" i="5"/>
  <c r="AR354" i="5"/>
  <c r="AQ226" i="5"/>
  <c r="AR226" i="5"/>
  <c r="AQ373" i="5"/>
  <c r="AR373" i="5"/>
  <c r="AQ256" i="5"/>
  <c r="AR256" i="5"/>
  <c r="AQ481" i="5"/>
  <c r="AR481" i="5"/>
  <c r="AR522" i="5"/>
  <c r="AQ522" i="5"/>
  <c r="AQ357" i="5"/>
  <c r="AR357" i="5"/>
  <c r="AR422" i="5"/>
  <c r="AQ422" i="5"/>
  <c r="AQ458" i="5"/>
  <c r="AR458" i="5"/>
  <c r="AQ423" i="5"/>
  <c r="AR423" i="5"/>
  <c r="AQ480" i="5"/>
  <c r="AR480" i="5"/>
  <c r="AQ520" i="5"/>
  <c r="AR520" i="5"/>
  <c r="AQ511" i="5"/>
  <c r="AR511" i="5"/>
  <c r="AR503" i="5"/>
  <c r="AQ503" i="5"/>
  <c r="AQ538" i="5"/>
  <c r="AR538" i="5"/>
  <c r="AQ64" i="5"/>
  <c r="AR64" i="5"/>
  <c r="AQ217" i="5"/>
  <c r="AR217" i="5"/>
  <c r="AR47" i="5"/>
  <c r="AQ47" i="5"/>
  <c r="AQ65" i="5"/>
  <c r="AR65" i="5"/>
  <c r="AQ55" i="5"/>
  <c r="AR55" i="5"/>
  <c r="AR121" i="5"/>
  <c r="AQ121" i="5"/>
  <c r="AQ92" i="5"/>
  <c r="AR92" i="5"/>
  <c r="AQ139" i="5"/>
  <c r="AR139" i="5"/>
  <c r="AR177" i="5"/>
  <c r="AQ177" i="5"/>
  <c r="AR182" i="5"/>
  <c r="AQ182" i="5"/>
  <c r="AR133" i="5"/>
  <c r="AQ133" i="5"/>
  <c r="AR190" i="5"/>
  <c r="AQ190" i="5"/>
  <c r="AR239" i="5"/>
  <c r="AQ239" i="5"/>
  <c r="AR159" i="5"/>
  <c r="AQ159" i="5"/>
  <c r="AR240" i="5"/>
  <c r="AQ240" i="5"/>
  <c r="AR257" i="5"/>
  <c r="AQ257" i="5"/>
  <c r="AR210" i="5"/>
  <c r="AQ210" i="5"/>
  <c r="AQ261" i="5"/>
  <c r="AR261" i="5"/>
  <c r="AQ296" i="5"/>
  <c r="AR296" i="5"/>
  <c r="AQ336" i="5"/>
  <c r="AR336" i="5"/>
  <c r="AR421" i="5"/>
  <c r="AQ421" i="5"/>
  <c r="AQ340" i="5"/>
  <c r="AR340" i="5"/>
  <c r="AQ368" i="5"/>
  <c r="AR368" i="5"/>
  <c r="AQ386" i="5"/>
  <c r="AR386" i="5"/>
  <c r="AR347" i="5"/>
  <c r="AQ347" i="5"/>
  <c r="AQ402" i="5"/>
  <c r="AR402" i="5"/>
  <c r="AQ417" i="5"/>
  <c r="AR417" i="5"/>
  <c r="AQ412" i="5"/>
  <c r="AR412" i="5"/>
  <c r="AQ510" i="5"/>
  <c r="AR510" i="5"/>
  <c r="AQ447" i="5"/>
  <c r="AR447" i="5"/>
  <c r="AQ460" i="5"/>
  <c r="AR460" i="5"/>
  <c r="AQ117" i="5"/>
  <c r="AR117" i="5"/>
  <c r="B114" i="2"/>
  <c r="B89" i="2"/>
  <c r="B85" i="2"/>
  <c r="B81" i="2"/>
  <c r="AU15" i="4" l="1"/>
  <c r="AV15" i="4" s="1"/>
  <c r="AX15" i="4"/>
  <c r="AY15" i="4" s="1"/>
  <c r="AU36" i="4"/>
  <c r="AV36" i="4" s="1"/>
  <c r="AX36" i="4"/>
  <c r="AY36" i="4" s="1"/>
  <c r="AX92" i="4"/>
  <c r="AY92" i="4" s="1"/>
  <c r="AU92" i="4"/>
  <c r="AV92" i="4" s="1"/>
  <c r="AU156" i="4"/>
  <c r="AV156" i="4" s="1"/>
  <c r="AX156" i="4"/>
  <c r="AY156" i="4" s="1"/>
  <c r="AX87" i="4"/>
  <c r="AU87" i="4"/>
  <c r="AV87" i="4" s="1"/>
  <c r="AU151" i="4"/>
  <c r="AV151" i="4" s="1"/>
  <c r="AX151" i="4"/>
  <c r="AY151" i="4" s="1"/>
  <c r="AU85" i="4"/>
  <c r="AV85" i="4" s="1"/>
  <c r="AX85" i="4"/>
  <c r="AY85" i="4" s="1"/>
  <c r="AX149" i="4"/>
  <c r="AY149" i="4" s="1"/>
  <c r="AU149" i="4"/>
  <c r="AV149" i="4" s="1"/>
  <c r="AU78" i="4"/>
  <c r="AV78" i="4" s="1"/>
  <c r="AX78" i="4"/>
  <c r="AU142" i="4"/>
  <c r="AV142" i="4" s="1"/>
  <c r="AX142" i="4"/>
  <c r="AY142" i="4" s="1"/>
  <c r="AU14" i="4"/>
  <c r="AV14" i="4" s="1"/>
  <c r="AX14" i="4"/>
  <c r="AY14" i="4" s="1"/>
  <c r="AX157" i="4"/>
  <c r="AY157" i="4" s="1"/>
  <c r="AU157" i="4"/>
  <c r="AV157" i="4" s="1"/>
  <c r="AU25" i="4"/>
  <c r="AV25" i="4" s="1"/>
  <c r="AX25" i="4"/>
  <c r="AY25" i="4" s="1"/>
  <c r="AU49" i="4"/>
  <c r="AV49" i="4" s="1"/>
  <c r="AX49" i="4"/>
  <c r="AY49" i="4" s="1"/>
  <c r="AX113" i="4"/>
  <c r="AY113" i="4" s="1"/>
  <c r="AU113" i="4"/>
  <c r="AV113" i="4" s="1"/>
  <c r="AX42" i="4"/>
  <c r="AY42" i="4" s="1"/>
  <c r="AU42" i="4"/>
  <c r="AV42" i="4" s="1"/>
  <c r="AX106" i="4"/>
  <c r="AU106" i="4"/>
  <c r="AV106" i="4" s="1"/>
  <c r="AX32" i="4"/>
  <c r="AU32" i="4"/>
  <c r="AV32" i="4" s="1"/>
  <c r="AU104" i="4"/>
  <c r="AV104" i="4" s="1"/>
  <c r="AX104" i="4"/>
  <c r="AY104" i="4" s="1"/>
  <c r="AX26" i="4"/>
  <c r="AY26" i="4" s="1"/>
  <c r="AU26" i="4"/>
  <c r="AV26" i="4" s="1"/>
  <c r="AU99" i="4"/>
  <c r="AV99" i="4" s="1"/>
  <c r="AX99" i="4"/>
  <c r="AY99" i="4" s="1"/>
  <c r="AX13" i="4"/>
  <c r="AY13" i="4" s="1"/>
  <c r="AU13" i="4"/>
  <c r="AV13" i="4" s="1"/>
  <c r="AU68" i="4"/>
  <c r="AV68" i="4" s="1"/>
  <c r="AX68" i="4"/>
  <c r="AY68" i="4" s="1"/>
  <c r="AX45" i="4"/>
  <c r="AU45" i="4"/>
  <c r="AV45" i="4" s="1"/>
  <c r="AX21" i="4"/>
  <c r="AY21" i="4" s="1"/>
  <c r="AU21" i="4"/>
  <c r="AV21" i="4" s="1"/>
  <c r="AX34" i="4"/>
  <c r="AU34" i="4"/>
  <c r="AV34" i="4" s="1"/>
  <c r="AX105" i="4"/>
  <c r="AY105" i="4" s="1"/>
  <c r="AU105" i="4"/>
  <c r="AV105" i="4" s="1"/>
  <c r="AX24" i="4"/>
  <c r="AY24" i="4" s="1"/>
  <c r="AU24" i="4"/>
  <c r="AV24" i="4" s="1"/>
  <c r="AX98" i="4"/>
  <c r="AY98" i="4" s="1"/>
  <c r="AU98" i="4"/>
  <c r="AV98" i="4" s="1"/>
  <c r="AU12" i="4"/>
  <c r="AV12" i="4" s="1"/>
  <c r="AX12" i="4"/>
  <c r="AY12" i="4" s="1"/>
  <c r="AU96" i="4"/>
  <c r="AV96" i="4" s="1"/>
  <c r="AX96" i="4"/>
  <c r="AY96" i="4" s="1"/>
  <c r="AX10" i="4"/>
  <c r="AY10" i="4" s="1"/>
  <c r="AU10" i="4"/>
  <c r="AV10" i="4" s="1"/>
  <c r="AU91" i="4"/>
  <c r="AV91" i="4" s="1"/>
  <c r="AX91" i="4"/>
  <c r="AY91" i="4" s="1"/>
  <c r="AX155" i="4"/>
  <c r="AY155" i="4" s="1"/>
  <c r="AU155" i="4"/>
  <c r="AV155" i="4" s="1"/>
  <c r="AX84" i="4"/>
  <c r="AY84" i="4" s="1"/>
  <c r="AU84" i="4"/>
  <c r="AV84" i="4" s="1"/>
  <c r="AX79" i="4"/>
  <c r="AY79" i="4" s="1"/>
  <c r="AU79" i="4"/>
  <c r="AV79" i="4" s="1"/>
  <c r="AU77" i="4"/>
  <c r="AV77" i="4" s="1"/>
  <c r="AX77" i="4"/>
  <c r="AY77" i="4" s="1"/>
  <c r="AU70" i="4"/>
  <c r="AV70" i="4" s="1"/>
  <c r="AX70" i="4"/>
  <c r="AY70" i="4" s="1"/>
  <c r="AY106" i="4"/>
  <c r="AU23" i="4"/>
  <c r="AV23" i="4" s="1"/>
  <c r="AX23" i="4"/>
  <c r="AY23" i="4" s="1"/>
  <c r="AU44" i="4"/>
  <c r="AV44" i="4" s="1"/>
  <c r="AX44" i="4"/>
  <c r="AY44" i="4" s="1"/>
  <c r="AX108" i="4"/>
  <c r="AY108" i="4" s="1"/>
  <c r="AU108" i="4"/>
  <c r="AV108" i="4" s="1"/>
  <c r="AU38" i="4"/>
  <c r="AV38" i="4" s="1"/>
  <c r="AX38" i="4"/>
  <c r="AY38" i="4" s="1"/>
  <c r="AX103" i="4"/>
  <c r="AY103" i="4" s="1"/>
  <c r="AU103" i="4"/>
  <c r="AV103" i="4" s="1"/>
  <c r="AX18" i="4"/>
  <c r="AY18" i="4" s="1"/>
  <c r="AU18" i="4"/>
  <c r="AV18" i="4" s="1"/>
  <c r="AU101" i="4"/>
  <c r="AV101" i="4" s="1"/>
  <c r="AX101" i="4"/>
  <c r="AY101" i="4" s="1"/>
  <c r="AU22" i="4"/>
  <c r="AV22" i="4" s="1"/>
  <c r="AX22" i="4"/>
  <c r="AY22" i="4" s="1"/>
  <c r="AU94" i="4"/>
  <c r="AV94" i="4" s="1"/>
  <c r="AX94" i="4"/>
  <c r="AY94" i="4" s="1"/>
  <c r="AU8" i="4"/>
  <c r="AX8" i="4"/>
  <c r="AX95" i="4"/>
  <c r="AY95" i="4" s="1"/>
  <c r="AU95" i="4"/>
  <c r="AV95" i="4" s="1"/>
  <c r="AU86" i="4"/>
  <c r="AV86" i="4" s="1"/>
  <c r="AX86" i="4"/>
  <c r="AY86" i="4" s="1"/>
  <c r="AU33" i="4"/>
  <c r="AV33" i="4" s="1"/>
  <c r="AX33" i="4"/>
  <c r="AY33" i="4" s="1"/>
  <c r="AU65" i="4"/>
  <c r="AV65" i="4" s="1"/>
  <c r="AX65" i="4"/>
  <c r="AY65" i="4" s="1"/>
  <c r="AX129" i="4"/>
  <c r="AY129" i="4" s="1"/>
  <c r="AU129" i="4"/>
  <c r="AV129" i="4" s="1"/>
  <c r="AX58" i="4"/>
  <c r="AY58" i="4" s="1"/>
  <c r="AU58" i="4"/>
  <c r="AV58" i="4" s="1"/>
  <c r="AX122" i="4"/>
  <c r="AY122" i="4" s="1"/>
  <c r="AU122" i="4"/>
  <c r="AV122" i="4" s="1"/>
  <c r="AX56" i="4"/>
  <c r="AY56" i="4" s="1"/>
  <c r="AU56" i="4"/>
  <c r="AV56" i="4" s="1"/>
  <c r="AU120" i="4"/>
  <c r="AV120" i="4" s="1"/>
  <c r="AX120" i="4"/>
  <c r="AY120" i="4" s="1"/>
  <c r="AU51" i="4"/>
  <c r="AV51" i="4" s="1"/>
  <c r="AX51" i="4"/>
  <c r="AY51" i="4" s="1"/>
  <c r="AU115" i="4"/>
  <c r="AV115" i="4" s="1"/>
  <c r="AX115" i="4"/>
  <c r="AY115" i="4" s="1"/>
  <c r="AX132" i="4"/>
  <c r="AY132" i="4" s="1"/>
  <c r="AU132" i="4"/>
  <c r="AV132" i="4" s="1"/>
  <c r="AU109" i="4"/>
  <c r="AV109" i="4" s="1"/>
  <c r="AX109" i="4"/>
  <c r="AY109" i="4" s="1"/>
  <c r="AX29" i="4"/>
  <c r="AY29" i="4" s="1"/>
  <c r="AU29" i="4"/>
  <c r="AV29" i="4" s="1"/>
  <c r="AU57" i="4"/>
  <c r="AV57" i="4" s="1"/>
  <c r="AX57" i="4"/>
  <c r="AY57" i="4" s="1"/>
  <c r="AX121" i="4"/>
  <c r="AY121" i="4" s="1"/>
  <c r="AU121" i="4"/>
  <c r="AV121" i="4" s="1"/>
  <c r="AX50" i="4"/>
  <c r="AY50" i="4" s="1"/>
  <c r="AU50" i="4"/>
  <c r="AV50" i="4" s="1"/>
  <c r="AX114" i="4"/>
  <c r="AY114" i="4" s="1"/>
  <c r="AU114" i="4"/>
  <c r="AV114" i="4" s="1"/>
  <c r="AX48" i="4"/>
  <c r="AY48" i="4" s="1"/>
  <c r="AU48" i="4"/>
  <c r="AV48" i="4" s="1"/>
  <c r="AU112" i="4"/>
  <c r="AV112" i="4" s="1"/>
  <c r="AX112" i="4"/>
  <c r="AY112" i="4" s="1"/>
  <c r="AU43" i="4"/>
  <c r="AV43" i="4" s="1"/>
  <c r="AX43" i="4"/>
  <c r="AY43" i="4" s="1"/>
  <c r="AU107" i="4"/>
  <c r="AV107" i="4" s="1"/>
  <c r="AX107" i="4"/>
  <c r="AY107" i="4" s="1"/>
  <c r="AU27" i="4"/>
  <c r="AV27" i="4" s="1"/>
  <c r="AX27" i="4"/>
  <c r="AY27" i="4" s="1"/>
  <c r="AX116" i="4"/>
  <c r="AY116" i="4" s="1"/>
  <c r="AU116" i="4"/>
  <c r="AV116" i="4" s="1"/>
  <c r="AX127" i="4"/>
  <c r="AY127" i="4" s="1"/>
  <c r="AU127" i="4"/>
  <c r="AV127" i="4" s="1"/>
  <c r="AU125" i="4"/>
  <c r="AV125" i="4" s="1"/>
  <c r="AX125" i="4"/>
  <c r="AY125" i="4" s="1"/>
  <c r="AU118" i="4"/>
  <c r="AV118" i="4" s="1"/>
  <c r="AX118" i="4"/>
  <c r="AY118" i="4" s="1"/>
  <c r="AY32" i="4"/>
  <c r="AY78" i="4"/>
  <c r="AY87" i="4"/>
  <c r="AU31" i="4"/>
  <c r="AV31" i="4" s="1"/>
  <c r="AX31" i="4"/>
  <c r="AY31" i="4" s="1"/>
  <c r="AU60" i="4"/>
  <c r="AV60" i="4" s="1"/>
  <c r="AX60" i="4"/>
  <c r="AY60" i="4" s="1"/>
  <c r="AX124" i="4"/>
  <c r="AY124" i="4" s="1"/>
  <c r="AU124" i="4"/>
  <c r="AV124" i="4" s="1"/>
  <c r="AU55" i="4"/>
  <c r="AV55" i="4" s="1"/>
  <c r="AX55" i="4"/>
  <c r="AY55" i="4" s="1"/>
  <c r="AX119" i="4"/>
  <c r="AY119" i="4" s="1"/>
  <c r="AU119" i="4"/>
  <c r="AV119" i="4" s="1"/>
  <c r="AX53" i="4"/>
  <c r="AY53" i="4" s="1"/>
  <c r="AU53" i="4"/>
  <c r="AV53" i="4" s="1"/>
  <c r="AU117" i="4"/>
  <c r="AV117" i="4" s="1"/>
  <c r="AX117" i="4"/>
  <c r="AY117" i="4" s="1"/>
  <c r="AU46" i="4"/>
  <c r="AV46" i="4" s="1"/>
  <c r="AX46" i="4"/>
  <c r="AY46" i="4" s="1"/>
  <c r="AU110" i="4"/>
  <c r="AV110" i="4" s="1"/>
  <c r="AX110" i="4"/>
  <c r="AY110" i="4" s="1"/>
  <c r="AU30" i="4"/>
  <c r="AV30" i="4" s="1"/>
  <c r="AX30" i="4"/>
  <c r="AY30" i="4" s="1"/>
  <c r="AU9" i="4"/>
  <c r="AV9" i="4" s="1"/>
  <c r="AX9" i="4"/>
  <c r="AY9" i="4" s="1"/>
  <c r="AU150" i="4"/>
  <c r="AV150" i="4" s="1"/>
  <c r="AX150" i="4"/>
  <c r="AY150" i="4" s="1"/>
  <c r="AU41" i="4"/>
  <c r="AV41" i="4" s="1"/>
  <c r="AX41" i="4"/>
  <c r="AY41" i="4" s="1"/>
  <c r="AX81" i="4"/>
  <c r="AY81" i="4" s="1"/>
  <c r="AU81" i="4"/>
  <c r="AV81" i="4" s="1"/>
  <c r="AU145" i="4"/>
  <c r="AV145" i="4" s="1"/>
  <c r="AX145" i="4"/>
  <c r="AY145" i="4" s="1"/>
  <c r="AX74" i="4"/>
  <c r="AY74" i="4" s="1"/>
  <c r="AU74" i="4"/>
  <c r="AV74" i="4" s="1"/>
  <c r="AX138" i="4"/>
  <c r="AY138" i="4" s="1"/>
  <c r="AU138" i="4"/>
  <c r="AV138" i="4" s="1"/>
  <c r="AU72" i="4"/>
  <c r="AV72" i="4" s="1"/>
  <c r="AX72" i="4"/>
  <c r="AY72" i="4" s="1"/>
  <c r="AU136" i="4"/>
  <c r="AV136" i="4" s="1"/>
  <c r="AX136" i="4"/>
  <c r="AY136" i="4" s="1"/>
  <c r="AU67" i="4"/>
  <c r="AV67" i="4" s="1"/>
  <c r="AX67" i="4"/>
  <c r="AY67" i="4" s="1"/>
  <c r="AU131" i="4"/>
  <c r="AV131" i="4" s="1"/>
  <c r="AX131" i="4"/>
  <c r="AY131" i="4" s="1"/>
  <c r="AU19" i="4"/>
  <c r="AV19" i="4" s="1"/>
  <c r="AX19" i="4"/>
  <c r="AY19" i="4" s="1"/>
  <c r="AU47" i="4"/>
  <c r="AV47" i="4" s="1"/>
  <c r="AX47" i="4"/>
  <c r="AY47" i="4" s="1"/>
  <c r="AX40" i="4"/>
  <c r="AY40" i="4" s="1"/>
  <c r="AU40" i="4"/>
  <c r="AV40" i="4" s="1"/>
  <c r="AX37" i="4"/>
  <c r="AY37" i="4" s="1"/>
  <c r="AU37" i="4"/>
  <c r="AV37" i="4" s="1"/>
  <c r="AX73" i="4"/>
  <c r="AY73" i="4" s="1"/>
  <c r="AU73" i="4"/>
  <c r="AV73" i="4" s="1"/>
  <c r="AX137" i="4"/>
  <c r="AY137" i="4" s="1"/>
  <c r="AU137" i="4"/>
  <c r="AV137" i="4" s="1"/>
  <c r="AX66" i="4"/>
  <c r="AY66" i="4" s="1"/>
  <c r="AU66" i="4"/>
  <c r="AV66" i="4" s="1"/>
  <c r="AX130" i="4"/>
  <c r="AY130" i="4" s="1"/>
  <c r="AU130" i="4"/>
  <c r="AV130" i="4" s="1"/>
  <c r="AX64" i="4"/>
  <c r="AY64" i="4" s="1"/>
  <c r="AU64" i="4"/>
  <c r="AV64" i="4" s="1"/>
  <c r="AU128" i="4"/>
  <c r="AV128" i="4" s="1"/>
  <c r="AX128" i="4"/>
  <c r="AY128" i="4" s="1"/>
  <c r="AU59" i="4"/>
  <c r="AV59" i="4" s="1"/>
  <c r="AX59" i="4"/>
  <c r="AY59" i="4" s="1"/>
  <c r="AU123" i="4"/>
  <c r="AV123" i="4" s="1"/>
  <c r="AX123" i="4"/>
  <c r="AY123" i="4" s="1"/>
  <c r="AU20" i="4"/>
  <c r="AV20" i="4" s="1"/>
  <c r="AX20" i="4"/>
  <c r="AY20" i="4" s="1"/>
  <c r="AU148" i="4"/>
  <c r="AV148" i="4" s="1"/>
  <c r="AX148" i="4"/>
  <c r="AY148" i="4" s="1"/>
  <c r="AX143" i="4"/>
  <c r="AY143" i="4" s="1"/>
  <c r="AU143" i="4"/>
  <c r="AV143" i="4" s="1"/>
  <c r="AU141" i="4"/>
  <c r="AV141" i="4" s="1"/>
  <c r="AX141" i="4"/>
  <c r="AY141" i="4" s="1"/>
  <c r="AU134" i="4"/>
  <c r="AV134" i="4" s="1"/>
  <c r="AX134" i="4"/>
  <c r="AY134" i="4" s="1"/>
  <c r="AY34" i="4"/>
  <c r="AY45" i="4"/>
  <c r="AU39" i="4"/>
  <c r="AV39" i="4" s="1"/>
  <c r="AX39" i="4"/>
  <c r="AY39" i="4" s="1"/>
  <c r="AX76" i="4"/>
  <c r="AY76" i="4" s="1"/>
  <c r="AU76" i="4"/>
  <c r="AV76" i="4" s="1"/>
  <c r="AX140" i="4"/>
  <c r="AY140" i="4" s="1"/>
  <c r="AU140" i="4"/>
  <c r="AV140" i="4" s="1"/>
  <c r="AX71" i="4"/>
  <c r="AY71" i="4" s="1"/>
  <c r="AU71" i="4"/>
  <c r="AV71" i="4" s="1"/>
  <c r="AX135" i="4"/>
  <c r="AY135" i="4" s="1"/>
  <c r="AU135" i="4"/>
  <c r="AV135" i="4" s="1"/>
  <c r="AU69" i="4"/>
  <c r="AV69" i="4" s="1"/>
  <c r="AX69" i="4"/>
  <c r="AY69" i="4" s="1"/>
  <c r="AU133" i="4"/>
  <c r="AV133" i="4" s="1"/>
  <c r="AX133" i="4"/>
  <c r="AY133" i="4" s="1"/>
  <c r="AU62" i="4"/>
  <c r="AV62" i="4" s="1"/>
  <c r="AX62" i="4"/>
  <c r="AY62" i="4" s="1"/>
  <c r="AU126" i="4"/>
  <c r="AV126" i="4" s="1"/>
  <c r="AX126" i="4"/>
  <c r="AY126" i="4" s="1"/>
  <c r="AX100" i="4"/>
  <c r="AY100" i="4" s="1"/>
  <c r="AU100" i="4"/>
  <c r="AV100" i="4" s="1"/>
  <c r="AU93" i="4"/>
  <c r="AV93" i="4" s="1"/>
  <c r="AX93" i="4"/>
  <c r="AY93" i="4" s="1"/>
  <c r="AU17" i="4"/>
  <c r="AV17" i="4" s="1"/>
  <c r="AX17" i="4"/>
  <c r="AY17" i="4" s="1"/>
  <c r="AX16" i="4"/>
  <c r="AY16" i="4" s="1"/>
  <c r="AU16" i="4"/>
  <c r="AV16" i="4" s="1"/>
  <c r="AX97" i="4"/>
  <c r="AY97" i="4" s="1"/>
  <c r="AU97" i="4"/>
  <c r="AV97" i="4" s="1"/>
  <c r="AU11" i="4"/>
  <c r="AV11" i="4" s="1"/>
  <c r="AX11" i="4"/>
  <c r="AY11" i="4" s="1"/>
  <c r="AX90" i="4"/>
  <c r="AY90" i="4" s="1"/>
  <c r="AU90" i="4"/>
  <c r="AV90" i="4" s="1"/>
  <c r="AX154" i="4"/>
  <c r="AY154" i="4" s="1"/>
  <c r="AU154" i="4"/>
  <c r="AV154" i="4" s="1"/>
  <c r="AU88" i="4"/>
  <c r="AV88" i="4" s="1"/>
  <c r="AX88" i="4"/>
  <c r="AY88" i="4" s="1"/>
  <c r="AU152" i="4"/>
  <c r="AV152" i="4" s="1"/>
  <c r="AX152" i="4"/>
  <c r="AY152" i="4" s="1"/>
  <c r="AU83" i="4"/>
  <c r="AV83" i="4" s="1"/>
  <c r="AX83" i="4"/>
  <c r="AY83" i="4" s="1"/>
  <c r="AU147" i="4"/>
  <c r="AV147" i="4" s="1"/>
  <c r="AX147" i="4"/>
  <c r="AY147" i="4" s="1"/>
  <c r="AU35" i="4"/>
  <c r="AV35" i="4" s="1"/>
  <c r="AX35" i="4"/>
  <c r="AY35" i="4" s="1"/>
  <c r="AX111" i="4"/>
  <c r="AY111" i="4" s="1"/>
  <c r="AU111" i="4"/>
  <c r="AV111" i="4" s="1"/>
  <c r="AU102" i="4"/>
  <c r="AV102" i="4" s="1"/>
  <c r="AX102" i="4"/>
  <c r="AY102" i="4" s="1"/>
  <c r="AU28" i="4"/>
  <c r="AV28" i="4" s="1"/>
  <c r="AX28" i="4"/>
  <c r="AY28" i="4" s="1"/>
  <c r="AX89" i="4"/>
  <c r="AY89" i="4" s="1"/>
  <c r="AU89" i="4"/>
  <c r="AV89" i="4" s="1"/>
  <c r="AU153" i="4"/>
  <c r="AV153" i="4" s="1"/>
  <c r="AX153" i="4"/>
  <c r="AY153" i="4" s="1"/>
  <c r="AX82" i="4"/>
  <c r="AY82" i="4" s="1"/>
  <c r="AU82" i="4"/>
  <c r="AV82" i="4" s="1"/>
  <c r="AX146" i="4"/>
  <c r="AY146" i="4" s="1"/>
  <c r="AU146" i="4"/>
  <c r="AV146" i="4" s="1"/>
  <c r="AU80" i="4"/>
  <c r="AV80" i="4" s="1"/>
  <c r="AX80" i="4"/>
  <c r="AY80" i="4" s="1"/>
  <c r="AU144" i="4"/>
  <c r="AV144" i="4" s="1"/>
  <c r="AX144" i="4"/>
  <c r="AY144" i="4" s="1"/>
  <c r="AU75" i="4"/>
  <c r="AV75" i="4" s="1"/>
  <c r="AX75" i="4"/>
  <c r="AY75" i="4" s="1"/>
  <c r="AU139" i="4"/>
  <c r="AV139" i="4" s="1"/>
  <c r="AX139" i="4"/>
  <c r="AY139" i="4" s="1"/>
  <c r="AU52" i="4"/>
  <c r="AV52" i="4" s="1"/>
  <c r="AX52" i="4"/>
  <c r="AY52" i="4" s="1"/>
  <c r="AU63" i="4"/>
  <c r="AV63" i="4" s="1"/>
  <c r="AX63" i="4"/>
  <c r="AY63" i="4" s="1"/>
  <c r="AX61" i="4"/>
  <c r="AY61" i="4" s="1"/>
  <c r="AU61" i="4"/>
  <c r="AV61" i="4" s="1"/>
  <c r="AU54" i="4"/>
  <c r="AV54" i="4" s="1"/>
  <c r="AX54" i="4"/>
  <c r="AY54" i="4" s="1"/>
  <c r="U7" i="4"/>
  <c r="V7" i="4" s="1"/>
  <c r="AI7" i="4"/>
  <c r="BW144" i="4"/>
  <c r="BR144" i="4"/>
  <c r="BT144" i="4" s="1"/>
  <c r="BG144" i="4"/>
  <c r="BR112" i="4"/>
  <c r="BT112" i="4" s="1"/>
  <c r="BG112" i="4"/>
  <c r="BG80" i="4"/>
  <c r="BR80" i="4"/>
  <c r="BT80" i="4" s="1"/>
  <c r="BG48" i="4"/>
  <c r="BR48" i="4"/>
  <c r="BT48" i="4" s="1"/>
  <c r="BG18" i="4"/>
  <c r="BR18" i="4"/>
  <c r="BT18" i="4" s="1"/>
  <c r="BR146" i="4"/>
  <c r="BT146" i="4" s="1"/>
  <c r="BG146" i="4"/>
  <c r="BG114" i="4"/>
  <c r="BR114" i="4"/>
  <c r="BT114" i="4" s="1"/>
  <c r="BG82" i="4"/>
  <c r="BR82" i="4"/>
  <c r="BT82" i="4" s="1"/>
  <c r="BG50" i="4"/>
  <c r="BR50" i="4"/>
  <c r="BT50" i="4" s="1"/>
  <c r="BG28" i="4"/>
  <c r="BR28" i="4"/>
  <c r="BT28" i="4" s="1"/>
  <c r="BG156" i="4"/>
  <c r="BR156" i="4"/>
  <c r="BT156" i="4" s="1"/>
  <c r="BG124" i="4"/>
  <c r="BR124" i="4"/>
  <c r="BT124" i="4" s="1"/>
  <c r="BG92" i="4"/>
  <c r="BR92" i="4"/>
  <c r="BT92" i="4" s="1"/>
  <c r="BR60" i="4"/>
  <c r="BT60" i="4" s="1"/>
  <c r="BG60" i="4"/>
  <c r="BR31" i="4"/>
  <c r="BT31" i="4" s="1"/>
  <c r="BG31" i="4"/>
  <c r="BR126" i="4"/>
  <c r="BT126" i="4" s="1"/>
  <c r="BG126" i="4"/>
  <c r="BR94" i="4"/>
  <c r="BT94" i="4" s="1"/>
  <c r="BG94" i="4"/>
  <c r="BR62" i="4"/>
  <c r="BT62" i="4" s="1"/>
  <c r="BG62" i="4"/>
  <c r="BG37" i="4"/>
  <c r="BR37" i="4"/>
  <c r="BT37" i="4" s="1"/>
  <c r="BR13" i="4"/>
  <c r="BT13" i="4" s="1"/>
  <c r="BG13" i="4"/>
  <c r="BG155" i="4"/>
  <c r="BR155" i="4"/>
  <c r="BT155" i="4" s="1"/>
  <c r="BW147" i="4"/>
  <c r="BG147" i="4"/>
  <c r="BR147" i="4"/>
  <c r="BT147" i="4" s="1"/>
  <c r="BG139" i="4"/>
  <c r="BR139" i="4"/>
  <c r="BT139" i="4" s="1"/>
  <c r="BG131" i="4"/>
  <c r="BR131" i="4"/>
  <c r="BT131" i="4" s="1"/>
  <c r="BG123" i="4"/>
  <c r="BR123" i="4"/>
  <c r="BT123" i="4" s="1"/>
  <c r="BG115" i="4"/>
  <c r="BR115" i="4"/>
  <c r="BT115" i="4" s="1"/>
  <c r="BG107" i="4"/>
  <c r="BR107" i="4"/>
  <c r="BT107" i="4" s="1"/>
  <c r="BG99" i="4"/>
  <c r="BR99" i="4"/>
  <c r="BT99" i="4" s="1"/>
  <c r="BG91" i="4"/>
  <c r="BR91" i="4"/>
  <c r="BT91" i="4" s="1"/>
  <c r="BG83" i="4"/>
  <c r="BR83" i="4"/>
  <c r="BT83" i="4" s="1"/>
  <c r="BG75" i="4"/>
  <c r="BR75" i="4"/>
  <c r="BT75" i="4" s="1"/>
  <c r="BG67" i="4"/>
  <c r="BR67" i="4"/>
  <c r="BT67" i="4" s="1"/>
  <c r="BG59" i="4"/>
  <c r="BR59" i="4"/>
  <c r="BT59" i="4" s="1"/>
  <c r="BG51" i="4"/>
  <c r="BR51" i="4"/>
  <c r="BT51" i="4" s="1"/>
  <c r="BG43" i="4"/>
  <c r="BR43" i="4"/>
  <c r="BT43" i="4" s="1"/>
  <c r="BW30" i="4"/>
  <c r="BG30" i="4"/>
  <c r="BR30" i="4"/>
  <c r="BT30" i="4" s="1"/>
  <c r="BG152" i="4"/>
  <c r="BR152" i="4"/>
  <c r="BT152" i="4" s="1"/>
  <c r="BR120" i="4"/>
  <c r="BT120" i="4" s="1"/>
  <c r="BG120" i="4"/>
  <c r="BR88" i="4"/>
  <c r="BT88" i="4" s="1"/>
  <c r="BG88" i="4"/>
  <c r="BR56" i="4"/>
  <c r="BT56" i="4" s="1"/>
  <c r="BG56" i="4"/>
  <c r="BG29" i="4"/>
  <c r="BR29" i="4"/>
  <c r="BT29" i="4" s="1"/>
  <c r="BG154" i="4"/>
  <c r="BR154" i="4"/>
  <c r="BT154" i="4" s="1"/>
  <c r="BG122" i="4"/>
  <c r="BR122" i="4"/>
  <c r="BT122" i="4" s="1"/>
  <c r="BG90" i="4"/>
  <c r="BR90" i="4"/>
  <c r="BT90" i="4" s="1"/>
  <c r="BG58" i="4"/>
  <c r="BR58" i="4"/>
  <c r="BT58" i="4" s="1"/>
  <c r="BG35" i="4"/>
  <c r="BR35" i="4"/>
  <c r="BT35" i="4" s="1"/>
  <c r="BG14" i="4"/>
  <c r="BR14" i="4"/>
  <c r="BT14" i="4" s="1"/>
  <c r="BG132" i="4"/>
  <c r="BR132" i="4"/>
  <c r="BT132" i="4" s="1"/>
  <c r="BG100" i="4"/>
  <c r="BR100" i="4"/>
  <c r="BT100" i="4" s="1"/>
  <c r="BG68" i="4"/>
  <c r="BR68" i="4"/>
  <c r="BT68" i="4" s="1"/>
  <c r="BR34" i="4"/>
  <c r="BT34" i="4" s="1"/>
  <c r="BG34" i="4"/>
  <c r="BR16" i="4"/>
  <c r="BT16" i="4" s="1"/>
  <c r="BG16" i="4"/>
  <c r="BG134" i="4"/>
  <c r="BR134" i="4"/>
  <c r="BT134" i="4" s="1"/>
  <c r="BG102" i="4"/>
  <c r="BR102" i="4"/>
  <c r="BT102" i="4" s="1"/>
  <c r="BG70" i="4"/>
  <c r="BR70" i="4"/>
  <c r="BT70" i="4" s="1"/>
  <c r="BG40" i="4"/>
  <c r="BR40" i="4"/>
  <c r="BT40" i="4" s="1"/>
  <c r="BG19" i="4"/>
  <c r="BR19" i="4"/>
  <c r="BT19" i="4" s="1"/>
  <c r="BG157" i="4"/>
  <c r="BR157" i="4"/>
  <c r="BT157" i="4" s="1"/>
  <c r="BG149" i="4"/>
  <c r="BR149" i="4"/>
  <c r="BT149" i="4" s="1"/>
  <c r="BG141" i="4"/>
  <c r="BR141" i="4"/>
  <c r="BT141" i="4" s="1"/>
  <c r="BG133" i="4"/>
  <c r="BR133" i="4"/>
  <c r="BT133" i="4" s="1"/>
  <c r="BG125" i="4"/>
  <c r="BR125" i="4"/>
  <c r="BT125" i="4" s="1"/>
  <c r="BG117" i="4"/>
  <c r="BR117" i="4"/>
  <c r="BT117" i="4" s="1"/>
  <c r="BG109" i="4"/>
  <c r="BR109" i="4"/>
  <c r="BT109" i="4" s="1"/>
  <c r="BG101" i="4"/>
  <c r="BR101" i="4"/>
  <c r="BT101" i="4" s="1"/>
  <c r="BG93" i="4"/>
  <c r="BR93" i="4"/>
  <c r="BT93" i="4" s="1"/>
  <c r="BG85" i="4"/>
  <c r="BR85" i="4"/>
  <c r="BT85" i="4" s="1"/>
  <c r="BG77" i="4"/>
  <c r="BR77" i="4"/>
  <c r="BT77" i="4" s="1"/>
  <c r="BR69" i="4"/>
  <c r="BT69" i="4" s="1"/>
  <c r="BG69" i="4"/>
  <c r="BG61" i="4"/>
  <c r="BR61" i="4"/>
  <c r="BT61" i="4" s="1"/>
  <c r="BG53" i="4"/>
  <c r="BR53" i="4"/>
  <c r="BT53" i="4" s="1"/>
  <c r="BG45" i="4"/>
  <c r="BR45" i="4"/>
  <c r="BT45" i="4" s="1"/>
  <c r="BR33" i="4"/>
  <c r="BT33" i="4" s="1"/>
  <c r="BG33" i="4"/>
  <c r="BR17" i="4"/>
  <c r="BT17" i="4" s="1"/>
  <c r="BG17" i="4"/>
  <c r="BG136" i="4"/>
  <c r="BR136" i="4"/>
  <c r="BT136" i="4" s="1"/>
  <c r="BG104" i="4"/>
  <c r="BR104" i="4"/>
  <c r="BT104" i="4" s="1"/>
  <c r="BG72" i="4"/>
  <c r="BR72" i="4"/>
  <c r="BT72" i="4" s="1"/>
  <c r="BG36" i="4"/>
  <c r="BR36" i="4"/>
  <c r="BT36" i="4" s="1"/>
  <c r="BW15" i="4"/>
  <c r="BR15" i="4"/>
  <c r="BT15" i="4" s="1"/>
  <c r="BG15" i="4"/>
  <c r="BR138" i="4"/>
  <c r="BT138" i="4" s="1"/>
  <c r="BG138" i="4"/>
  <c r="BG106" i="4"/>
  <c r="BR106" i="4"/>
  <c r="BT106" i="4" s="1"/>
  <c r="BW74" i="4"/>
  <c r="BR74" i="4"/>
  <c r="BT74" i="4" s="1"/>
  <c r="BG74" i="4"/>
  <c r="BG42" i="4"/>
  <c r="BR42" i="4"/>
  <c r="BT42" i="4" s="1"/>
  <c r="BR24" i="4"/>
  <c r="BT24" i="4" s="1"/>
  <c r="BG24" i="4"/>
  <c r="BR148" i="4"/>
  <c r="BT148" i="4" s="1"/>
  <c r="BG148" i="4"/>
  <c r="BG116" i="4"/>
  <c r="BR116" i="4"/>
  <c r="BT116" i="4" s="1"/>
  <c r="BR84" i="4"/>
  <c r="BT84" i="4" s="1"/>
  <c r="BG84" i="4"/>
  <c r="BG52" i="4"/>
  <c r="BR52" i="4"/>
  <c r="BT52" i="4" s="1"/>
  <c r="BG27" i="4"/>
  <c r="BR27" i="4"/>
  <c r="BT27" i="4" s="1"/>
  <c r="BW150" i="4"/>
  <c r="BG150" i="4"/>
  <c r="BR150" i="4"/>
  <c r="BT150" i="4" s="1"/>
  <c r="BR118" i="4"/>
  <c r="BT118" i="4" s="1"/>
  <c r="BG118" i="4"/>
  <c r="BG86" i="4"/>
  <c r="BR86" i="4"/>
  <c r="BT86" i="4" s="1"/>
  <c r="BR54" i="4"/>
  <c r="BT54" i="4" s="1"/>
  <c r="BG54" i="4"/>
  <c r="BG26" i="4"/>
  <c r="BR26" i="4"/>
  <c r="BT26" i="4" s="1"/>
  <c r="BG11" i="4"/>
  <c r="BR11" i="4"/>
  <c r="BT11" i="4" s="1"/>
  <c r="BG153" i="4"/>
  <c r="BR153" i="4"/>
  <c r="BT153" i="4" s="1"/>
  <c r="BG145" i="4"/>
  <c r="BR145" i="4"/>
  <c r="BT145" i="4" s="1"/>
  <c r="BR137" i="4"/>
  <c r="BT137" i="4" s="1"/>
  <c r="BG137" i="4"/>
  <c r="BG129" i="4"/>
  <c r="BR129" i="4"/>
  <c r="BT129" i="4" s="1"/>
  <c r="BG121" i="4"/>
  <c r="BR121" i="4"/>
  <c r="BT121" i="4" s="1"/>
  <c r="BG113" i="4"/>
  <c r="BR113" i="4"/>
  <c r="BT113" i="4" s="1"/>
  <c r="BR105" i="4"/>
  <c r="BT105" i="4" s="1"/>
  <c r="BG105" i="4"/>
  <c r="BR97" i="4"/>
  <c r="BT97" i="4" s="1"/>
  <c r="BG97" i="4"/>
  <c r="BG89" i="4"/>
  <c r="BR89" i="4"/>
  <c r="BT89" i="4" s="1"/>
  <c r="BG81" i="4"/>
  <c r="BR81" i="4"/>
  <c r="BT81" i="4" s="1"/>
  <c r="BR73" i="4"/>
  <c r="BT73" i="4" s="1"/>
  <c r="BG73" i="4"/>
  <c r="BG65" i="4"/>
  <c r="BR65" i="4"/>
  <c r="BT65" i="4" s="1"/>
  <c r="BG57" i="4"/>
  <c r="BR57" i="4"/>
  <c r="BT57" i="4" s="1"/>
  <c r="BG49" i="4"/>
  <c r="BR49" i="4"/>
  <c r="BT49" i="4" s="1"/>
  <c r="BW41" i="4"/>
  <c r="BR41" i="4"/>
  <c r="BT41" i="4" s="1"/>
  <c r="BG41" i="4"/>
  <c r="BG25" i="4"/>
  <c r="BR25" i="4"/>
  <c r="BT25" i="4" s="1"/>
  <c r="BG10" i="4"/>
  <c r="BR10" i="4"/>
  <c r="BT10" i="4" s="1"/>
  <c r="BG128" i="4"/>
  <c r="BR128" i="4"/>
  <c r="BT128" i="4" s="1"/>
  <c r="BG96" i="4"/>
  <c r="BR96" i="4"/>
  <c r="BT96" i="4" s="1"/>
  <c r="BG64" i="4"/>
  <c r="BR64" i="4"/>
  <c r="BT64" i="4" s="1"/>
  <c r="BR32" i="4"/>
  <c r="BT32" i="4" s="1"/>
  <c r="BG32" i="4"/>
  <c r="BR12" i="4"/>
  <c r="BT12" i="4" s="1"/>
  <c r="BG12" i="4"/>
  <c r="BG130" i="4"/>
  <c r="BR130" i="4"/>
  <c r="BT130" i="4" s="1"/>
  <c r="BR98" i="4"/>
  <c r="BT98" i="4" s="1"/>
  <c r="BG98" i="4"/>
  <c r="BG66" i="4"/>
  <c r="BR66" i="4"/>
  <c r="BT66" i="4" s="1"/>
  <c r="BR39" i="4"/>
  <c r="BT39" i="4" s="1"/>
  <c r="BG39" i="4"/>
  <c r="BG21" i="4"/>
  <c r="BR21" i="4"/>
  <c r="BT21" i="4" s="1"/>
  <c r="BG140" i="4"/>
  <c r="BR140" i="4"/>
  <c r="BT140" i="4" s="1"/>
  <c r="BG108" i="4"/>
  <c r="BR108" i="4"/>
  <c r="BT108" i="4" s="1"/>
  <c r="BG76" i="4"/>
  <c r="BR76" i="4"/>
  <c r="BT76" i="4" s="1"/>
  <c r="BG44" i="4"/>
  <c r="BR44" i="4"/>
  <c r="BT44" i="4" s="1"/>
  <c r="BR20" i="4"/>
  <c r="BT20" i="4" s="1"/>
  <c r="BG20" i="4"/>
  <c r="BG142" i="4"/>
  <c r="BR142" i="4"/>
  <c r="BT142" i="4" s="1"/>
  <c r="BG110" i="4"/>
  <c r="BR110" i="4"/>
  <c r="BT110" i="4" s="1"/>
  <c r="BG78" i="4"/>
  <c r="BR78" i="4"/>
  <c r="BT78" i="4" s="1"/>
  <c r="BG46" i="4"/>
  <c r="BR46" i="4"/>
  <c r="BT46" i="4" s="1"/>
  <c r="BG23" i="4"/>
  <c r="BR23" i="4"/>
  <c r="BT23" i="4" s="1"/>
  <c r="BG9" i="4"/>
  <c r="BR9" i="4"/>
  <c r="BT9" i="4" s="1"/>
  <c r="BG151" i="4"/>
  <c r="BR151" i="4"/>
  <c r="BT151" i="4" s="1"/>
  <c r="BG143" i="4"/>
  <c r="BR143" i="4"/>
  <c r="BT143" i="4" s="1"/>
  <c r="BG135" i="4"/>
  <c r="BR135" i="4"/>
  <c r="BT135" i="4" s="1"/>
  <c r="BG127" i="4"/>
  <c r="BR127" i="4"/>
  <c r="BT127" i="4" s="1"/>
  <c r="BG119" i="4"/>
  <c r="BR119" i="4"/>
  <c r="BT119" i="4" s="1"/>
  <c r="BG111" i="4"/>
  <c r="BR111" i="4"/>
  <c r="BT111" i="4" s="1"/>
  <c r="BG103" i="4"/>
  <c r="BR103" i="4"/>
  <c r="BT103" i="4" s="1"/>
  <c r="BG95" i="4"/>
  <c r="BR95" i="4"/>
  <c r="BT95" i="4" s="1"/>
  <c r="BG87" i="4"/>
  <c r="BR87" i="4"/>
  <c r="BT87" i="4" s="1"/>
  <c r="BG79" i="4"/>
  <c r="BR79" i="4"/>
  <c r="BT79" i="4" s="1"/>
  <c r="BG71" i="4"/>
  <c r="BR71" i="4"/>
  <c r="BT71" i="4" s="1"/>
  <c r="BG63" i="4"/>
  <c r="BR63" i="4"/>
  <c r="BT63" i="4" s="1"/>
  <c r="BG55" i="4"/>
  <c r="BR55" i="4"/>
  <c r="BT55" i="4" s="1"/>
  <c r="BG47" i="4"/>
  <c r="BR47" i="4"/>
  <c r="BT47" i="4" s="1"/>
  <c r="BR38" i="4"/>
  <c r="BT38" i="4" s="1"/>
  <c r="BG38" i="4"/>
  <c r="BR22" i="4"/>
  <c r="BT22" i="4" s="1"/>
  <c r="BG22" i="4"/>
  <c r="BW10" i="4"/>
  <c r="BW96" i="4"/>
  <c r="BW32" i="4"/>
  <c r="BW130" i="4"/>
  <c r="BW98" i="4"/>
  <c r="BW39" i="4"/>
  <c r="BW140" i="4"/>
  <c r="BW76" i="4"/>
  <c r="BW20" i="4"/>
  <c r="BW110" i="4"/>
  <c r="BW78" i="4"/>
  <c r="BW23" i="4"/>
  <c r="BW143" i="4"/>
  <c r="BW127" i="4"/>
  <c r="BW111" i="4"/>
  <c r="BW95" i="4"/>
  <c r="BW79" i="4"/>
  <c r="BW63" i="4"/>
  <c r="BW47" i="4"/>
  <c r="BW22" i="4"/>
  <c r="BW152" i="4"/>
  <c r="BW88" i="4"/>
  <c r="BW29" i="4"/>
  <c r="BW122" i="4"/>
  <c r="BW58" i="4"/>
  <c r="BW14" i="4"/>
  <c r="BW100" i="4"/>
  <c r="BW34" i="4"/>
  <c r="BW16" i="4"/>
  <c r="BW102" i="4"/>
  <c r="BW40" i="4"/>
  <c r="BW19" i="4"/>
  <c r="BW149" i="4"/>
  <c r="BW125" i="4"/>
  <c r="BW109" i="4"/>
  <c r="BW93" i="4"/>
  <c r="BW77" i="4"/>
  <c r="BW53" i="4"/>
  <c r="BW33" i="4"/>
  <c r="BW112" i="4"/>
  <c r="BW80" i="4"/>
  <c r="BW48" i="4"/>
  <c r="BW18" i="4"/>
  <c r="BW146" i="4"/>
  <c r="BW114" i="4"/>
  <c r="BW82" i="4"/>
  <c r="BW50" i="4"/>
  <c r="BW28" i="4"/>
  <c r="BW156" i="4"/>
  <c r="BW124" i="4"/>
  <c r="BW92" i="4"/>
  <c r="BW60" i="4"/>
  <c r="BW31" i="4"/>
  <c r="BR8" i="4"/>
  <c r="BW8" i="4"/>
  <c r="BW126" i="4"/>
  <c r="BW94" i="4"/>
  <c r="BW62" i="4"/>
  <c r="BW37" i="4"/>
  <c r="BW13" i="4"/>
  <c r="BW155" i="4"/>
  <c r="BW139" i="4"/>
  <c r="BW131" i="4"/>
  <c r="BW123" i="4"/>
  <c r="BW115" i="4"/>
  <c r="BW107" i="4"/>
  <c r="BW99" i="4"/>
  <c r="BW91" i="4"/>
  <c r="BW83" i="4"/>
  <c r="BW75" i="4"/>
  <c r="BW67" i="4"/>
  <c r="BW59" i="4"/>
  <c r="BW51" i="4"/>
  <c r="BW43" i="4"/>
  <c r="BW128" i="4"/>
  <c r="BW64" i="4"/>
  <c r="BW12" i="4"/>
  <c r="BW66" i="4"/>
  <c r="BW21" i="4"/>
  <c r="BW108" i="4"/>
  <c r="BW44" i="4"/>
  <c r="BW142" i="4"/>
  <c r="BW46" i="4"/>
  <c r="BW9" i="4"/>
  <c r="BW151" i="4"/>
  <c r="BW135" i="4"/>
  <c r="BW119" i="4"/>
  <c r="BW103" i="4"/>
  <c r="BW87" i="4"/>
  <c r="BW71" i="4"/>
  <c r="BW55" i="4"/>
  <c r="BW38" i="4"/>
  <c r="BW120" i="4"/>
  <c r="BW56" i="4"/>
  <c r="BW154" i="4"/>
  <c r="BW90" i="4"/>
  <c r="BW35" i="4"/>
  <c r="BW132" i="4"/>
  <c r="BW68" i="4"/>
  <c r="BW134" i="4"/>
  <c r="BW70" i="4"/>
  <c r="BW157" i="4"/>
  <c r="BW141" i="4"/>
  <c r="BW133" i="4"/>
  <c r="BW117" i="4"/>
  <c r="BW101" i="4"/>
  <c r="BW85" i="4"/>
  <c r="BW69" i="4"/>
  <c r="BW61" i="4"/>
  <c r="BW45" i="4"/>
  <c r="BW17" i="4"/>
  <c r="BW136" i="4"/>
  <c r="BW104" i="4"/>
  <c r="BW72" i="4"/>
  <c r="BW36" i="4"/>
  <c r="BW138" i="4"/>
  <c r="BW106" i="4"/>
  <c r="BW42" i="4"/>
  <c r="BW24" i="4"/>
  <c r="BW148" i="4"/>
  <c r="BW116" i="4"/>
  <c r="BW84" i="4"/>
  <c r="BW52" i="4"/>
  <c r="BW27" i="4"/>
  <c r="BW118" i="4"/>
  <c r="BW86" i="4"/>
  <c r="BW54" i="4"/>
  <c r="BW26" i="4"/>
  <c r="BW11" i="4"/>
  <c r="BW153" i="4"/>
  <c r="BW145" i="4"/>
  <c r="BW137" i="4"/>
  <c r="BW129" i="4"/>
  <c r="BW121" i="4"/>
  <c r="BW113" i="4"/>
  <c r="BW105" i="4"/>
  <c r="BW97" i="4"/>
  <c r="BW89" i="4"/>
  <c r="BW81" i="4"/>
  <c r="BW73" i="4"/>
  <c r="BW65" i="4"/>
  <c r="BW57" i="4"/>
  <c r="BW49" i="4"/>
  <c r="BW25" i="4"/>
  <c r="BG8" i="4"/>
  <c r="U112" i="4"/>
  <c r="U48" i="4"/>
  <c r="V48" i="4" s="1"/>
  <c r="U146" i="4"/>
  <c r="U82" i="4"/>
  <c r="U156" i="4"/>
  <c r="U92" i="4"/>
  <c r="U31" i="4"/>
  <c r="V31" i="4" s="1"/>
  <c r="U126" i="4"/>
  <c r="U62" i="4"/>
  <c r="U13" i="4"/>
  <c r="V13" i="4" s="1"/>
  <c r="U139" i="4"/>
  <c r="V139" i="4" s="1"/>
  <c r="U123" i="4"/>
  <c r="U107" i="4"/>
  <c r="U83" i="4"/>
  <c r="V83" i="4" s="1"/>
  <c r="U67" i="4"/>
  <c r="U43" i="4"/>
  <c r="V43" i="4" s="1"/>
  <c r="U136" i="4"/>
  <c r="V136" i="4" s="1"/>
  <c r="U72" i="4"/>
  <c r="V72" i="4" s="1"/>
  <c r="U15" i="4"/>
  <c r="V15" i="4" s="1"/>
  <c r="U106" i="4"/>
  <c r="U24" i="4"/>
  <c r="V24" i="4" s="1"/>
  <c r="U116" i="4"/>
  <c r="U27" i="4"/>
  <c r="V27" i="4" s="1"/>
  <c r="U86" i="4"/>
  <c r="V86" i="4" s="1"/>
  <c r="U11" i="4"/>
  <c r="V11" i="4" s="1"/>
  <c r="U145" i="4"/>
  <c r="U137" i="4"/>
  <c r="U121" i="4"/>
  <c r="V121" i="4" s="1"/>
  <c r="U105" i="4"/>
  <c r="V105" i="4" s="1"/>
  <c r="U89" i="4"/>
  <c r="U81" i="4"/>
  <c r="U65" i="4"/>
  <c r="U49" i="4"/>
  <c r="V49" i="4" s="1"/>
  <c r="U25" i="4"/>
  <c r="V25" i="4" s="1"/>
  <c r="U152" i="4"/>
  <c r="U120" i="4"/>
  <c r="U88" i="4"/>
  <c r="U56" i="4"/>
  <c r="U29" i="4"/>
  <c r="V29" i="4" s="1"/>
  <c r="U154" i="4"/>
  <c r="U122" i="4"/>
  <c r="U90" i="4"/>
  <c r="U58" i="4"/>
  <c r="V58" i="4" s="1"/>
  <c r="U35" i="4"/>
  <c r="V35" i="4" s="1"/>
  <c r="U14" i="4"/>
  <c r="V14" i="4" s="1"/>
  <c r="U132" i="4"/>
  <c r="U100" i="4"/>
  <c r="U68" i="4"/>
  <c r="U34" i="4"/>
  <c r="V34" i="4" s="1"/>
  <c r="U16" i="4"/>
  <c r="V16" i="4" s="1"/>
  <c r="U134" i="4"/>
  <c r="V134" i="4" s="1"/>
  <c r="U102" i="4"/>
  <c r="U70" i="4"/>
  <c r="V70" i="4" s="1"/>
  <c r="U40" i="4"/>
  <c r="U19" i="4"/>
  <c r="V19" i="4" s="1"/>
  <c r="U157" i="4"/>
  <c r="U149" i="4"/>
  <c r="V149" i="4" s="1"/>
  <c r="U141" i="4"/>
  <c r="V141" i="4" s="1"/>
  <c r="U133" i="4"/>
  <c r="U125" i="4"/>
  <c r="V125" i="4" s="1"/>
  <c r="U117" i="4"/>
  <c r="V117" i="4" s="1"/>
  <c r="U109" i="4"/>
  <c r="V109" i="4" s="1"/>
  <c r="U101" i="4"/>
  <c r="V101" i="4" s="1"/>
  <c r="U93" i="4"/>
  <c r="V93" i="4" s="1"/>
  <c r="U85" i="4"/>
  <c r="V85" i="4" s="1"/>
  <c r="U77" i="4"/>
  <c r="V77" i="4" s="1"/>
  <c r="U69" i="4"/>
  <c r="U61" i="4"/>
  <c r="U53" i="4"/>
  <c r="V53" i="4" s="1"/>
  <c r="U45" i="4"/>
  <c r="U33" i="4"/>
  <c r="V33" i="4" s="1"/>
  <c r="U17" i="4"/>
  <c r="V17" i="4" s="1"/>
  <c r="U144" i="4"/>
  <c r="V144" i="4" s="1"/>
  <c r="U80" i="4"/>
  <c r="V80" i="4" s="1"/>
  <c r="U18" i="4"/>
  <c r="V18" i="4" s="1"/>
  <c r="U114" i="4"/>
  <c r="U50" i="4"/>
  <c r="U28" i="4"/>
  <c r="V28" i="4" s="1"/>
  <c r="U124" i="4"/>
  <c r="U60" i="4"/>
  <c r="U8" i="4"/>
  <c r="AW8" i="4"/>
  <c r="U94" i="4"/>
  <c r="U37" i="4"/>
  <c r="U155" i="4"/>
  <c r="U147" i="4"/>
  <c r="U131" i="4"/>
  <c r="U115" i="4"/>
  <c r="V115" i="4" s="1"/>
  <c r="U99" i="4"/>
  <c r="V99" i="4" s="1"/>
  <c r="U91" i="4"/>
  <c r="U75" i="4"/>
  <c r="U59" i="4"/>
  <c r="U51" i="4"/>
  <c r="V51" i="4" s="1"/>
  <c r="U30" i="4"/>
  <c r="V30" i="4" s="1"/>
  <c r="U104" i="4"/>
  <c r="U36" i="4"/>
  <c r="V36" i="4" s="1"/>
  <c r="U138" i="4"/>
  <c r="V138" i="4" s="1"/>
  <c r="U74" i="4"/>
  <c r="U42" i="4"/>
  <c r="V42" i="4" s="1"/>
  <c r="U148" i="4"/>
  <c r="V148" i="4" s="1"/>
  <c r="U84" i="4"/>
  <c r="U52" i="4"/>
  <c r="U150" i="4"/>
  <c r="U118" i="4"/>
  <c r="V118" i="4" s="1"/>
  <c r="U54" i="4"/>
  <c r="U26" i="4"/>
  <c r="V26" i="4" s="1"/>
  <c r="U153" i="4"/>
  <c r="U129" i="4"/>
  <c r="U113" i="4"/>
  <c r="U97" i="4"/>
  <c r="U73" i="4"/>
  <c r="V73" i="4" s="1"/>
  <c r="U57" i="4"/>
  <c r="U41" i="4"/>
  <c r="U10" i="4"/>
  <c r="V10" i="4" s="1"/>
  <c r="U128" i="4"/>
  <c r="V128" i="4" s="1"/>
  <c r="U96" i="4"/>
  <c r="V96" i="4" s="1"/>
  <c r="U64" i="4"/>
  <c r="U32" i="4"/>
  <c r="V32" i="4" s="1"/>
  <c r="U12" i="4"/>
  <c r="V12" i="4" s="1"/>
  <c r="U130" i="4"/>
  <c r="U98" i="4"/>
  <c r="V98" i="4" s="1"/>
  <c r="U66" i="4"/>
  <c r="V66" i="4" s="1"/>
  <c r="U39" i="4"/>
  <c r="U21" i="4"/>
  <c r="V21" i="4" s="1"/>
  <c r="U140" i="4"/>
  <c r="U108" i="4"/>
  <c r="U76" i="4"/>
  <c r="U44" i="4"/>
  <c r="V44" i="4" s="1"/>
  <c r="U20" i="4"/>
  <c r="V20" i="4" s="1"/>
  <c r="U142" i="4"/>
  <c r="U110" i="4"/>
  <c r="U78" i="4"/>
  <c r="V78" i="4" s="1"/>
  <c r="U46" i="4"/>
  <c r="U23" i="4"/>
  <c r="V23" i="4" s="1"/>
  <c r="U9" i="4"/>
  <c r="V9" i="4" s="1"/>
  <c r="U151" i="4"/>
  <c r="V151" i="4" s="1"/>
  <c r="U143" i="4"/>
  <c r="U135" i="4"/>
  <c r="V135" i="4" s="1"/>
  <c r="U127" i="4"/>
  <c r="V127" i="4" s="1"/>
  <c r="U119" i="4"/>
  <c r="V119" i="4" s="1"/>
  <c r="U111" i="4"/>
  <c r="U103" i="4"/>
  <c r="V103" i="4" s="1"/>
  <c r="U95" i="4"/>
  <c r="V95" i="4" s="1"/>
  <c r="U87" i="4"/>
  <c r="V87" i="4" s="1"/>
  <c r="U79" i="4"/>
  <c r="U71" i="4"/>
  <c r="V71" i="4" s="1"/>
  <c r="U63" i="4"/>
  <c r="V63" i="4" s="1"/>
  <c r="U55" i="4"/>
  <c r="V55" i="4" s="1"/>
  <c r="U47" i="4"/>
  <c r="U38" i="4"/>
  <c r="V38" i="4" s="1"/>
  <c r="U22" i="4"/>
  <c r="V22" i="4" s="1"/>
  <c r="Z361" i="10"/>
  <c r="AB361" i="10" s="1"/>
  <c r="Z280" i="10"/>
  <c r="AA280" i="10" s="1"/>
  <c r="Z176" i="10"/>
  <c r="AA176" i="10" s="1"/>
  <c r="Z248" i="10"/>
  <c r="AA248" i="10" s="1"/>
  <c r="Z204" i="10"/>
  <c r="AA204" i="10" s="1"/>
  <c r="Z396" i="10"/>
  <c r="AA396" i="10" s="1"/>
  <c r="Z245" i="10"/>
  <c r="AB245" i="10" s="1"/>
  <c r="Z539" i="10"/>
  <c r="AA539" i="10" s="1"/>
  <c r="Z324" i="10"/>
  <c r="AB324" i="10" s="1"/>
  <c r="Z467" i="10"/>
  <c r="AB467" i="10" s="1"/>
  <c r="Z259" i="10"/>
  <c r="Z560" i="10"/>
  <c r="AB560" i="10" s="1"/>
  <c r="Z430" i="10"/>
  <c r="AB430" i="10" s="1"/>
  <c r="Z534" i="10"/>
  <c r="AA534" i="10" s="1"/>
  <c r="Z540" i="10"/>
  <c r="Z21" i="10"/>
  <c r="AB21" i="10" s="1"/>
  <c r="Z33" i="10"/>
  <c r="AB33" i="10" s="1"/>
  <c r="Z368" i="10"/>
  <c r="Z304" i="10"/>
  <c r="Z483" i="10"/>
  <c r="AB483" i="10" s="1"/>
  <c r="Z125" i="10"/>
  <c r="AA125" i="10" s="1"/>
  <c r="Z348" i="10"/>
  <c r="AA348" i="10" s="1"/>
  <c r="Z498" i="10"/>
  <c r="Z554" i="10"/>
  <c r="AA554" i="10" s="1"/>
  <c r="Z19" i="10"/>
  <c r="AB19" i="10" s="1"/>
  <c r="Z192" i="10"/>
  <c r="AB192" i="10" s="1"/>
  <c r="Z505" i="10"/>
  <c r="AB505" i="10" s="1"/>
  <c r="Z104" i="10"/>
  <c r="AA104" i="10" s="1"/>
  <c r="Z129" i="10"/>
  <c r="AA129" i="10" s="1"/>
  <c r="Z7" i="10"/>
  <c r="AA7" i="10" s="1"/>
  <c r="Z512" i="10"/>
  <c r="AA512" i="10" s="1"/>
  <c r="Z60" i="10"/>
  <c r="AB60" i="10" s="1"/>
  <c r="Z31" i="10"/>
  <c r="AA31" i="10" s="1"/>
  <c r="Z425" i="10"/>
  <c r="AA425" i="10" s="1"/>
  <c r="Z529" i="10"/>
  <c r="AA529" i="10" s="1"/>
  <c r="Z453" i="10"/>
  <c r="AB453" i="10" s="1"/>
  <c r="Z323" i="10"/>
  <c r="AB323" i="10" s="1"/>
  <c r="Z386" i="10"/>
  <c r="AB386" i="10" s="1"/>
  <c r="Z247" i="10"/>
  <c r="AA247" i="10" s="1"/>
  <c r="Z117" i="10"/>
  <c r="AA117" i="10" s="1"/>
  <c r="Z39" i="10"/>
  <c r="AB39" i="10" s="1"/>
  <c r="Z151" i="10"/>
  <c r="AA151" i="10" s="1"/>
  <c r="Z85" i="10"/>
  <c r="Z207" i="10"/>
  <c r="AB207" i="10" s="1"/>
  <c r="Z22" i="10"/>
  <c r="AB22" i="10" s="1"/>
  <c r="Z238" i="10"/>
  <c r="AA238" i="10" s="1"/>
  <c r="Z377" i="10"/>
  <c r="AB377" i="10" s="1"/>
  <c r="Z469" i="10"/>
  <c r="AA469" i="10" s="1"/>
  <c r="Z551" i="10"/>
  <c r="AA551" i="10" s="1"/>
  <c r="Z468" i="10"/>
  <c r="AA468" i="10" s="1"/>
  <c r="Z504" i="10"/>
  <c r="AA504" i="10" s="1"/>
  <c r="Z433" i="10"/>
  <c r="AB433" i="10" s="1"/>
  <c r="Z351" i="10"/>
  <c r="AA351" i="10" s="1"/>
  <c r="Z357" i="10"/>
  <c r="AA357" i="10" s="1"/>
  <c r="Z227" i="10"/>
  <c r="AA227" i="10" s="1"/>
  <c r="Z65" i="10"/>
  <c r="AB65" i="10" s="1"/>
  <c r="Z115" i="10"/>
  <c r="AA115" i="10" s="1"/>
  <c r="Z43" i="10"/>
  <c r="AA43" i="10" s="1"/>
  <c r="Z284" i="10"/>
  <c r="AB284" i="10" s="1"/>
  <c r="Z479" i="10"/>
  <c r="AA479" i="10" s="1"/>
  <c r="Z32" i="10"/>
  <c r="AB32" i="10" s="1"/>
  <c r="Z164" i="10"/>
  <c r="AB164" i="10" s="1"/>
  <c r="Z277" i="10"/>
  <c r="Z461" i="10"/>
  <c r="AA461" i="10" s="1"/>
  <c r="Z543" i="10"/>
  <c r="AB543" i="10" s="1"/>
  <c r="Z521" i="10"/>
  <c r="AA521" i="10" s="1"/>
  <c r="Z449" i="10"/>
  <c r="Z366" i="10"/>
  <c r="AB366" i="10" s="1"/>
  <c r="Z318" i="10"/>
  <c r="AB318" i="10" s="1"/>
  <c r="Z243" i="10"/>
  <c r="AB243" i="10" s="1"/>
  <c r="Z206" i="10"/>
  <c r="Z131" i="10"/>
  <c r="AA131" i="10" s="1"/>
  <c r="Z202" i="10"/>
  <c r="AA202" i="10" s="1"/>
  <c r="Z252" i="10"/>
  <c r="AB252" i="10" s="1"/>
  <c r="Z399" i="10"/>
  <c r="Z524" i="10"/>
  <c r="AA524" i="10" s="1"/>
  <c r="Z226" i="10"/>
  <c r="AA226" i="10" s="1"/>
  <c r="Z261" i="10"/>
  <c r="AB261" i="10" s="1"/>
  <c r="Z413" i="10"/>
  <c r="AB413" i="10" s="1"/>
  <c r="Z520" i="10"/>
  <c r="AB520" i="10" s="1"/>
  <c r="Z475" i="10"/>
  <c r="AB475" i="10" s="1"/>
  <c r="Z76" i="10"/>
  <c r="AA76" i="10" s="1"/>
  <c r="Z244" i="10"/>
  <c r="AA244" i="10" s="1"/>
  <c r="Z383" i="10"/>
  <c r="AB383" i="10" s="1"/>
  <c r="Z485" i="10"/>
  <c r="AA485" i="10" s="1"/>
  <c r="Z62" i="10"/>
  <c r="AA62" i="10" s="1"/>
  <c r="Z559" i="10"/>
  <c r="AA559" i="10" s="1"/>
  <c r="Z414" i="10"/>
  <c r="AB414" i="10" s="1"/>
  <c r="Z287" i="10"/>
  <c r="AB287" i="10" s="1"/>
  <c r="Z57" i="10"/>
  <c r="AB57" i="10" s="1"/>
  <c r="Z71" i="10"/>
  <c r="AB71" i="10" s="1"/>
  <c r="Z224" i="10"/>
  <c r="AB224" i="10" s="1"/>
  <c r="Z201" i="10"/>
  <c r="AB201" i="10" s="1"/>
  <c r="Z460" i="10"/>
  <c r="AB460" i="10" s="1"/>
  <c r="Z34" i="10"/>
  <c r="AA34" i="10" s="1"/>
  <c r="Z296" i="10"/>
  <c r="AB296" i="10" s="1"/>
  <c r="Z385" i="10"/>
  <c r="AA385" i="10" s="1"/>
  <c r="Z550" i="10"/>
  <c r="AB550" i="10" s="1"/>
  <c r="Z100" i="10"/>
  <c r="AA100" i="10" s="1"/>
  <c r="Z254" i="10"/>
  <c r="AB254" i="10" s="1"/>
  <c r="Z495" i="10"/>
  <c r="AA495" i="10" s="1"/>
  <c r="Z128" i="10"/>
  <c r="AB128" i="10" s="1"/>
  <c r="Z517" i="10"/>
  <c r="AA517" i="10" s="1"/>
  <c r="Z239" i="10"/>
  <c r="AB239" i="10" s="1"/>
  <c r="Z260" i="10"/>
  <c r="AB260" i="10" s="1"/>
  <c r="Z294" i="10"/>
  <c r="AB294" i="10" s="1"/>
  <c r="Z68" i="10"/>
  <c r="AB68" i="10" s="1"/>
  <c r="Z442" i="10"/>
  <c r="AA442" i="10" s="1"/>
  <c r="Z412" i="10"/>
  <c r="AA412" i="10" s="1"/>
  <c r="Z337" i="10"/>
  <c r="AA337" i="10" s="1"/>
  <c r="Z26" i="10"/>
  <c r="AA26" i="10" s="1"/>
  <c r="Z166" i="10"/>
  <c r="AB166" i="10" s="1"/>
  <c r="Z503" i="10"/>
  <c r="AB503" i="10" s="1"/>
  <c r="Z193" i="10"/>
  <c r="AA193" i="10" s="1"/>
  <c r="Z452" i="10"/>
  <c r="AB452" i="10" s="1"/>
  <c r="Z470" i="10"/>
  <c r="AB470" i="10" s="1"/>
  <c r="Z139" i="10"/>
  <c r="AB139" i="10" s="1"/>
  <c r="Z222" i="10"/>
  <c r="AB222" i="10" s="1"/>
  <c r="Z519" i="10"/>
  <c r="Z523" i="10"/>
  <c r="AA523" i="10" s="1"/>
  <c r="Z404" i="10"/>
  <c r="AB404" i="10" s="1"/>
  <c r="Z307" i="10"/>
  <c r="AB307" i="10" s="1"/>
  <c r="Z329" i="10"/>
  <c r="AB329" i="10" s="1"/>
  <c r="Z183" i="10"/>
  <c r="AB183" i="10" s="1"/>
  <c r="Z101" i="10"/>
  <c r="AA101" i="10" s="1"/>
  <c r="Z99" i="10"/>
  <c r="AB99" i="10" s="1"/>
  <c r="Z135" i="10"/>
  <c r="AB135" i="10" s="1"/>
  <c r="Z59" i="10"/>
  <c r="AB59" i="10" s="1"/>
  <c r="Z48" i="10"/>
  <c r="AA48" i="10" s="1"/>
  <c r="Z86" i="10"/>
  <c r="AB86" i="10" s="1"/>
  <c r="Z276" i="10"/>
  <c r="AA276" i="10" s="1"/>
  <c r="Z298" i="10"/>
  <c r="AA298" i="10" s="1"/>
  <c r="Z436" i="10"/>
  <c r="AB436" i="10" s="1"/>
  <c r="Z169" i="10"/>
  <c r="AB169" i="10" s="1"/>
  <c r="Z56" i="10"/>
  <c r="Z492" i="10"/>
  <c r="AB492" i="10" s="1"/>
  <c r="Z400" i="10"/>
  <c r="AB400" i="10" s="1"/>
  <c r="Z319" i="10"/>
  <c r="AA319" i="10" s="1"/>
  <c r="Z325" i="10"/>
  <c r="Z179" i="10"/>
  <c r="AB179" i="10" s="1"/>
  <c r="Z23" i="10"/>
  <c r="AB23" i="10" s="1"/>
  <c r="Z81" i="10"/>
  <c r="AB81" i="10" s="1"/>
  <c r="Z35" i="10"/>
  <c r="AB35" i="10" s="1"/>
  <c r="Z197" i="10"/>
  <c r="AA197" i="10" s="1"/>
  <c r="Z516" i="10"/>
  <c r="AA516" i="10" s="1"/>
  <c r="Z114" i="10"/>
  <c r="AB114" i="10" s="1"/>
  <c r="Z212" i="10"/>
  <c r="AA212" i="10" s="1"/>
  <c r="Z246" i="10"/>
  <c r="AA246" i="10" s="1"/>
  <c r="Z432" i="10"/>
  <c r="AB432" i="10" s="1"/>
  <c r="Z185" i="10"/>
  <c r="AB185" i="10" s="1"/>
  <c r="Z496" i="10"/>
  <c r="AB496" i="10" s="1"/>
  <c r="Z416" i="10"/>
  <c r="AB416" i="10" s="1"/>
  <c r="Z335" i="10"/>
  <c r="AB335" i="10" s="1"/>
  <c r="Z341" i="10"/>
  <c r="AB341" i="10" s="1"/>
  <c r="Z211" i="10"/>
  <c r="Z29" i="10"/>
  <c r="AB29" i="10" s="1"/>
  <c r="Z97" i="10"/>
  <c r="AA97" i="10" s="1"/>
  <c r="Z182" i="10"/>
  <c r="AB182" i="10" s="1"/>
  <c r="Z173" i="10"/>
  <c r="AB173" i="10" s="1"/>
  <c r="Z489" i="10"/>
  <c r="AA489" i="10" s="1"/>
  <c r="Z90" i="10"/>
  <c r="AB90" i="10" s="1"/>
  <c r="Z177" i="10"/>
  <c r="AB177" i="10" s="1"/>
  <c r="Z293" i="10"/>
  <c r="AB293" i="10" s="1"/>
  <c r="Z419" i="10"/>
  <c r="AB419" i="10" s="1"/>
  <c r="Z553" i="10"/>
  <c r="AB553" i="10" s="1"/>
  <c r="Z538" i="10"/>
  <c r="AB538" i="10" s="1"/>
  <c r="Z230" i="10"/>
  <c r="AA230" i="10" s="1"/>
  <c r="Z221" i="10"/>
  <c r="AB221" i="10" s="1"/>
  <c r="Z391" i="10"/>
  <c r="AB391" i="10" s="1"/>
  <c r="Z557" i="10"/>
  <c r="AA557" i="10" s="1"/>
  <c r="Z138" i="10"/>
  <c r="AB138" i="10" s="1"/>
  <c r="Z527" i="10"/>
  <c r="AA527" i="10" s="1"/>
  <c r="Z347" i="10"/>
  <c r="AA347" i="10" s="1"/>
  <c r="Z223" i="10"/>
  <c r="AB223" i="10" s="1"/>
  <c r="Z111" i="10"/>
  <c r="Z292" i="10"/>
  <c r="AA292" i="10" s="1"/>
  <c r="Z74" i="10"/>
  <c r="AB74" i="10" s="1"/>
  <c r="Z285" i="10"/>
  <c r="AA285" i="10" s="1"/>
  <c r="Z544" i="10"/>
  <c r="Z118" i="10"/>
  <c r="AA118" i="10" s="1"/>
  <c r="Z373" i="10"/>
  <c r="AB373" i="10" s="1"/>
  <c r="Z423" i="10"/>
  <c r="AB423" i="10" s="1"/>
  <c r="Z47" i="10"/>
  <c r="Z120" i="10"/>
  <c r="AB120" i="10" s="1"/>
  <c r="Z369" i="10"/>
  <c r="AB369" i="10" s="1"/>
  <c r="Z471" i="10"/>
  <c r="AA471" i="10" s="1"/>
  <c r="Z225" i="10"/>
  <c r="Z445" i="10"/>
  <c r="AA445" i="10" s="1"/>
  <c r="Z203" i="10"/>
  <c r="AB203" i="10" s="1"/>
  <c r="Z415" i="10"/>
  <c r="AB415" i="10" s="1"/>
  <c r="Z451" i="10"/>
  <c r="AA451" i="10" s="1"/>
  <c r="Z288" i="10"/>
  <c r="AA288" i="10" s="1"/>
  <c r="Z541" i="10"/>
  <c r="AA541" i="10" s="1"/>
  <c r="Z398" i="10"/>
  <c r="AA398" i="10" s="1"/>
  <c r="Z271" i="10"/>
  <c r="AB271" i="10" s="1"/>
  <c r="Z159" i="10"/>
  <c r="AA159" i="10" s="1"/>
  <c r="Z158" i="10"/>
  <c r="AA158" i="10" s="1"/>
  <c r="Z281" i="10"/>
  <c r="AB281" i="10" s="1"/>
  <c r="Z233" i="10"/>
  <c r="Z493" i="10"/>
  <c r="AA493" i="10" s="1"/>
  <c r="Z349" i="10"/>
  <c r="AB349" i="10" s="1"/>
  <c r="Z268" i="10"/>
  <c r="AA268" i="10" s="1"/>
  <c r="Z482" i="10"/>
  <c r="Z380" i="10"/>
  <c r="AB380" i="10" s="1"/>
  <c r="Z167" i="10"/>
  <c r="AB167" i="10" s="1"/>
  <c r="Z75" i="10"/>
  <c r="AB75" i="10" s="1"/>
  <c r="Z46" i="10"/>
  <c r="AB46" i="10" s="1"/>
  <c r="Z126" i="10"/>
  <c r="AB126" i="10" s="1"/>
  <c r="Z360" i="10"/>
  <c r="AA360" i="10" s="1"/>
  <c r="Z249" i="10"/>
  <c r="AA249" i="10" s="1"/>
  <c r="Z477" i="10"/>
  <c r="Z376" i="10"/>
  <c r="AB376" i="10" s="1"/>
  <c r="Z145" i="10"/>
  <c r="AB145" i="10" s="1"/>
  <c r="Z44" i="10"/>
  <c r="AB44" i="10" s="1"/>
  <c r="Z312" i="10"/>
  <c r="Z69" i="10"/>
  <c r="AB69" i="10" s="1"/>
  <c r="Z316" i="10"/>
  <c r="AA316" i="10" s="1"/>
  <c r="Z257" i="10"/>
  <c r="AA257" i="10" s="1"/>
  <c r="Z384" i="10"/>
  <c r="Z309" i="10"/>
  <c r="AB309" i="10" s="1"/>
  <c r="Z95" i="10"/>
  <c r="AB95" i="10" s="1"/>
  <c r="Z30" i="10"/>
  <c r="AB30" i="10" s="1"/>
  <c r="Z542" i="10"/>
  <c r="AA542" i="10" s="1"/>
  <c r="Z228" i="10"/>
  <c r="AB228" i="10" s="1"/>
  <c r="Z443" i="10"/>
  <c r="AA443" i="10" s="1"/>
  <c r="Z78" i="10"/>
  <c r="AB78" i="10" s="1"/>
  <c r="Z290" i="10"/>
  <c r="AB290" i="10" s="1"/>
  <c r="Z558" i="10"/>
  <c r="AA558" i="10" s="1"/>
  <c r="Z473" i="10"/>
  <c r="AA473" i="10" s="1"/>
  <c r="Z141" i="10"/>
  <c r="AB141" i="10" s="1"/>
  <c r="Z328" i="10"/>
  <c r="AA328" i="10" s="1"/>
  <c r="Z332" i="10"/>
  <c r="AB332" i="10" s="1"/>
  <c r="Z92" i="10"/>
  <c r="AA92" i="10" s="1"/>
  <c r="Z446" i="10"/>
  <c r="AB446" i="10" s="1"/>
  <c r="Z160" i="10"/>
  <c r="AA160" i="10" s="1"/>
  <c r="Z82" i="10"/>
  <c r="AB82" i="10" s="1"/>
  <c r="Z362" i="10"/>
  <c r="AB362" i="10" s="1"/>
  <c r="Z162" i="10"/>
  <c r="AB162" i="10" s="1"/>
  <c r="Z237" i="10"/>
  <c r="Z331" i="10"/>
  <c r="AA331" i="10" s="1"/>
  <c r="Z93" i="10"/>
  <c r="AB93" i="10" s="1"/>
  <c r="Z200" i="10"/>
  <c r="AA200" i="10" s="1"/>
  <c r="Z556" i="10"/>
  <c r="Z150" i="10"/>
  <c r="AA150" i="10" s="1"/>
  <c r="Z300" i="10"/>
  <c r="AA300" i="10" s="1"/>
  <c r="Z434" i="10"/>
  <c r="Z37" i="10"/>
  <c r="AA37" i="10" s="1"/>
  <c r="Z124" i="10"/>
  <c r="AA124" i="10" s="1"/>
  <c r="Z389" i="10"/>
  <c r="AA389" i="10" s="1"/>
  <c r="Z533" i="10"/>
  <c r="AB533" i="10" s="1"/>
  <c r="Z378" i="10"/>
  <c r="AB378" i="10" s="1"/>
  <c r="Z255" i="10"/>
  <c r="AB255" i="10" s="1"/>
  <c r="Z143" i="10"/>
  <c r="AA143" i="10" s="1"/>
  <c r="Z156" i="10"/>
  <c r="Z427" i="10"/>
  <c r="Z253" i="10"/>
  <c r="AA253" i="10" s="1"/>
  <c r="Z522" i="10"/>
  <c r="AB522" i="10" s="1"/>
  <c r="Z94" i="10"/>
  <c r="AB94" i="10" s="1"/>
  <c r="Z165" i="10"/>
  <c r="AA165" i="10" s="1"/>
  <c r="Z417" i="10"/>
  <c r="AA417" i="10" s="1"/>
  <c r="Z122" i="10"/>
  <c r="AA122" i="10" s="1"/>
  <c r="Z502" i="10"/>
  <c r="AA502" i="10" s="1"/>
  <c r="Z435" i="10"/>
  <c r="AA435" i="10" s="1"/>
  <c r="Z53" i="10"/>
  <c r="AB53" i="10" s="1"/>
  <c r="Z532" i="10"/>
  <c r="AB532" i="10" s="1"/>
  <c r="Z526" i="10"/>
  <c r="AB526" i="10" s="1"/>
  <c r="Z181" i="10"/>
  <c r="Z536" i="10"/>
  <c r="AA536" i="10" s="1"/>
  <c r="Z116" i="10"/>
  <c r="AB116" i="10" s="1"/>
  <c r="Z154" i="10"/>
  <c r="AA154" i="10" s="1"/>
  <c r="Z356" i="10"/>
  <c r="AA356" i="10" s="1"/>
  <c r="Z545" i="10"/>
  <c r="AA545" i="10" s="1"/>
  <c r="Z67" i="10"/>
  <c r="AB67" i="10" s="1"/>
  <c r="Z381" i="10"/>
  <c r="AB381" i="10" s="1"/>
  <c r="Z478" i="10"/>
  <c r="AB478" i="10" s="1"/>
  <c r="Z161" i="10"/>
  <c r="AA161" i="10" s="1"/>
  <c r="Z219" i="10"/>
  <c r="AA219" i="10" s="1"/>
  <c r="Z282" i="10"/>
  <c r="AB282" i="10" s="1"/>
  <c r="Z481" i="10"/>
  <c r="AB481" i="10" s="1"/>
  <c r="Z322" i="10"/>
  <c r="AA322" i="10" s="1"/>
  <c r="Z149" i="10"/>
  <c r="AB149" i="10" s="1"/>
  <c r="Z52" i="10"/>
  <c r="AB52" i="10" s="1"/>
  <c r="Z170" i="10"/>
  <c r="AA170" i="10" s="1"/>
  <c r="Z132" i="10"/>
  <c r="AB132" i="10" s="1"/>
  <c r="Z379" i="10"/>
  <c r="AB379" i="10" s="1"/>
  <c r="Z465" i="10"/>
  <c r="AB465" i="10" s="1"/>
  <c r="Z480" i="10"/>
  <c r="AB480" i="10" s="1"/>
  <c r="Z334" i="10"/>
  <c r="AA334" i="10" s="1"/>
  <c r="Z113" i="10"/>
  <c r="AA113" i="10" s="1"/>
  <c r="Z87" i="10"/>
  <c r="AA87" i="10" s="1"/>
  <c r="Z393" i="10"/>
  <c r="AA393" i="10" s="1"/>
  <c r="Z152" i="10"/>
  <c r="AB152" i="10" s="1"/>
  <c r="Z367" i="10"/>
  <c r="AB367" i="10" s="1"/>
  <c r="Z547" i="10"/>
  <c r="AA547" i="10" s="1"/>
  <c r="Z402" i="10"/>
  <c r="AB402" i="10" s="1"/>
  <c r="Z275" i="10"/>
  <c r="AB275" i="10" s="1"/>
  <c r="Z163" i="10"/>
  <c r="AB163" i="10" s="1"/>
  <c r="Z142" i="10"/>
  <c r="AA142" i="10" s="1"/>
  <c r="Z265" i="10"/>
  <c r="Z217" i="10"/>
  <c r="AA217" i="10" s="1"/>
  <c r="Z487" i="10"/>
  <c r="AA487" i="10" s="1"/>
  <c r="Z134" i="10"/>
  <c r="AA134" i="10" s="1"/>
  <c r="Z352" i="10"/>
  <c r="Z27" i="10"/>
  <c r="AB27" i="10" s="1"/>
  <c r="Z428" i="10"/>
  <c r="AA428" i="10" s="1"/>
  <c r="Z63" i="10"/>
  <c r="AB63" i="10" s="1"/>
  <c r="Z463" i="10"/>
  <c r="Z403" i="10"/>
  <c r="AB403" i="10" s="1"/>
  <c r="Z256" i="10"/>
  <c r="AB256" i="10" s="1"/>
  <c r="Z530" i="10"/>
  <c r="AB530" i="10" s="1"/>
  <c r="Z188" i="10"/>
  <c r="Z80" i="10"/>
  <c r="AA80" i="10" s="1"/>
  <c r="Z314" i="10"/>
  <c r="AB314" i="10" s="1"/>
  <c r="Z236" i="10"/>
  <c r="AB236" i="10" s="1"/>
  <c r="Z375" i="10"/>
  <c r="AA375" i="10" s="1"/>
  <c r="Z346" i="10"/>
  <c r="AB346" i="10" s="1"/>
  <c r="Z186" i="10"/>
  <c r="AA186" i="10" s="1"/>
  <c r="Z136" i="10"/>
  <c r="AB136" i="10" s="1"/>
  <c r="Z270" i="10"/>
  <c r="AA270" i="10" s="1"/>
  <c r="Z148" i="10"/>
  <c r="AB148" i="10" s="1"/>
  <c r="Z274" i="10"/>
  <c r="AA274" i="10" s="1"/>
  <c r="Z455" i="10"/>
  <c r="Z106" i="10"/>
  <c r="Z218" i="10"/>
  <c r="AB218" i="10" s="1"/>
  <c r="Z444" i="10"/>
  <c r="AB444" i="10" s="1"/>
  <c r="Z488" i="10"/>
  <c r="AB488" i="10" s="1"/>
  <c r="Z315" i="10"/>
  <c r="AA315" i="10" s="1"/>
  <c r="Z175" i="10"/>
  <c r="AA175" i="10" s="1"/>
  <c r="Z77" i="10"/>
  <c r="AB77" i="10" s="1"/>
  <c r="Z213" i="10"/>
  <c r="Z130" i="10"/>
  <c r="AA130" i="10" s="1"/>
  <c r="Z262" i="10"/>
  <c r="AA262" i="10" s="1"/>
  <c r="Z232" i="10"/>
  <c r="AA232" i="10" s="1"/>
  <c r="Z196" i="10"/>
  <c r="AA196" i="10" s="1"/>
  <c r="Z205" i="10"/>
  <c r="Z438" i="10"/>
  <c r="AA438" i="10" s="1"/>
  <c r="Z112" i="10"/>
  <c r="AB112" i="10" s="1"/>
  <c r="Z546" i="10"/>
  <c r="AB546" i="10" s="1"/>
  <c r="Z303" i="10"/>
  <c r="AA303" i="10" s="1"/>
  <c r="Z42" i="10"/>
  <c r="AB42" i="10" s="1"/>
  <c r="Z242" i="10"/>
  <c r="AB242" i="10" s="1"/>
  <c r="Z308" i="10"/>
  <c r="Z320" i="10"/>
  <c r="Z96" i="10"/>
  <c r="AB96" i="10" s="1"/>
  <c r="Z98" i="10"/>
  <c r="AA98" i="10" s="1"/>
  <c r="Z172" i="10"/>
  <c r="Z20" i="10"/>
  <c r="AA20" i="10" s="1"/>
  <c r="Z548" i="10"/>
  <c r="AA548" i="10" s="1"/>
  <c r="Z422" i="10"/>
  <c r="AB422" i="10" s="1"/>
  <c r="Z295" i="10"/>
  <c r="AA295" i="10" s="1"/>
  <c r="Z195" i="10"/>
  <c r="Z119" i="10"/>
  <c r="AB119" i="10" s="1"/>
  <c r="Z190" i="10"/>
  <c r="AA190" i="10" s="1"/>
  <c r="Z184" i="10"/>
  <c r="AA184" i="10" s="1"/>
  <c r="Z491" i="10"/>
  <c r="AB491" i="10" s="1"/>
  <c r="Z418" i="10"/>
  <c r="AB418" i="10" s="1"/>
  <c r="Z291" i="10"/>
  <c r="AA291" i="10" s="1"/>
  <c r="Z66" i="10"/>
  <c r="AA66" i="10" s="1"/>
  <c r="Z216" i="10"/>
  <c r="AA216" i="10" s="1"/>
  <c r="Z459" i="10"/>
  <c r="AB459" i="10" s="1"/>
  <c r="Z457" i="10"/>
  <c r="AA457" i="10" s="1"/>
  <c r="Z439" i="10"/>
  <c r="AB439" i="10" s="1"/>
  <c r="Z102" i="10"/>
  <c r="AB102" i="10" s="1"/>
  <c r="Z474" i="10"/>
  <c r="AA474" i="10" s="1"/>
  <c r="Z214" i="10"/>
  <c r="AA214" i="10" s="1"/>
  <c r="Z409" i="10"/>
  <c r="AA409" i="10" s="1"/>
  <c r="Z476" i="10"/>
  <c r="Z518" i="10"/>
  <c r="AA518" i="10" s="1"/>
  <c r="Z301" i="10"/>
  <c r="AA301" i="10" s="1"/>
  <c r="Z241" i="10"/>
  <c r="AB241" i="10" s="1"/>
  <c r="Z64" i="10"/>
  <c r="AB64" i="10" s="1"/>
  <c r="Z24" i="10"/>
  <c r="AA24" i="10" s="1"/>
  <c r="Z272" i="10"/>
  <c r="AB272" i="10" s="1"/>
  <c r="Z250" i="10"/>
  <c r="AA250" i="10" s="1"/>
  <c r="Z395" i="10"/>
  <c r="Z382" i="10"/>
  <c r="AB382" i="10" s="1"/>
  <c r="Z390" i="10"/>
  <c r="AB390" i="10" s="1"/>
  <c r="Z421" i="10"/>
  <c r="AA421" i="10" s="1"/>
  <c r="Z464" i="10"/>
  <c r="AA464" i="10" s="1"/>
  <c r="Z429" i="10"/>
  <c r="AB429" i="10" s="1"/>
  <c r="Z91" i="10"/>
  <c r="AB91" i="10" s="1"/>
  <c r="Z340" i="10"/>
  <c r="AB340" i="10" s="1"/>
  <c r="Z363" i="10"/>
  <c r="Z515" i="10"/>
  <c r="AB515" i="10" s="1"/>
  <c r="Z220" i="10"/>
  <c r="AA220" i="10" s="1"/>
  <c r="Z28" i="10"/>
  <c r="AB28" i="10" s="1"/>
  <c r="Z321" i="10"/>
  <c r="Z501" i="10"/>
  <c r="AB501" i="10" s="1"/>
  <c r="Z108" i="10"/>
  <c r="AB108" i="10" s="1"/>
  <c r="Z401" i="10"/>
  <c r="AA401" i="10" s="1"/>
  <c r="Z70" i="10"/>
  <c r="AB70" i="10" s="1"/>
  <c r="Z365" i="10"/>
  <c r="AB365" i="10" s="1"/>
  <c r="Z458" i="10"/>
  <c r="AA458" i="10" s="1"/>
  <c r="Z199" i="10"/>
  <c r="Z490" i="10"/>
  <c r="Z336" i="10"/>
  <c r="AA336" i="10" s="1"/>
  <c r="Z180" i="10"/>
  <c r="AA180" i="10" s="1"/>
  <c r="Z353" i="10"/>
  <c r="Z450" i="10"/>
  <c r="Z297" i="10"/>
  <c r="AA297" i="10" s="1"/>
  <c r="Z88" i="10"/>
  <c r="AA88" i="10" s="1"/>
  <c r="Z194" i="10"/>
  <c r="AB194" i="10" s="1"/>
  <c r="Z462" i="10"/>
  <c r="Z140" i="10"/>
  <c r="AB140" i="10" s="1"/>
  <c r="Z525" i="10"/>
  <c r="AA525" i="10" s="1"/>
  <c r="Z103" i="10"/>
  <c r="AA103" i="10" s="1"/>
  <c r="Z549" i="10"/>
  <c r="Z289" i="10"/>
  <c r="AB289" i="10" s="1"/>
  <c r="Z266" i="10"/>
  <c r="AA266" i="10" s="1"/>
  <c r="Z528" i="10"/>
  <c r="AB528" i="10" s="1"/>
  <c r="Z397" i="10"/>
  <c r="AB397" i="10" s="1"/>
  <c r="Z109" i="10"/>
  <c r="AA109" i="10" s="1"/>
  <c r="Z209" i="10"/>
  <c r="AB209" i="10" s="1"/>
  <c r="Z264" i="10"/>
  <c r="AA264" i="10" s="1"/>
  <c r="Z191" i="10"/>
  <c r="Z405" i="10"/>
  <c r="AB405" i="10" s="1"/>
  <c r="Z273" i="10"/>
  <c r="AA273" i="10" s="1"/>
  <c r="Z61" i="10"/>
  <c r="AB61" i="10" s="1"/>
  <c r="Z278" i="10"/>
  <c r="Z350" i="10"/>
  <c r="AB350" i="10" s="1"/>
  <c r="Z38" i="10"/>
  <c r="AB38" i="10" s="1"/>
  <c r="Z144" i="10"/>
  <c r="AB144" i="10" s="1"/>
  <c r="Z407" i="10"/>
  <c r="AB407" i="10" s="1"/>
  <c r="Z269" i="10"/>
  <c r="AB269" i="10" s="1"/>
  <c r="Z157" i="10"/>
  <c r="AB157" i="10" s="1"/>
  <c r="Z234" i="10"/>
  <c r="AB234" i="10" s="1"/>
  <c r="Z306" i="10"/>
  <c r="Z302" i="10"/>
  <c r="AA302" i="10" s="1"/>
  <c r="Z210" i="10"/>
  <c r="AB210" i="10" s="1"/>
  <c r="Z50" i="10"/>
  <c r="AB50" i="10" s="1"/>
  <c r="Z330" i="10"/>
  <c r="AB330" i="10" s="1"/>
  <c r="Z494" i="10"/>
  <c r="AA494" i="10" s="1"/>
  <c r="Z208" i="10"/>
  <c r="AB208" i="10" s="1"/>
  <c r="Z364" i="10"/>
  <c r="AB364" i="10" s="1"/>
  <c r="Z509" i="10"/>
  <c r="Z189" i="10"/>
  <c r="AA189" i="10" s="1"/>
  <c r="Z506" i="10"/>
  <c r="AA506" i="10" s="1"/>
  <c r="Z127" i="10"/>
  <c r="AA127" i="10" s="1"/>
  <c r="Z411" i="10"/>
  <c r="Z258" i="10"/>
  <c r="AA258" i="10" s="1"/>
  <c r="Z72" i="10"/>
  <c r="AA72" i="10" s="1"/>
  <c r="Z372" i="10"/>
  <c r="AA372" i="10" s="1"/>
  <c r="Z440" i="10"/>
  <c r="Z305" i="10"/>
  <c r="AB305" i="10" s="1"/>
  <c r="Z146" i="10"/>
  <c r="AB146" i="10" s="1"/>
  <c r="Z55" i="10"/>
  <c r="AB55" i="10" s="1"/>
  <c r="Z499" i="10"/>
  <c r="Z147" i="10"/>
  <c r="AA147" i="10" s="1"/>
  <c r="Z497" i="10"/>
  <c r="AB497" i="10" s="1"/>
  <c r="Z36" i="10"/>
  <c r="AB36" i="10" s="1"/>
  <c r="Z45" i="10"/>
  <c r="Z155" i="10"/>
  <c r="AA155" i="10" s="1"/>
  <c r="Z327" i="10"/>
  <c r="AA327" i="10" s="1"/>
  <c r="T157" i="4"/>
  <c r="Z370" i="10"/>
  <c r="AA370" i="10" s="1"/>
  <c r="Z437" i="10"/>
  <c r="AA437" i="10" s="1"/>
  <c r="Z510" i="10"/>
  <c r="AB510" i="10" s="1"/>
  <c r="Z447" i="10"/>
  <c r="AA447" i="10" s="1"/>
  <c r="Z344" i="10"/>
  <c r="AA344" i="10" s="1"/>
  <c r="Z49" i="10"/>
  <c r="AB49" i="10" s="1"/>
  <c r="Z107" i="10"/>
  <c r="AB107" i="10" s="1"/>
  <c r="Z121" i="10"/>
  <c r="AB121" i="10" s="1"/>
  <c r="Z343" i="10"/>
  <c r="AA343" i="10" s="1"/>
  <c r="T136" i="4"/>
  <c r="T72" i="4"/>
  <c r="T15" i="4"/>
  <c r="T74" i="4"/>
  <c r="T148" i="4"/>
  <c r="T116" i="4"/>
  <c r="T27" i="4"/>
  <c r="T118" i="4"/>
  <c r="T54" i="4"/>
  <c r="T153" i="4"/>
  <c r="T137" i="4"/>
  <c r="T113" i="4"/>
  <c r="T97" i="4"/>
  <c r="T81" i="4"/>
  <c r="T57" i="4"/>
  <c r="T41" i="4"/>
  <c r="BW7" i="4"/>
  <c r="T7" i="4"/>
  <c r="T144" i="4"/>
  <c r="T112" i="4"/>
  <c r="T80" i="4"/>
  <c r="T48" i="4"/>
  <c r="T18" i="4"/>
  <c r="T146" i="4"/>
  <c r="T114" i="4"/>
  <c r="T82" i="4"/>
  <c r="T50" i="4"/>
  <c r="T28" i="4"/>
  <c r="T156" i="4"/>
  <c r="T124" i="4"/>
  <c r="T92" i="4"/>
  <c r="T60" i="4"/>
  <c r="T31" i="4"/>
  <c r="T8" i="4"/>
  <c r="T126" i="4"/>
  <c r="T94" i="4"/>
  <c r="T62" i="4"/>
  <c r="T37" i="4"/>
  <c r="T13" i="4"/>
  <c r="T155" i="4"/>
  <c r="T147" i="4"/>
  <c r="T139" i="4"/>
  <c r="T131" i="4"/>
  <c r="T123" i="4"/>
  <c r="T115" i="4"/>
  <c r="T107" i="4"/>
  <c r="T99" i="4"/>
  <c r="T91" i="4"/>
  <c r="T83" i="4"/>
  <c r="T75" i="4"/>
  <c r="T67" i="4"/>
  <c r="T59" i="4"/>
  <c r="T51" i="4"/>
  <c r="T43" i="4"/>
  <c r="T30" i="4"/>
  <c r="T36" i="4"/>
  <c r="T106" i="4"/>
  <c r="T24" i="4"/>
  <c r="T52" i="4"/>
  <c r="T86" i="4"/>
  <c r="T11" i="4"/>
  <c r="T129" i="4"/>
  <c r="T105" i="4"/>
  <c r="T73" i="4"/>
  <c r="T49" i="4"/>
  <c r="T10" i="4"/>
  <c r="T128" i="4"/>
  <c r="T96" i="4"/>
  <c r="T64" i="4"/>
  <c r="T32" i="4"/>
  <c r="T12" i="4"/>
  <c r="T130" i="4"/>
  <c r="T98" i="4"/>
  <c r="T66" i="4"/>
  <c r="T39" i="4"/>
  <c r="T21" i="4"/>
  <c r="T140" i="4"/>
  <c r="T108" i="4"/>
  <c r="T76" i="4"/>
  <c r="T44" i="4"/>
  <c r="T20" i="4"/>
  <c r="T142" i="4"/>
  <c r="T110" i="4"/>
  <c r="T78" i="4"/>
  <c r="T46" i="4"/>
  <c r="T23" i="4"/>
  <c r="T9" i="4"/>
  <c r="T151" i="4"/>
  <c r="T143" i="4"/>
  <c r="T135" i="4"/>
  <c r="T127" i="4"/>
  <c r="T119" i="4"/>
  <c r="T111" i="4"/>
  <c r="T103" i="4"/>
  <c r="T95" i="4"/>
  <c r="T87" i="4"/>
  <c r="T79" i="4"/>
  <c r="T71" i="4"/>
  <c r="T63" i="4"/>
  <c r="T55" i="4"/>
  <c r="T47" i="4"/>
  <c r="T38" i="4"/>
  <c r="T22" i="4"/>
  <c r="T104" i="4"/>
  <c r="T138" i="4"/>
  <c r="T42" i="4"/>
  <c r="T84" i="4"/>
  <c r="T150" i="4"/>
  <c r="T26" i="4"/>
  <c r="T145" i="4"/>
  <c r="T121" i="4"/>
  <c r="T89" i="4"/>
  <c r="T65" i="4"/>
  <c r="T25" i="4"/>
  <c r="T152" i="4"/>
  <c r="T120" i="4"/>
  <c r="T88" i="4"/>
  <c r="T56" i="4"/>
  <c r="T29" i="4"/>
  <c r="T154" i="4"/>
  <c r="T122" i="4"/>
  <c r="T90" i="4"/>
  <c r="T58" i="4"/>
  <c r="T35" i="4"/>
  <c r="T14" i="4"/>
  <c r="T132" i="4"/>
  <c r="T100" i="4"/>
  <c r="T68" i="4"/>
  <c r="T34" i="4"/>
  <c r="T16" i="4"/>
  <c r="T134" i="4"/>
  <c r="T102" i="4"/>
  <c r="T70" i="4"/>
  <c r="T40" i="4"/>
  <c r="T19" i="4"/>
  <c r="T149" i="4"/>
  <c r="T141" i="4"/>
  <c r="T133" i="4"/>
  <c r="T125" i="4"/>
  <c r="T117" i="4"/>
  <c r="T109" i="4"/>
  <c r="T101" i="4"/>
  <c r="T93" i="4"/>
  <c r="T85" i="4"/>
  <c r="T77" i="4"/>
  <c r="T69" i="4"/>
  <c r="T61" i="4"/>
  <c r="T53" i="4"/>
  <c r="T45" i="4"/>
  <c r="T33" i="4"/>
  <c r="T17" i="4"/>
  <c r="Z133" i="10"/>
  <c r="AB133" i="10" s="1"/>
  <c r="Z231" i="10"/>
  <c r="AB231" i="10" s="1"/>
  <c r="Z313" i="10"/>
  <c r="AB313" i="10" s="1"/>
  <c r="Z338" i="10"/>
  <c r="AB338" i="10" s="1"/>
  <c r="Z355" i="10"/>
  <c r="Z388" i="10"/>
  <c r="AA388" i="10" s="1"/>
  <c r="Z484" i="10"/>
  <c r="AA484" i="10" s="1"/>
  <c r="Z508" i="10"/>
  <c r="AB508" i="10" s="1"/>
  <c r="Z40" i="10"/>
  <c r="AB40" i="10" s="1"/>
  <c r="Z456" i="10"/>
  <c r="AB456" i="10" s="1"/>
  <c r="Z168" i="10"/>
  <c r="AA168" i="10" s="1"/>
  <c r="Z25" i="10"/>
  <c r="AB25" i="10" s="1"/>
  <c r="Z51" i="10"/>
  <c r="AB51" i="10" s="1"/>
  <c r="Z41" i="10"/>
  <c r="AA41" i="10" s="1"/>
  <c r="Z317" i="10"/>
  <c r="AB317" i="10" s="1"/>
  <c r="Z410" i="10"/>
  <c r="AA410" i="10" s="1"/>
  <c r="Z215" i="10"/>
  <c r="AA215" i="10" s="1"/>
  <c r="Z279" i="10"/>
  <c r="AA279" i="10" s="1"/>
  <c r="Z345" i="10"/>
  <c r="AB345" i="10" s="1"/>
  <c r="Z354" i="10"/>
  <c r="AA354" i="10" s="1"/>
  <c r="Z339" i="10"/>
  <c r="AB339" i="10" s="1"/>
  <c r="Z406" i="10"/>
  <c r="AB406" i="10" s="1"/>
  <c r="Z420" i="10"/>
  <c r="AA420" i="10" s="1"/>
  <c r="Z466" i="10"/>
  <c r="AA466" i="10" s="1"/>
  <c r="Z500" i="10"/>
  <c r="AA500" i="10" s="1"/>
  <c r="Z537" i="10"/>
  <c r="AA537" i="10" s="1"/>
  <c r="Z240" i="10"/>
  <c r="AA240" i="10" s="1"/>
  <c r="Z448" i="10"/>
  <c r="AB448" i="10" s="1"/>
  <c r="Z229" i="10"/>
  <c r="AA229" i="10" s="1"/>
  <c r="Z110" i="10"/>
  <c r="AB110" i="10" s="1"/>
  <c r="Z58" i="10"/>
  <c r="AB58" i="10" s="1"/>
  <c r="Z73" i="10"/>
  <c r="AA73" i="10" s="1"/>
  <c r="Z174" i="10"/>
  <c r="Z187" i="10"/>
  <c r="AA187" i="10" s="1"/>
  <c r="Z326" i="10"/>
  <c r="AA326" i="10" s="1"/>
  <c r="Z441" i="10"/>
  <c r="AA441" i="10" s="1"/>
  <c r="Z286" i="10"/>
  <c r="AA286" i="10" s="1"/>
  <c r="Z513" i="10"/>
  <c r="AA513" i="10" s="1"/>
  <c r="Z371" i="10"/>
  <c r="AA371" i="10" s="1"/>
  <c r="Z387" i="10"/>
  <c r="AA387" i="10" s="1"/>
  <c r="Z84" i="10"/>
  <c r="AB84" i="10" s="1"/>
  <c r="Z83" i="10"/>
  <c r="AA83" i="10" s="1"/>
  <c r="Z178" i="10"/>
  <c r="AA178" i="10" s="1"/>
  <c r="Z89" i="10"/>
  <c r="AB89" i="10" s="1"/>
  <c r="Z54" i="10"/>
  <c r="AA54" i="10" s="1"/>
  <c r="Z105" i="10"/>
  <c r="AB105" i="10" s="1"/>
  <c r="Z267" i="10"/>
  <c r="AB267" i="10" s="1"/>
  <c r="Z311" i="10"/>
  <c r="AB311" i="10" s="1"/>
  <c r="Z392" i="10"/>
  <c r="AB392" i="10" s="1"/>
  <c r="Z12" i="10"/>
  <c r="AA12" i="10" s="1"/>
  <c r="Z531" i="10"/>
  <c r="AA531" i="10" s="1"/>
  <c r="Z13" i="10"/>
  <c r="AB13" i="10" s="1"/>
  <c r="Z171" i="10"/>
  <c r="AB171" i="10" s="1"/>
  <c r="Z283" i="10"/>
  <c r="AA283" i="10" s="1"/>
  <c r="Z342" i="10"/>
  <c r="AA342" i="10" s="1"/>
  <c r="Z394" i="10"/>
  <c r="AA394" i="10" s="1"/>
  <c r="Z454" i="10"/>
  <c r="AB454" i="10" s="1"/>
  <c r="Z535" i="10"/>
  <c r="AB535" i="10" s="1"/>
  <c r="Z137" i="10"/>
  <c r="AA137" i="10" s="1"/>
  <c r="Z251" i="10"/>
  <c r="AB251" i="10" s="1"/>
  <c r="Z333" i="10"/>
  <c r="AA333" i="10" s="1"/>
  <c r="Z358" i="10"/>
  <c r="AB358" i="10" s="1"/>
  <c r="Z374" i="10"/>
  <c r="AA374" i="10" s="1"/>
  <c r="Z408" i="10"/>
  <c r="AB408" i="10" s="1"/>
  <c r="Z507" i="10"/>
  <c r="AB507" i="10" s="1"/>
  <c r="Z10" i="10"/>
  <c r="AB10" i="10" s="1"/>
  <c r="Z123" i="10"/>
  <c r="AB123" i="10" s="1"/>
  <c r="Z79" i="10"/>
  <c r="AB79" i="10" s="1"/>
  <c r="Z198" i="10"/>
  <c r="Z153" i="10"/>
  <c r="AB153" i="10" s="1"/>
  <c r="Z235" i="10"/>
  <c r="AA235" i="10" s="1"/>
  <c r="Z299" i="10"/>
  <c r="AA299" i="10" s="1"/>
  <c r="Z310" i="10"/>
  <c r="Z431" i="10"/>
  <c r="AA431" i="10" s="1"/>
  <c r="Z359" i="10"/>
  <c r="AA359" i="10" s="1"/>
  <c r="Z426" i="10"/>
  <c r="AA426" i="10" s="1"/>
  <c r="Z472" i="10"/>
  <c r="Z514" i="10"/>
  <c r="AB514" i="10" s="1"/>
  <c r="Z552" i="10"/>
  <c r="AB552" i="10" s="1"/>
  <c r="Z8" i="10"/>
  <c r="AA8" i="10" s="1"/>
  <c r="Z424" i="10"/>
  <c r="Z486" i="10"/>
  <c r="AB486" i="10" s="1"/>
  <c r="Z511" i="10"/>
  <c r="AB511" i="10" s="1"/>
  <c r="Z555" i="10"/>
  <c r="AA555" i="10" s="1"/>
  <c r="AT12" i="10"/>
  <c r="AU12" i="10"/>
  <c r="AT13" i="10"/>
  <c r="AU13" i="10"/>
  <c r="B41" i="10"/>
  <c r="P19" i="10" s="1"/>
  <c r="B42" i="10"/>
  <c r="Q231" i="10" s="1"/>
  <c r="V10" i="10"/>
  <c r="U10" i="10"/>
  <c r="AH10" i="10"/>
  <c r="AI10" i="10"/>
  <c r="AL10" i="10"/>
  <c r="AK10" i="10"/>
  <c r="AQ10" i="10"/>
  <c r="AR10" i="10"/>
  <c r="AN10" i="10"/>
  <c r="AO10" i="10"/>
  <c r="AS10" i="10"/>
  <c r="W10" i="10"/>
  <c r="W7" i="10"/>
  <c r="W13" i="10"/>
  <c r="W12" i="10"/>
  <c r="W8" i="10"/>
  <c r="AB263" i="10"/>
  <c r="AA263" i="10"/>
  <c r="W544" i="10"/>
  <c r="W540" i="10"/>
  <c r="W539" i="10"/>
  <c r="W543" i="10"/>
  <c r="W519" i="10"/>
  <c r="W515" i="10"/>
  <c r="W503" i="10"/>
  <c r="W499" i="10"/>
  <c r="W495" i="10"/>
  <c r="W538" i="10"/>
  <c r="W518" i="10"/>
  <c r="W498" i="10"/>
  <c r="W486" i="10"/>
  <c r="W489" i="10"/>
  <c r="W479" i="10"/>
  <c r="W475" i="10"/>
  <c r="W452" i="10"/>
  <c r="W448" i="10"/>
  <c r="W444" i="10"/>
  <c r="W440" i="10"/>
  <c r="W434" i="10"/>
  <c r="W494" i="10"/>
  <c r="W467" i="10"/>
  <c r="W459" i="10"/>
  <c r="W463" i="10"/>
  <c r="W455" i="10"/>
  <c r="W385" i="10"/>
  <c r="W383" i="10"/>
  <c r="W379" i="10"/>
  <c r="W375" i="10"/>
  <c r="W371" i="10"/>
  <c r="W429" i="10"/>
  <c r="W425" i="10"/>
  <c r="W421" i="10"/>
  <c r="W417" i="10"/>
  <c r="W413" i="10"/>
  <c r="W409" i="10"/>
  <c r="W405" i="10"/>
  <c r="W401" i="10"/>
  <c r="W397" i="10"/>
  <c r="W393" i="10"/>
  <c r="W389" i="10"/>
  <c r="W387" i="10"/>
  <c r="W367" i="10"/>
  <c r="W363" i="10"/>
  <c r="W306" i="10"/>
  <c r="W302" i="10"/>
  <c r="W298" i="10"/>
  <c r="W294" i="10"/>
  <c r="W290" i="10"/>
  <c r="W286" i="10"/>
  <c r="W282" i="10"/>
  <c r="W278" i="10"/>
  <c r="W274" i="10"/>
  <c r="W270" i="10"/>
  <c r="W266" i="10"/>
  <c r="W262" i="10"/>
  <c r="W258" i="10"/>
  <c r="W254" i="10"/>
  <c r="W250" i="10"/>
  <c r="W246" i="10"/>
  <c r="W241" i="10"/>
  <c r="W237" i="10"/>
  <c r="W233" i="10"/>
  <c r="W229" i="10"/>
  <c r="W225" i="10"/>
  <c r="W221" i="10"/>
  <c r="W217" i="10"/>
  <c r="W213" i="10"/>
  <c r="W209" i="10"/>
  <c r="W244" i="10"/>
  <c r="W240" i="10"/>
  <c r="W236" i="10"/>
  <c r="W232" i="10"/>
  <c r="W228" i="10"/>
  <c r="W224" i="10"/>
  <c r="W220" i="10"/>
  <c r="W216" i="10"/>
  <c r="W212" i="10"/>
  <c r="W193" i="10"/>
  <c r="W189" i="10"/>
  <c r="W185" i="10"/>
  <c r="W181" i="10"/>
  <c r="W177" i="10"/>
  <c r="W173" i="10"/>
  <c r="W169" i="10"/>
  <c r="W165" i="10"/>
  <c r="W201" i="10"/>
  <c r="W162" i="10"/>
  <c r="W154" i="10"/>
  <c r="W102" i="10"/>
  <c r="W192" i="10"/>
  <c r="W188" i="10"/>
  <c r="W184" i="10"/>
  <c r="W180" i="10"/>
  <c r="W176" i="10"/>
  <c r="W172" i="10"/>
  <c r="W168" i="10"/>
  <c r="W164" i="10"/>
  <c r="B46" i="10"/>
  <c r="W142" i="10"/>
  <c r="W138" i="10"/>
  <c r="W126" i="10"/>
  <c r="W118" i="10"/>
  <c r="W110" i="10"/>
  <c r="W106" i="10"/>
  <c r="W242" i="10"/>
  <c r="W238" i="10"/>
  <c r="W234" i="10"/>
  <c r="W230" i="10"/>
  <c r="W226" i="10"/>
  <c r="W222" i="10"/>
  <c r="W218" i="10"/>
  <c r="W214" i="10"/>
  <c r="W210" i="10"/>
  <c r="W205" i="10"/>
  <c r="W197" i="10"/>
  <c r="W61" i="10"/>
  <c r="W158" i="10"/>
  <c r="W150" i="10"/>
  <c r="W146" i="10"/>
  <c r="W134" i="10"/>
  <c r="W130" i="10"/>
  <c r="W122" i="10"/>
  <c r="W114" i="10"/>
  <c r="W40" i="10"/>
  <c r="W37" i="10"/>
  <c r="W34" i="10"/>
  <c r="W27" i="10"/>
  <c r="O9" i="10"/>
  <c r="W32" i="10"/>
  <c r="W30" i="10"/>
  <c r="W21" i="10"/>
  <c r="W200" i="10"/>
  <c r="W69" i="10"/>
  <c r="W74" i="10"/>
  <c r="W90" i="10"/>
  <c r="W47" i="10"/>
  <c r="W23" i="10"/>
  <c r="W31" i="10"/>
  <c r="W43" i="10"/>
  <c r="W58" i="10"/>
  <c r="W49" i="10"/>
  <c r="W22" i="10"/>
  <c r="W33" i="10"/>
  <c r="W46" i="10"/>
  <c r="W80" i="10"/>
  <c r="W96" i="10"/>
  <c r="W204" i="10"/>
  <c r="W65" i="10"/>
  <c r="W75" i="10"/>
  <c r="W91" i="10"/>
  <c r="W147" i="10"/>
  <c r="W163" i="10"/>
  <c r="W73" i="10"/>
  <c r="W89" i="10"/>
  <c r="W101" i="10"/>
  <c r="W109" i="10"/>
  <c r="W117" i="10"/>
  <c r="W125" i="10"/>
  <c r="W133" i="10"/>
  <c r="W149" i="10"/>
  <c r="W198" i="10"/>
  <c r="W206" i="10"/>
  <c r="W373" i="10"/>
  <c r="W171" i="10"/>
  <c r="W187" i="10"/>
  <c r="W203" i="10"/>
  <c r="W219" i="10"/>
  <c r="W235" i="10"/>
  <c r="W316" i="10"/>
  <c r="W332" i="10"/>
  <c r="W348" i="10"/>
  <c r="W310" i="10"/>
  <c r="W318" i="10"/>
  <c r="W326" i="10"/>
  <c r="W334" i="10"/>
  <c r="W342" i="10"/>
  <c r="W350" i="10"/>
  <c r="W358" i="10"/>
  <c r="W376" i="10"/>
  <c r="W465" i="10"/>
  <c r="W247" i="10"/>
  <c r="W263" i="10"/>
  <c r="W279" i="10"/>
  <c r="W295" i="10"/>
  <c r="W403" i="10"/>
  <c r="W419" i="10"/>
  <c r="W370" i="10"/>
  <c r="W433" i="10"/>
  <c r="W442" i="10"/>
  <c r="W450" i="10"/>
  <c r="W451" i="10"/>
  <c r="W483" i="10"/>
  <c r="W476" i="10"/>
  <c r="W484" i="10"/>
  <c r="W493" i="10"/>
  <c r="W466" i="10"/>
  <c r="W474" i="10"/>
  <c r="W492" i="10"/>
  <c r="W516" i="10"/>
  <c r="W500" i="10"/>
  <c r="W527" i="10"/>
  <c r="W532" i="10"/>
  <c r="W521" i="10"/>
  <c r="W535" i="10"/>
  <c r="W533" i="10"/>
  <c r="W542" i="10"/>
  <c r="W553" i="10"/>
  <c r="W548" i="10"/>
  <c r="W557" i="10"/>
  <c r="W559" i="10"/>
  <c r="W549" i="10"/>
  <c r="W199" i="10"/>
  <c r="W368" i="10"/>
  <c r="W337" i="10"/>
  <c r="W345" i="10"/>
  <c r="W369" i="10"/>
  <c r="W259" i="10"/>
  <c r="W307" i="10"/>
  <c r="W331" i="10"/>
  <c r="W399" i="10"/>
  <c r="W388" i="10"/>
  <c r="W420" i="10"/>
  <c r="W382" i="10"/>
  <c r="W406" i="10"/>
  <c r="W456" i="10"/>
  <c r="W485" i="10"/>
  <c r="W462" i="10"/>
  <c r="W508" i="10"/>
  <c r="W526" i="10"/>
  <c r="W555" i="10"/>
  <c r="W42" i="10"/>
  <c r="W208" i="10"/>
  <c r="W50" i="10"/>
  <c r="W54" i="10"/>
  <c r="W57" i="10"/>
  <c r="W78" i="10"/>
  <c r="W94" i="10"/>
  <c r="W56" i="10"/>
  <c r="W64" i="10"/>
  <c r="W166" i="10"/>
  <c r="W174" i="10"/>
  <c r="W182" i="10"/>
  <c r="W190" i="10"/>
  <c r="W25" i="10"/>
  <c r="W35" i="10"/>
  <c r="W41" i="10"/>
  <c r="W24" i="10"/>
  <c r="W29" i="10"/>
  <c r="W36" i="10"/>
  <c r="W53" i="10"/>
  <c r="W84" i="10"/>
  <c r="W67" i="10"/>
  <c r="W87" i="10"/>
  <c r="W143" i="10"/>
  <c r="W159" i="10"/>
  <c r="W248" i="10"/>
  <c r="W256" i="10"/>
  <c r="W264" i="10"/>
  <c r="W272" i="10"/>
  <c r="W280" i="10"/>
  <c r="W288" i="10"/>
  <c r="W296" i="10"/>
  <c r="W100" i="10"/>
  <c r="W108" i="10"/>
  <c r="W116" i="10"/>
  <c r="W124" i="10"/>
  <c r="W132" i="10"/>
  <c r="W140" i="10"/>
  <c r="W148" i="10"/>
  <c r="W156" i="10"/>
  <c r="W77" i="10"/>
  <c r="W93" i="10"/>
  <c r="W145" i="10"/>
  <c r="W161" i="10"/>
  <c r="W245" i="10"/>
  <c r="W249" i="10"/>
  <c r="W253" i="10"/>
  <c r="W257" i="10"/>
  <c r="W261" i="10"/>
  <c r="W265" i="10"/>
  <c r="W269" i="10"/>
  <c r="W273" i="10"/>
  <c r="W277" i="10"/>
  <c r="W281" i="10"/>
  <c r="W285" i="10"/>
  <c r="W289" i="10"/>
  <c r="W293" i="10"/>
  <c r="W297" i="10"/>
  <c r="W301" i="10"/>
  <c r="W300" i="10"/>
  <c r="W175" i="10"/>
  <c r="W191" i="10"/>
  <c r="W207" i="10"/>
  <c r="W223" i="10"/>
  <c r="W239" i="10"/>
  <c r="W320" i="10"/>
  <c r="W336" i="10"/>
  <c r="W352" i="10"/>
  <c r="W364" i="10"/>
  <c r="W309" i="10"/>
  <c r="W317" i="10"/>
  <c r="W325" i="10"/>
  <c r="W333" i="10"/>
  <c r="W341" i="10"/>
  <c r="W349" i="10"/>
  <c r="W357" i="10"/>
  <c r="W365" i="10"/>
  <c r="W380" i="10"/>
  <c r="W435" i="10"/>
  <c r="W251" i="10"/>
  <c r="W267" i="10"/>
  <c r="W283" i="10"/>
  <c r="W299" i="10"/>
  <c r="W311" i="10"/>
  <c r="W319" i="10"/>
  <c r="W327" i="10"/>
  <c r="W335" i="10"/>
  <c r="W343" i="10"/>
  <c r="W351" i="10"/>
  <c r="W359" i="10"/>
  <c r="W469" i="10"/>
  <c r="W391" i="10"/>
  <c r="W407" i="10"/>
  <c r="W423" i="10"/>
  <c r="W384" i="10"/>
  <c r="W392" i="10"/>
  <c r="W400" i="10"/>
  <c r="W408" i="10"/>
  <c r="W416" i="10"/>
  <c r="W432" i="10"/>
  <c r="W436" i="10"/>
  <c r="W374" i="10"/>
  <c r="W386" i="10"/>
  <c r="W394" i="10"/>
  <c r="W402" i="10"/>
  <c r="W410" i="10"/>
  <c r="W418" i="10"/>
  <c r="W426" i="10"/>
  <c r="W437" i="10"/>
  <c r="W441" i="10"/>
  <c r="W445" i="10"/>
  <c r="W449" i="10"/>
  <c r="W453" i="10"/>
  <c r="W460" i="10"/>
  <c r="W468" i="10"/>
  <c r="W490" i="10"/>
  <c r="W439" i="10"/>
  <c r="W454" i="10"/>
  <c r="W470" i="10"/>
  <c r="W505" i="10"/>
  <c r="W497" i="10"/>
  <c r="W506" i="10"/>
  <c r="W514" i="10"/>
  <c r="W504" i="10"/>
  <c r="W523" i="10"/>
  <c r="W524" i="10"/>
  <c r="W551" i="10"/>
  <c r="W531" i="10"/>
  <c r="W550" i="10"/>
  <c r="W541" i="10"/>
  <c r="W558" i="10"/>
  <c r="W556" i="10"/>
  <c r="W153" i="10"/>
  <c r="W381" i="10"/>
  <c r="W304" i="10"/>
  <c r="W215" i="10"/>
  <c r="W312" i="10"/>
  <c r="W344" i="10"/>
  <c r="W360" i="10"/>
  <c r="W321" i="10"/>
  <c r="W291" i="10"/>
  <c r="W323" i="10"/>
  <c r="W347" i="10"/>
  <c r="W396" i="10"/>
  <c r="W390" i="10"/>
  <c r="W422" i="10"/>
  <c r="W477" i="10"/>
  <c r="W491" i="10"/>
  <c r="W501" i="10"/>
  <c r="W510" i="10"/>
  <c r="W517" i="10"/>
  <c r="W536" i="10"/>
  <c r="W537" i="10"/>
  <c r="W552" i="10"/>
  <c r="W82" i="10"/>
  <c r="W98" i="10"/>
  <c r="W66" i="10"/>
  <c r="W48" i="10"/>
  <c r="W19" i="10"/>
  <c r="W20" i="10"/>
  <c r="W44" i="10"/>
  <c r="W59" i="10"/>
  <c r="W72" i="10"/>
  <c r="W88" i="10"/>
  <c r="W196" i="10"/>
  <c r="W60" i="10"/>
  <c r="W83" i="10"/>
  <c r="W99" i="10"/>
  <c r="W103" i="10"/>
  <c r="W107" i="10"/>
  <c r="W111" i="10"/>
  <c r="W115" i="10"/>
  <c r="W119" i="10"/>
  <c r="W123" i="10"/>
  <c r="W127" i="10"/>
  <c r="W131" i="10"/>
  <c r="W139" i="10"/>
  <c r="W155" i="10"/>
  <c r="W81" i="10"/>
  <c r="W97" i="10"/>
  <c r="W105" i="10"/>
  <c r="W113" i="10"/>
  <c r="W121" i="10"/>
  <c r="W129" i="10"/>
  <c r="W141" i="10"/>
  <c r="W157" i="10"/>
  <c r="W202" i="10"/>
  <c r="W305" i="10"/>
  <c r="W377" i="10"/>
  <c r="W179" i="10"/>
  <c r="W195" i="10"/>
  <c r="W211" i="10"/>
  <c r="W227" i="10"/>
  <c r="W243" i="10"/>
  <c r="W308" i="10"/>
  <c r="W324" i="10"/>
  <c r="W340" i="10"/>
  <c r="W356" i="10"/>
  <c r="W361" i="10"/>
  <c r="W314" i="10"/>
  <c r="W322" i="10"/>
  <c r="W330" i="10"/>
  <c r="W338" i="10"/>
  <c r="W346" i="10"/>
  <c r="W354" i="10"/>
  <c r="W255" i="10"/>
  <c r="W271" i="10"/>
  <c r="W287" i="10"/>
  <c r="W303" i="10"/>
  <c r="W461" i="10"/>
  <c r="W395" i="10"/>
  <c r="W411" i="10"/>
  <c r="W427" i="10"/>
  <c r="W431" i="10"/>
  <c r="W457" i="10"/>
  <c r="W424" i="10"/>
  <c r="W428" i="10"/>
  <c r="W362" i="10"/>
  <c r="W378" i="10"/>
  <c r="W430" i="10"/>
  <c r="W502" i="10"/>
  <c r="W438" i="10"/>
  <c r="W446" i="10"/>
  <c r="W471" i="10"/>
  <c r="W443" i="10"/>
  <c r="W472" i="10"/>
  <c r="W480" i="10"/>
  <c r="W458" i="10"/>
  <c r="W482" i="10"/>
  <c r="W487" i="10"/>
  <c r="W488" i="10"/>
  <c r="W520" i="10"/>
  <c r="W513" i="10"/>
  <c r="W522" i="10"/>
  <c r="W507" i="10"/>
  <c r="W511" i="10"/>
  <c r="W534" i="10"/>
  <c r="W512" i="10"/>
  <c r="W530" i="10"/>
  <c r="W529" i="10"/>
  <c r="W546" i="10"/>
  <c r="W547" i="10"/>
  <c r="W554" i="10"/>
  <c r="W545" i="10"/>
  <c r="W45" i="10"/>
  <c r="W52" i="10"/>
  <c r="W70" i="10"/>
  <c r="W86" i="10"/>
  <c r="W62" i="10"/>
  <c r="W71" i="10"/>
  <c r="W170" i="10"/>
  <c r="W178" i="10"/>
  <c r="W186" i="10"/>
  <c r="W194" i="10"/>
  <c r="W28" i="10"/>
  <c r="W38" i="10"/>
  <c r="W39" i="10"/>
  <c r="W26" i="10"/>
  <c r="W51" i="10"/>
  <c r="W55" i="10"/>
  <c r="W68" i="10"/>
  <c r="W76" i="10"/>
  <c r="W92" i="10"/>
  <c r="W63" i="10"/>
  <c r="W79" i="10"/>
  <c r="W95" i="10"/>
  <c r="W135" i="10"/>
  <c r="W151" i="10"/>
  <c r="W252" i="10"/>
  <c r="W260" i="10"/>
  <c r="W268" i="10"/>
  <c r="W276" i="10"/>
  <c r="W284" i="10"/>
  <c r="W292" i="10"/>
  <c r="W104" i="10"/>
  <c r="W112" i="10"/>
  <c r="W120" i="10"/>
  <c r="W128" i="10"/>
  <c r="W136" i="10"/>
  <c r="W144" i="10"/>
  <c r="W152" i="10"/>
  <c r="W160" i="10"/>
  <c r="W85" i="10"/>
  <c r="W137" i="10"/>
  <c r="W167" i="10"/>
  <c r="W183" i="10"/>
  <c r="W231" i="10"/>
  <c r="W328" i="10"/>
  <c r="W313" i="10"/>
  <c r="W329" i="10"/>
  <c r="W353" i="10"/>
  <c r="W372" i="10"/>
  <c r="W275" i="10"/>
  <c r="W315" i="10"/>
  <c r="W339" i="10"/>
  <c r="W355" i="10"/>
  <c r="W415" i="10"/>
  <c r="W404" i="10"/>
  <c r="W412" i="10"/>
  <c r="W366" i="10"/>
  <c r="W398" i="10"/>
  <c r="W414" i="10"/>
  <c r="W464" i="10"/>
  <c r="W447" i="10"/>
  <c r="W473" i="10"/>
  <c r="W481" i="10"/>
  <c r="W478" i="10"/>
  <c r="W509" i="10"/>
  <c r="W496" i="10"/>
  <c r="W528" i="10"/>
  <c r="W525" i="10"/>
  <c r="W560" i="10"/>
  <c r="Z7" i="5"/>
  <c r="P7" i="5"/>
  <c r="Q7" i="5"/>
  <c r="S7" i="5" s="1"/>
  <c r="B42" i="5"/>
  <c r="Q508" i="5" s="1"/>
  <c r="R508" i="5" s="1"/>
  <c r="B181" i="2"/>
  <c r="B260" i="2" s="1"/>
  <c r="B261" i="2" s="1"/>
  <c r="B41" i="5"/>
  <c r="P455" i="5" s="1"/>
  <c r="B187" i="2"/>
  <c r="B122" i="2" s="1"/>
  <c r="W7" i="5"/>
  <c r="B82" i="2"/>
  <c r="H26" i="1" s="1"/>
  <c r="B90" i="2"/>
  <c r="B86" i="2"/>
  <c r="Z10" i="5"/>
  <c r="AB10" i="5" s="1"/>
  <c r="W59" i="5"/>
  <c r="X59" i="5" s="1"/>
  <c r="H36" i="1"/>
  <c r="W525" i="5"/>
  <c r="Y525" i="5" s="1"/>
  <c r="W376" i="5"/>
  <c r="X376" i="5" s="1"/>
  <c r="W515" i="5"/>
  <c r="Y515" i="5" s="1"/>
  <c r="W190" i="5"/>
  <c r="X190" i="5" s="1"/>
  <c r="W554" i="5"/>
  <c r="X554" i="5" s="1"/>
  <c r="W415" i="5"/>
  <c r="X415" i="5" s="1"/>
  <c r="W544" i="5"/>
  <c r="X544" i="5" s="1"/>
  <c r="W536" i="5"/>
  <c r="Y536" i="5" s="1"/>
  <c r="W339" i="5"/>
  <c r="X339" i="5" s="1"/>
  <c r="W154" i="5"/>
  <c r="X154" i="5" s="1"/>
  <c r="W448" i="5"/>
  <c r="Y448" i="5" s="1"/>
  <c r="W214" i="5"/>
  <c r="Y214" i="5" s="1"/>
  <c r="W524" i="5"/>
  <c r="X524" i="5" s="1"/>
  <c r="W373" i="5"/>
  <c r="X373" i="5" s="1"/>
  <c r="W206" i="5"/>
  <c r="X206" i="5" s="1"/>
  <c r="W107" i="5"/>
  <c r="X107" i="5" s="1"/>
  <c r="W379" i="5"/>
  <c r="X379" i="5" s="1"/>
  <c r="W464" i="5"/>
  <c r="X464" i="5" s="1"/>
  <c r="W484" i="5"/>
  <c r="Y484" i="5" s="1"/>
  <c r="W337" i="5"/>
  <c r="X337" i="5" s="1"/>
  <c r="W216" i="5"/>
  <c r="X216" i="5" s="1"/>
  <c r="W45" i="5"/>
  <c r="X45" i="5" s="1"/>
  <c r="W40" i="5"/>
  <c r="Y40" i="5" s="1"/>
  <c r="W94" i="5"/>
  <c r="Y94" i="5" s="1"/>
  <c r="W102" i="5"/>
  <c r="Y102" i="5" s="1"/>
  <c r="W132" i="5"/>
  <c r="Y132" i="5" s="1"/>
  <c r="W150" i="5"/>
  <c r="X150" i="5" s="1"/>
  <c r="W103" i="5"/>
  <c r="Y103" i="5" s="1"/>
  <c r="W194" i="5"/>
  <c r="Y194" i="5" s="1"/>
  <c r="W200" i="5"/>
  <c r="X200" i="5" s="1"/>
  <c r="W211" i="5"/>
  <c r="X211" i="5" s="1"/>
  <c r="W267" i="5"/>
  <c r="X267" i="5" s="1"/>
  <c r="W329" i="5"/>
  <c r="Y329" i="5" s="1"/>
  <c r="W273" i="5"/>
  <c r="Y273" i="5" s="1"/>
  <c r="W332" i="5"/>
  <c r="X332" i="5" s="1"/>
  <c r="W323" i="5"/>
  <c r="X323" i="5" s="1"/>
  <c r="W335" i="5"/>
  <c r="Y335" i="5" s="1"/>
  <c r="W395" i="5"/>
  <c r="X395" i="5" s="1"/>
  <c r="W320" i="5"/>
  <c r="Y320" i="5" s="1"/>
  <c r="W381" i="5"/>
  <c r="X381" i="5" s="1"/>
  <c r="W410" i="5"/>
  <c r="X410" i="5" s="1"/>
  <c r="W285" i="5"/>
  <c r="Y285" i="5" s="1"/>
  <c r="W375" i="5"/>
  <c r="Y375" i="5" s="1"/>
  <c r="W405" i="5"/>
  <c r="X405" i="5" s="1"/>
  <c r="W361" i="5"/>
  <c r="X361" i="5" s="1"/>
  <c r="W455" i="5"/>
  <c r="Y455" i="5" s="1"/>
  <c r="W479" i="5"/>
  <c r="Y479" i="5" s="1"/>
  <c r="W506" i="5"/>
  <c r="X506" i="5" s="1"/>
  <c r="W535" i="5"/>
  <c r="Y535" i="5" s="1"/>
  <c r="W411" i="5"/>
  <c r="X411" i="5" s="1"/>
  <c r="W447" i="5"/>
  <c r="Y447" i="5" s="1"/>
  <c r="W489" i="5"/>
  <c r="X489" i="5" s="1"/>
  <c r="W514" i="5"/>
  <c r="X514" i="5" s="1"/>
  <c r="W404" i="5"/>
  <c r="Y404" i="5" s="1"/>
  <c r="W460" i="5"/>
  <c r="X460" i="5" s="1"/>
  <c r="W496" i="5"/>
  <c r="Y496" i="5" s="1"/>
  <c r="W523" i="5"/>
  <c r="X523" i="5" s="1"/>
  <c r="W558" i="5"/>
  <c r="X558" i="5" s="1"/>
  <c r="W531" i="5"/>
  <c r="X531" i="5" s="1"/>
  <c r="W457" i="5"/>
  <c r="Y457" i="5" s="1"/>
  <c r="W546" i="5"/>
  <c r="Y546" i="5" s="1"/>
  <c r="W500" i="5"/>
  <c r="X500" i="5" s="1"/>
  <c r="W553" i="5"/>
  <c r="Y553" i="5" s="1"/>
  <c r="W442" i="5"/>
  <c r="Y442" i="5" s="1"/>
  <c r="W492" i="5"/>
  <c r="X492" i="5" s="1"/>
  <c r="W549" i="5"/>
  <c r="Y549" i="5" s="1"/>
  <c r="W19" i="5"/>
  <c r="Y19" i="5" s="1"/>
  <c r="W10" i="5"/>
  <c r="W44" i="5"/>
  <c r="Y44" i="5" s="1"/>
  <c r="W43" i="5"/>
  <c r="Y43" i="5" s="1"/>
  <c r="W76" i="5"/>
  <c r="X76" i="5" s="1"/>
  <c r="W66" i="5"/>
  <c r="X66" i="5" s="1"/>
  <c r="W158" i="5"/>
  <c r="X158" i="5" s="1"/>
  <c r="W128" i="5"/>
  <c r="Y128" i="5" s="1"/>
  <c r="W176" i="5"/>
  <c r="X176" i="5" s="1"/>
  <c r="W184" i="5"/>
  <c r="Y184" i="5" s="1"/>
  <c r="W248" i="5"/>
  <c r="Y248" i="5" s="1"/>
  <c r="W227" i="5"/>
  <c r="Y227" i="5" s="1"/>
  <c r="W207" i="5"/>
  <c r="Y207" i="5" s="1"/>
  <c r="W309" i="5"/>
  <c r="Y309" i="5" s="1"/>
  <c r="W255" i="5"/>
  <c r="X255" i="5" s="1"/>
  <c r="W308" i="5"/>
  <c r="X308" i="5" s="1"/>
  <c r="W292" i="5"/>
  <c r="Y292" i="5" s="1"/>
  <c r="W355" i="5"/>
  <c r="Y355" i="5" s="1"/>
  <c r="W370" i="5"/>
  <c r="Y370" i="5" s="1"/>
  <c r="W434" i="5"/>
  <c r="Y434" i="5" s="1"/>
  <c r="W366" i="5"/>
  <c r="X366" i="5" s="1"/>
  <c r="W400" i="5"/>
  <c r="Y400" i="5" s="1"/>
  <c r="W253" i="5"/>
  <c r="X253" i="5" s="1"/>
  <c r="W369" i="5"/>
  <c r="X369" i="5" s="1"/>
  <c r="W391" i="5"/>
  <c r="X391" i="5" s="1"/>
  <c r="W269" i="5"/>
  <c r="X269" i="5" s="1"/>
  <c r="W444" i="5"/>
  <c r="X444" i="5" s="1"/>
  <c r="W470" i="5"/>
  <c r="Y470" i="5" s="1"/>
  <c r="W495" i="5"/>
  <c r="Y495" i="5" s="1"/>
  <c r="W526" i="5"/>
  <c r="X526" i="5" s="1"/>
  <c r="W353" i="5"/>
  <c r="X353" i="5" s="1"/>
  <c r="W430" i="5"/>
  <c r="X430" i="5" s="1"/>
  <c r="W469" i="5"/>
  <c r="X469" i="5" s="1"/>
  <c r="W507" i="5"/>
  <c r="Y507" i="5" s="1"/>
  <c r="W365" i="5"/>
  <c r="X365" i="5" s="1"/>
  <c r="W453" i="5"/>
  <c r="Y453" i="5" s="1"/>
  <c r="W480" i="5"/>
  <c r="X480" i="5" s="1"/>
  <c r="W516" i="5"/>
  <c r="Y516" i="5" s="1"/>
  <c r="W545" i="5"/>
  <c r="X545" i="5" s="1"/>
  <c r="W462" i="5"/>
  <c r="Y462" i="5" s="1"/>
  <c r="W422" i="5"/>
  <c r="Y422" i="5" s="1"/>
  <c r="W539" i="5"/>
  <c r="X539" i="5" s="1"/>
  <c r="W474" i="5"/>
  <c r="Y474" i="5" s="1"/>
  <c r="W552" i="5"/>
  <c r="Y552" i="5" s="1"/>
  <c r="W425" i="5"/>
  <c r="X425" i="5" s="1"/>
  <c r="W482" i="5"/>
  <c r="Y482" i="5" s="1"/>
  <c r="W533" i="5"/>
  <c r="Y533" i="5" s="1"/>
  <c r="W560" i="5"/>
  <c r="Y560" i="5" s="1"/>
  <c r="W559" i="5"/>
  <c r="Y559" i="5" s="1"/>
  <c r="W459" i="5"/>
  <c r="X459" i="5" s="1"/>
  <c r="W551" i="5"/>
  <c r="Y551" i="5" s="1"/>
  <c r="W534" i="5"/>
  <c r="Y534" i="5" s="1"/>
  <c r="W439" i="5"/>
  <c r="X439" i="5" s="1"/>
  <c r="W512" i="5"/>
  <c r="Y512" i="5" s="1"/>
  <c r="W438" i="5"/>
  <c r="Y438" i="5" s="1"/>
  <c r="W502" i="5"/>
  <c r="X502" i="5" s="1"/>
  <c r="W429" i="5"/>
  <c r="X429" i="5" s="1"/>
  <c r="W520" i="5"/>
  <c r="X520" i="5" s="1"/>
  <c r="W467" i="5"/>
  <c r="X467" i="5" s="1"/>
  <c r="W236" i="5"/>
  <c r="X236" i="5" s="1"/>
  <c r="W354" i="5"/>
  <c r="X354" i="5" s="1"/>
  <c r="W398" i="5"/>
  <c r="Y398" i="5" s="1"/>
  <c r="W427" i="5"/>
  <c r="Y427" i="5" s="1"/>
  <c r="W345" i="5"/>
  <c r="X345" i="5" s="1"/>
  <c r="W301" i="5"/>
  <c r="Y301" i="5" s="1"/>
  <c r="W297" i="5"/>
  <c r="X297" i="5" s="1"/>
  <c r="W223" i="5"/>
  <c r="Y223" i="5" s="1"/>
  <c r="W181" i="5"/>
  <c r="X181" i="5" s="1"/>
  <c r="W123" i="5"/>
  <c r="Y123" i="5" s="1"/>
  <c r="W99" i="5"/>
  <c r="X99" i="5" s="1"/>
  <c r="W27" i="5"/>
  <c r="Y27" i="5" s="1"/>
  <c r="W556" i="5"/>
  <c r="X556" i="5" s="1"/>
  <c r="W452" i="5"/>
  <c r="X452" i="5" s="1"/>
  <c r="W521" i="5"/>
  <c r="X521" i="5" s="1"/>
  <c r="W486" i="5"/>
  <c r="X486" i="5" s="1"/>
  <c r="W310" i="5"/>
  <c r="Y310" i="5" s="1"/>
  <c r="W498" i="5"/>
  <c r="Y498" i="5" s="1"/>
  <c r="W431" i="5"/>
  <c r="Y431" i="5" s="1"/>
  <c r="W491" i="5"/>
  <c r="Y491" i="5" s="1"/>
  <c r="W414" i="5"/>
  <c r="Y414" i="5" s="1"/>
  <c r="W509" i="5"/>
  <c r="Y509" i="5" s="1"/>
  <c r="W461" i="5"/>
  <c r="X461" i="5" s="1"/>
  <c r="W407" i="5"/>
  <c r="X407" i="5" s="1"/>
  <c r="W305" i="5"/>
  <c r="Y305" i="5" s="1"/>
  <c r="W387" i="5"/>
  <c r="Y387" i="5" s="1"/>
  <c r="W401" i="5"/>
  <c r="W328" i="5"/>
  <c r="Y328" i="5" s="1"/>
  <c r="W277" i="5"/>
  <c r="X277" i="5" s="1"/>
  <c r="W275" i="5"/>
  <c r="Y275" i="5" s="1"/>
  <c r="W203" i="5"/>
  <c r="Y203" i="5" s="1"/>
  <c r="W139" i="5"/>
  <c r="W97" i="5"/>
  <c r="X97" i="5" s="1"/>
  <c r="W85" i="5"/>
  <c r="Y85" i="5" s="1"/>
  <c r="W34" i="5"/>
  <c r="Y34" i="5" s="1"/>
  <c r="W530" i="5"/>
  <c r="X530" i="5" s="1"/>
  <c r="W385" i="5"/>
  <c r="X385" i="5" s="1"/>
  <c r="W446" i="5"/>
  <c r="X446" i="5" s="1"/>
  <c r="W388" i="5"/>
  <c r="X388" i="5" s="1"/>
  <c r="W540" i="5"/>
  <c r="Y540" i="5" s="1"/>
  <c r="W475" i="5"/>
  <c r="Y475" i="5" s="1"/>
  <c r="W296" i="5"/>
  <c r="Y296" i="5" s="1"/>
  <c r="W466" i="5"/>
  <c r="X466" i="5" s="1"/>
  <c r="W343" i="5"/>
  <c r="X343" i="5" s="1"/>
  <c r="W490" i="5"/>
  <c r="X490" i="5" s="1"/>
  <c r="W440" i="5"/>
  <c r="X440" i="5" s="1"/>
  <c r="W390" i="5"/>
  <c r="Y390" i="5" s="1"/>
  <c r="W186" i="5"/>
  <c r="X186" i="5" s="1"/>
  <c r="W364" i="5"/>
  <c r="Y364" i="5" s="1"/>
  <c r="W360" i="5"/>
  <c r="Y360" i="5" s="1"/>
  <c r="W288" i="5"/>
  <c r="X288" i="5" s="1"/>
  <c r="W252" i="5"/>
  <c r="X252" i="5" s="1"/>
  <c r="W243" i="5"/>
  <c r="Y243" i="5" s="1"/>
  <c r="W246" i="5"/>
  <c r="X246" i="5" s="1"/>
  <c r="W164" i="5"/>
  <c r="Y164" i="5" s="1"/>
  <c r="W152" i="5"/>
  <c r="Y152" i="5" s="1"/>
  <c r="W58" i="5"/>
  <c r="Y58" i="5" s="1"/>
  <c r="W29" i="5"/>
  <c r="X29" i="5" s="1"/>
  <c r="AN10" i="5"/>
  <c r="AO10" i="5"/>
  <c r="AH10" i="5"/>
  <c r="AI10" i="5"/>
  <c r="AP10" i="5"/>
  <c r="AQ13" i="5"/>
  <c r="AR13" i="5"/>
  <c r="O9" i="5"/>
  <c r="W8" i="5"/>
  <c r="W12" i="5"/>
  <c r="W13" i="5"/>
  <c r="W35" i="5"/>
  <c r="Y35" i="5" s="1"/>
  <c r="W21" i="5"/>
  <c r="Y21" i="5" s="1"/>
  <c r="W49" i="5"/>
  <c r="Y49" i="5" s="1"/>
  <c r="W64" i="5"/>
  <c r="Y64" i="5" s="1"/>
  <c r="W65" i="5"/>
  <c r="X65" i="5" s="1"/>
  <c r="W74" i="5"/>
  <c r="Y74" i="5" s="1"/>
  <c r="W73" i="5"/>
  <c r="Y73" i="5" s="1"/>
  <c r="W87" i="5"/>
  <c r="X87" i="5" s="1"/>
  <c r="W119" i="5"/>
  <c r="X119" i="5" s="1"/>
  <c r="W115" i="5"/>
  <c r="Y115" i="5" s="1"/>
  <c r="W110" i="5"/>
  <c r="W134" i="5"/>
  <c r="X134" i="5" s="1"/>
  <c r="W137" i="5"/>
  <c r="Y137" i="5" s="1"/>
  <c r="W171" i="5"/>
  <c r="X171" i="5" s="1"/>
  <c r="W148" i="5"/>
  <c r="X148" i="5" s="1"/>
  <c r="W202" i="5"/>
  <c r="Y202" i="5" s="1"/>
  <c r="W226" i="5"/>
  <c r="Y226" i="5" s="1"/>
  <c r="W172" i="5"/>
  <c r="X172" i="5" s="1"/>
  <c r="W209" i="5"/>
  <c r="X209" i="5" s="1"/>
  <c r="W239" i="5"/>
  <c r="X239" i="5" s="1"/>
  <c r="W229" i="5"/>
  <c r="X229" i="5" s="1"/>
  <c r="W225" i="5"/>
  <c r="Y225" i="5" s="1"/>
  <c r="W283" i="5"/>
  <c r="Y283" i="5" s="1"/>
  <c r="W315" i="5"/>
  <c r="Y315" i="5" s="1"/>
  <c r="W213" i="5"/>
  <c r="X213" i="5" s="1"/>
  <c r="W260" i="5"/>
  <c r="Y260" i="5" s="1"/>
  <c r="W279" i="5"/>
  <c r="X279" i="5" s="1"/>
  <c r="W318" i="5"/>
  <c r="X318" i="5" s="1"/>
  <c r="W251" i="5"/>
  <c r="X251" i="5" s="1"/>
  <c r="W302" i="5"/>
  <c r="Y302" i="5" s="1"/>
  <c r="W333" i="5"/>
  <c r="Y333" i="5" s="1"/>
  <c r="W268" i="5"/>
  <c r="X268" i="5" s="1"/>
  <c r="W351" i="5"/>
  <c r="Y351" i="5" s="1"/>
  <c r="W377" i="5"/>
  <c r="Y377" i="5" s="1"/>
  <c r="W412" i="5"/>
  <c r="X412" i="5" s="1"/>
  <c r="W259" i="5"/>
  <c r="Y259" i="5" s="1"/>
  <c r="W346" i="5"/>
  <c r="X346" i="5" s="1"/>
  <c r="W367" i="5"/>
  <c r="Y367" i="5" s="1"/>
  <c r="W394" i="5"/>
  <c r="X394" i="5" s="1"/>
  <c r="W403" i="5"/>
  <c r="W420" i="5"/>
  <c r="Y420" i="5" s="1"/>
  <c r="W256" i="5"/>
  <c r="Y256" i="5" s="1"/>
  <c r="W341" i="5"/>
  <c r="Y341" i="5" s="1"/>
  <c r="W371" i="5"/>
  <c r="X371" i="5" s="1"/>
  <c r="W380" i="5"/>
  <c r="X380" i="5" s="1"/>
  <c r="W393" i="5"/>
  <c r="Y393" i="5" s="1"/>
  <c r="W409" i="5"/>
  <c r="W281" i="5"/>
  <c r="X281" i="5" s="1"/>
  <c r="W423" i="5"/>
  <c r="X423" i="5" s="1"/>
  <c r="W445" i="5"/>
  <c r="Y445" i="5" s="1"/>
  <c r="W463" i="5"/>
  <c r="W473" i="5"/>
  <c r="X473" i="5" s="1"/>
  <c r="W487" i="5"/>
  <c r="X487" i="5" s="1"/>
  <c r="W497" i="5"/>
  <c r="Y497" i="5" s="1"/>
  <c r="W510" i="5"/>
  <c r="W528" i="5"/>
  <c r="Y528" i="5" s="1"/>
  <c r="W217" i="5"/>
  <c r="X217" i="5" s="1"/>
  <c r="W363" i="5"/>
  <c r="Y363" i="5" s="1"/>
  <c r="W417" i="5"/>
  <c r="X417" i="5" s="1"/>
  <c r="W441" i="5"/>
  <c r="Y441" i="5" s="1"/>
  <c r="W450" i="5"/>
  <c r="X450" i="5" s="1"/>
  <c r="W478" i="5"/>
  <c r="Y478" i="5" s="1"/>
  <c r="W494" i="5"/>
  <c r="X494" i="5" s="1"/>
  <c r="W508" i="5"/>
  <c r="Y508" i="5" s="1"/>
  <c r="W284" i="5"/>
  <c r="X284" i="5" s="1"/>
  <c r="W383" i="5"/>
  <c r="X383" i="5" s="1"/>
  <c r="W433" i="5"/>
  <c r="X433" i="5" s="1"/>
  <c r="W456" i="5"/>
  <c r="X456" i="5" s="1"/>
  <c r="W471" i="5"/>
  <c r="Y471" i="5" s="1"/>
  <c r="W483" i="5"/>
  <c r="Y483" i="5" s="1"/>
  <c r="W501" i="5"/>
  <c r="Y501" i="5" s="1"/>
  <c r="W517" i="5"/>
  <c r="W527" i="5"/>
  <c r="X527" i="5" s="1"/>
  <c r="W550" i="5"/>
  <c r="Y550" i="5" s="1"/>
  <c r="W435" i="5"/>
  <c r="Y435" i="5" s="1"/>
  <c r="W468" i="5"/>
  <c r="Y468" i="5" s="1"/>
  <c r="W557" i="5"/>
  <c r="Y557" i="5" s="1"/>
  <c r="W424" i="5"/>
  <c r="X424" i="5" s="1"/>
  <c r="W511" i="5"/>
  <c r="W541" i="5"/>
  <c r="Y541" i="5" s="1"/>
  <c r="W538" i="5"/>
  <c r="Y538" i="5" s="1"/>
  <c r="W477" i="5"/>
  <c r="X477" i="5" s="1"/>
  <c r="W522" i="5"/>
  <c r="W41" i="5"/>
  <c r="X41" i="5" s="1"/>
  <c r="W31" i="5"/>
  <c r="Y31" i="5" s="1"/>
  <c r="W69" i="5"/>
  <c r="Y69" i="5" s="1"/>
  <c r="W22" i="5"/>
  <c r="X22" i="5" s="1"/>
  <c r="W72" i="5"/>
  <c r="X72" i="5" s="1"/>
  <c r="W86" i="5"/>
  <c r="Y86" i="5" s="1"/>
  <c r="W96" i="5"/>
  <c r="Y96" i="5" s="1"/>
  <c r="W92" i="5"/>
  <c r="X92" i="5" s="1"/>
  <c r="W143" i="5"/>
  <c r="X143" i="5" s="1"/>
  <c r="W126" i="5"/>
  <c r="X126" i="5" s="1"/>
  <c r="W116" i="5"/>
  <c r="X116" i="5" s="1"/>
  <c r="W147" i="5"/>
  <c r="X147" i="5" s="1"/>
  <c r="W160" i="5"/>
  <c r="Y160" i="5" s="1"/>
  <c r="W177" i="5"/>
  <c r="Y177" i="5" s="1"/>
  <c r="W169" i="5"/>
  <c r="X169" i="5" s="1"/>
  <c r="W167" i="5"/>
  <c r="W231" i="5"/>
  <c r="Y231" i="5" s="1"/>
  <c r="W196" i="5"/>
  <c r="X196" i="5" s="1"/>
  <c r="W218" i="5"/>
  <c r="X218" i="5" s="1"/>
  <c r="W189" i="5"/>
  <c r="X189" i="5" s="1"/>
  <c r="W238" i="5"/>
  <c r="Y238" i="5" s="1"/>
  <c r="W235" i="5"/>
  <c r="X235" i="5" s="1"/>
  <c r="W287" i="5"/>
  <c r="X287" i="5" s="1"/>
  <c r="W319" i="5"/>
  <c r="W240" i="5"/>
  <c r="W265" i="5"/>
  <c r="X265" i="5" s="1"/>
  <c r="W289" i="5"/>
  <c r="Y289" i="5" s="1"/>
  <c r="W324" i="5"/>
  <c r="Y324" i="5" s="1"/>
  <c r="W266" i="5"/>
  <c r="X266" i="5" s="1"/>
  <c r="W313" i="5"/>
  <c r="Y313" i="5" s="1"/>
  <c r="W340" i="5"/>
  <c r="Y340" i="5" s="1"/>
  <c r="W298" i="5"/>
  <c r="X298" i="5" s="1"/>
  <c r="W357" i="5"/>
  <c r="X357" i="5" s="1"/>
  <c r="W384" i="5"/>
  <c r="X384" i="5" s="1"/>
  <c r="W416" i="5"/>
  <c r="X416" i="5" s="1"/>
  <c r="W300" i="5"/>
  <c r="W356" i="5"/>
  <c r="W378" i="5"/>
  <c r="Y378" i="5" s="1"/>
  <c r="W397" i="5"/>
  <c r="X397" i="5" s="1"/>
  <c r="W406" i="5"/>
  <c r="W421" i="5"/>
  <c r="X421" i="5" s="1"/>
  <c r="W261" i="5"/>
  <c r="Y261" i="5" s="1"/>
  <c r="W349" i="5"/>
  <c r="Y349" i="5" s="1"/>
  <c r="W372" i="5"/>
  <c r="Y372" i="5" s="1"/>
  <c r="W386" i="5"/>
  <c r="X386" i="5" s="1"/>
  <c r="W396" i="5"/>
  <c r="X396" i="5" s="1"/>
  <c r="W418" i="5"/>
  <c r="X418" i="5" s="1"/>
  <c r="W293" i="5"/>
  <c r="X293" i="5" s="1"/>
  <c r="W426" i="5"/>
  <c r="W449" i="5"/>
  <c r="Y449" i="5" s="1"/>
  <c r="W465" i="5"/>
  <c r="Y465" i="5" s="1"/>
  <c r="W476" i="5"/>
  <c r="W488" i="5"/>
  <c r="Y488" i="5" s="1"/>
  <c r="W503" i="5"/>
  <c r="X503" i="5" s="1"/>
  <c r="W518" i="5"/>
  <c r="X518" i="5" s="1"/>
  <c r="W529" i="5"/>
  <c r="W307" i="5"/>
  <c r="X307" i="5" s="1"/>
  <c r="W402" i="5"/>
  <c r="X402" i="5" s="1"/>
  <c r="W428" i="5"/>
  <c r="Y428" i="5" s="1"/>
  <c r="W443" i="5"/>
  <c r="X443" i="5" s="1"/>
  <c r="W451" i="5"/>
  <c r="Y451" i="5" s="1"/>
  <c r="W481" i="5"/>
  <c r="Y481" i="5" s="1"/>
  <c r="W499" i="5"/>
  <c r="Y499" i="5" s="1"/>
  <c r="W513" i="5"/>
  <c r="X513" i="5" s="1"/>
  <c r="W290" i="5"/>
  <c r="W389" i="5"/>
  <c r="X389" i="5" s="1"/>
  <c r="W436" i="5"/>
  <c r="X436" i="5" s="1"/>
  <c r="W458" i="5"/>
  <c r="W472" i="5"/>
  <c r="Y472" i="5" s="1"/>
  <c r="W485" i="5"/>
  <c r="X485" i="5" s="1"/>
  <c r="W504" i="5"/>
  <c r="Y504" i="5" s="1"/>
  <c r="W519" i="5"/>
  <c r="W537" i="5"/>
  <c r="Y537" i="5" s="1"/>
  <c r="W555" i="5"/>
  <c r="X555" i="5" s="1"/>
  <c r="W437" i="5"/>
  <c r="X437" i="5" s="1"/>
  <c r="W505" i="5"/>
  <c r="Y505" i="5" s="1"/>
  <c r="W547" i="5"/>
  <c r="Y547" i="5" s="1"/>
  <c r="W454" i="5"/>
  <c r="X454" i="5" s="1"/>
  <c r="W532" i="5"/>
  <c r="Y532" i="5" s="1"/>
  <c r="W542" i="5"/>
  <c r="Y542" i="5" s="1"/>
  <c r="W543" i="5"/>
  <c r="W493" i="5"/>
  <c r="X493" i="5" s="1"/>
  <c r="W548" i="5"/>
  <c r="Y548" i="5" s="1"/>
  <c r="AQ12" i="5"/>
  <c r="AR12" i="5"/>
  <c r="Z8" i="5"/>
  <c r="Z12" i="5"/>
  <c r="Z13" i="5"/>
  <c r="AK10" i="5"/>
  <c r="AL10" i="5"/>
  <c r="U10" i="5"/>
  <c r="V10" i="5"/>
  <c r="Z34" i="5"/>
  <c r="AA34" i="5" s="1"/>
  <c r="Z540" i="5"/>
  <c r="AB540" i="5" s="1"/>
  <c r="W23" i="5"/>
  <c r="Y23" i="5" s="1"/>
  <c r="Z482" i="5"/>
  <c r="AB482" i="5" s="1"/>
  <c r="Z244" i="5"/>
  <c r="Z497" i="5"/>
  <c r="Z426" i="5"/>
  <c r="AA426" i="5" s="1"/>
  <c r="Z232" i="5"/>
  <c r="AA232" i="5" s="1"/>
  <c r="Z559" i="5"/>
  <c r="Z308" i="5"/>
  <c r="Z94" i="5"/>
  <c r="Z488" i="5"/>
  <c r="Z276" i="5"/>
  <c r="Z110" i="5"/>
  <c r="AA110" i="5" s="1"/>
  <c r="Z551" i="5"/>
  <c r="AA551" i="5" s="1"/>
  <c r="Z491" i="5"/>
  <c r="AB491" i="5" s="1"/>
  <c r="Z428" i="5"/>
  <c r="Z424" i="5"/>
  <c r="Z373" i="5"/>
  <c r="AB373" i="5" s="1"/>
  <c r="Z249" i="5"/>
  <c r="AB249" i="5" s="1"/>
  <c r="Z79" i="5"/>
  <c r="AA79" i="5" s="1"/>
  <c r="Z534" i="5"/>
  <c r="Z512" i="5"/>
  <c r="Z470" i="5"/>
  <c r="Z359" i="5"/>
  <c r="Z229" i="5"/>
  <c r="Z160" i="5"/>
  <c r="AA160" i="5" s="1"/>
  <c r="Z22" i="5"/>
  <c r="AA22" i="5" s="1"/>
  <c r="Z496" i="5"/>
  <c r="Z480" i="5"/>
  <c r="Z552" i="5"/>
  <c r="Z543" i="5"/>
  <c r="Z372" i="5"/>
  <c r="Z381" i="5"/>
  <c r="Z211" i="5"/>
  <c r="AA211" i="5" s="1"/>
  <c r="Z413" i="5"/>
  <c r="AB413" i="5" s="1"/>
  <c r="Z353" i="5"/>
  <c r="Z296" i="5"/>
  <c r="Z210" i="5"/>
  <c r="Z162" i="5"/>
  <c r="AB162" i="5" s="1"/>
  <c r="Z64" i="5"/>
  <c r="W241" i="5"/>
  <c r="W197" i="5"/>
  <c r="X197" i="5" s="1"/>
  <c r="W191" i="5"/>
  <c r="Y191" i="5" s="1"/>
  <c r="W163" i="5"/>
  <c r="W179" i="5"/>
  <c r="W168" i="5"/>
  <c r="W112" i="5"/>
  <c r="W140" i="5"/>
  <c r="Y140" i="5" s="1"/>
  <c r="W118" i="5"/>
  <c r="Y118" i="5" s="1"/>
  <c r="W141" i="5"/>
  <c r="X141" i="5" s="1"/>
  <c r="W108" i="5"/>
  <c r="Y108" i="5" s="1"/>
  <c r="W130" i="5"/>
  <c r="W95" i="5"/>
  <c r="W106" i="5"/>
  <c r="X106" i="5" s="1"/>
  <c r="W91" i="5"/>
  <c r="Y91" i="5" s="1"/>
  <c r="W81" i="5"/>
  <c r="X81" i="5" s="1"/>
  <c r="W79" i="5"/>
  <c r="W50" i="5"/>
  <c r="Y50" i="5" s="1"/>
  <c r="W53" i="5"/>
  <c r="X53" i="5" s="1"/>
  <c r="W60" i="5"/>
  <c r="Y60" i="5" s="1"/>
  <c r="W39" i="5"/>
  <c r="W33" i="5"/>
  <c r="X33" i="5" s="1"/>
  <c r="Z550" i="5"/>
  <c r="Z434" i="5"/>
  <c r="Z549" i="5"/>
  <c r="AB549" i="5" s="1"/>
  <c r="Z502" i="5"/>
  <c r="Z495" i="5"/>
  <c r="AB495" i="5" s="1"/>
  <c r="Z504" i="5"/>
  <c r="AB504" i="5" s="1"/>
  <c r="Z382" i="5"/>
  <c r="Z371" i="5"/>
  <c r="Z278" i="5"/>
  <c r="AA278" i="5" s="1"/>
  <c r="Z223" i="5"/>
  <c r="Z136" i="5"/>
  <c r="AB136" i="5" s="1"/>
  <c r="Z104" i="5"/>
  <c r="AB104" i="5" s="1"/>
  <c r="Z44" i="5"/>
  <c r="AB44" i="5" s="1"/>
  <c r="W20" i="5"/>
  <c r="W37" i="5"/>
  <c r="X37" i="5" s="1"/>
  <c r="W30" i="5"/>
  <c r="X30" i="5" s="1"/>
  <c r="W46" i="5"/>
  <c r="W32" i="5"/>
  <c r="Y32" i="5" s="1"/>
  <c r="W51" i="5"/>
  <c r="X51" i="5" s="1"/>
  <c r="W57" i="5"/>
  <c r="W71" i="5"/>
  <c r="W52" i="5"/>
  <c r="W68" i="5"/>
  <c r="X68" i="5" s="1"/>
  <c r="W48" i="5"/>
  <c r="X48" i="5" s="1"/>
  <c r="W62" i="5"/>
  <c r="W75" i="5"/>
  <c r="X75" i="5" s="1"/>
  <c r="W70" i="5"/>
  <c r="X70" i="5" s="1"/>
  <c r="W77" i="5"/>
  <c r="X77" i="5" s="1"/>
  <c r="W90" i="5"/>
  <c r="X90" i="5" s="1"/>
  <c r="W88" i="5"/>
  <c r="W82" i="5"/>
  <c r="X82" i="5" s="1"/>
  <c r="W104" i="5"/>
  <c r="Y104" i="5" s="1"/>
  <c r="W84" i="5"/>
  <c r="X84" i="5" s="1"/>
  <c r="W93" i="5"/>
  <c r="X93" i="5" s="1"/>
  <c r="W105" i="5"/>
  <c r="X105" i="5" s="1"/>
  <c r="W122" i="5"/>
  <c r="Y122" i="5" s="1"/>
  <c r="W146" i="5"/>
  <c r="Y146" i="5" s="1"/>
  <c r="W159" i="5"/>
  <c r="W121" i="5"/>
  <c r="X121" i="5" s="1"/>
  <c r="W136" i="5"/>
  <c r="Y136" i="5" s="1"/>
  <c r="W101" i="5"/>
  <c r="Y101" i="5" s="1"/>
  <c r="W117" i="5"/>
  <c r="Y117" i="5" s="1"/>
  <c r="W125" i="5"/>
  <c r="Y125" i="5" s="1"/>
  <c r="W135" i="5"/>
  <c r="Y135" i="5" s="1"/>
  <c r="W149" i="5"/>
  <c r="W155" i="5"/>
  <c r="W156" i="5"/>
  <c r="Y156" i="5" s="1"/>
  <c r="W166" i="5"/>
  <c r="Y166" i="5" s="1"/>
  <c r="W180" i="5"/>
  <c r="X180" i="5" s="1"/>
  <c r="W178" i="5"/>
  <c r="Y178" i="5" s="1"/>
  <c r="W124" i="5"/>
  <c r="Y124" i="5" s="1"/>
  <c r="W151" i="5"/>
  <c r="Y151" i="5" s="1"/>
  <c r="W170" i="5"/>
  <c r="Y170" i="5" s="1"/>
  <c r="W188" i="5"/>
  <c r="W205" i="5"/>
  <c r="X205" i="5" s="1"/>
  <c r="W195" i="5"/>
  <c r="Y195" i="5" s="1"/>
  <c r="W219" i="5"/>
  <c r="W237" i="5"/>
  <c r="X237" i="5" s="1"/>
  <c r="W247" i="5"/>
  <c r="Y247" i="5" s="1"/>
  <c r="W175" i="5"/>
  <c r="X175" i="5" s="1"/>
  <c r="W201" i="5"/>
  <c r="W215" i="5"/>
  <c r="W224" i="5"/>
  <c r="Y224" i="5" s="1"/>
  <c r="W245" i="5"/>
  <c r="X245" i="5" s="1"/>
  <c r="W212" i="5"/>
  <c r="Y212" i="5" s="1"/>
  <c r="W232" i="5"/>
  <c r="W129" i="5"/>
  <c r="Y129" i="5" s="1"/>
  <c r="W230" i="5"/>
  <c r="X230" i="5" s="1"/>
  <c r="W272" i="5"/>
  <c r="Y272" i="5" s="1"/>
  <c r="W286" i="5"/>
  <c r="W304" i="5"/>
  <c r="Y304" i="5" s="1"/>
  <c r="W317" i="5"/>
  <c r="Y317" i="5" s="1"/>
  <c r="W330" i="5"/>
  <c r="X330" i="5" s="1"/>
  <c r="W221" i="5"/>
  <c r="X221" i="5" s="1"/>
  <c r="W254" i="5"/>
  <c r="Y254" i="5" s="1"/>
  <c r="W263" i="5"/>
  <c r="Y263" i="5" s="1"/>
  <c r="W274" i="5"/>
  <c r="X274" i="5" s="1"/>
  <c r="W282" i="5"/>
  <c r="W306" i="5"/>
  <c r="Y306" i="5" s="1"/>
  <c r="W322" i="5"/>
  <c r="W185" i="5"/>
  <c r="X185" i="5" s="1"/>
  <c r="W258" i="5"/>
  <c r="X258" i="5" s="1"/>
  <c r="W291" i="5"/>
  <c r="Y291" i="5" s="1"/>
  <c r="W311" i="5"/>
  <c r="Y311" i="5" s="1"/>
  <c r="W325" i="5"/>
  <c r="Y325" i="5" s="1"/>
  <c r="W336" i="5"/>
  <c r="W347" i="5"/>
  <c r="X347" i="5" s="1"/>
  <c r="W271" i="5"/>
  <c r="Y271" i="5" s="1"/>
  <c r="W338" i="5"/>
  <c r="W352" i="5"/>
  <c r="X352" i="5" s="1"/>
  <c r="W368" i="5"/>
  <c r="Y368" i="5" s="1"/>
  <c r="W382" i="5"/>
  <c r="Y382" i="5" s="1"/>
  <c r="W399" i="5"/>
  <c r="X399" i="5" s="1"/>
  <c r="W413" i="5"/>
  <c r="W432" i="5"/>
  <c r="Y432" i="5" s="1"/>
  <c r="W264" i="5"/>
  <c r="X264" i="5" s="1"/>
  <c r="W334" i="5"/>
  <c r="W350" i="5"/>
  <c r="Y350" i="5" s="1"/>
  <c r="W25" i="5"/>
  <c r="Y25" i="5" s="1"/>
  <c r="W28" i="5"/>
  <c r="X28" i="5" s="1"/>
  <c r="W38" i="5"/>
  <c r="W24" i="5"/>
  <c r="Y24" i="5" s="1"/>
  <c r="W42" i="5"/>
  <c r="W47" i="5"/>
  <c r="X47" i="5" s="1"/>
  <c r="W61" i="5"/>
  <c r="X61" i="5" s="1"/>
  <c r="W36" i="5"/>
  <c r="Y36" i="5" s="1"/>
  <c r="W54" i="5"/>
  <c r="W26" i="5"/>
  <c r="X26" i="5" s="1"/>
  <c r="W56" i="5"/>
  <c r="W67" i="5"/>
  <c r="W55" i="5"/>
  <c r="X55" i="5" s="1"/>
  <c r="W80" i="5"/>
  <c r="W83" i="5"/>
  <c r="W78" i="5"/>
  <c r="W63" i="5"/>
  <c r="X63" i="5" s="1"/>
  <c r="W98" i="5"/>
  <c r="X98" i="5" s="1"/>
  <c r="W109" i="5"/>
  <c r="W89" i="5"/>
  <c r="W100" i="5"/>
  <c r="W114" i="5"/>
  <c r="Y114" i="5" s="1"/>
  <c r="W138" i="5"/>
  <c r="W157" i="5"/>
  <c r="X157" i="5" s="1"/>
  <c r="W113" i="5"/>
  <c r="W127" i="5"/>
  <c r="X127" i="5" s="1"/>
  <c r="W145" i="5"/>
  <c r="W111" i="5"/>
  <c r="W120" i="5"/>
  <c r="Y120" i="5" s="1"/>
  <c r="W133" i="5"/>
  <c r="Y133" i="5" s="1"/>
  <c r="W144" i="5"/>
  <c r="W153" i="5"/>
  <c r="W131" i="5"/>
  <c r="X131" i="5" s="1"/>
  <c r="W162" i="5"/>
  <c r="X162" i="5" s="1"/>
  <c r="W174" i="5"/>
  <c r="W173" i="5"/>
  <c r="W183" i="5"/>
  <c r="W142" i="5"/>
  <c r="X142" i="5" s="1"/>
  <c r="W165" i="5"/>
  <c r="Y165" i="5" s="1"/>
  <c r="W182" i="5"/>
  <c r="W199" i="5"/>
  <c r="W187" i="5"/>
  <c r="X187" i="5" s="1"/>
  <c r="W204" i="5"/>
  <c r="W228" i="5"/>
  <c r="W244" i="5"/>
  <c r="X244" i="5" s="1"/>
  <c r="W161" i="5"/>
  <c r="Y161" i="5" s="1"/>
  <c r="W198" i="5"/>
  <c r="W208" i="5"/>
  <c r="W220" i="5"/>
  <c r="X220" i="5" s="1"/>
  <c r="W234" i="5"/>
  <c r="X234" i="5" s="1"/>
  <c r="W193" i="5"/>
  <c r="W222" i="5"/>
  <c r="Y222" i="5" s="1"/>
  <c r="W242" i="5"/>
  <c r="W210" i="5"/>
  <c r="Y210" i="5" s="1"/>
  <c r="W262" i="5"/>
  <c r="W280" i="5"/>
  <c r="Y280" i="5" s="1"/>
  <c r="W294" i="5"/>
  <c r="W312" i="5"/>
  <c r="Y312" i="5" s="1"/>
  <c r="W326" i="5"/>
  <c r="X326" i="5" s="1"/>
  <c r="W192" i="5"/>
  <c r="W249" i="5"/>
  <c r="X249" i="5" s="1"/>
  <c r="W257" i="5"/>
  <c r="W270" i="5"/>
  <c r="W278" i="5"/>
  <c r="W295" i="5"/>
  <c r="Y295" i="5" s="1"/>
  <c r="W314" i="5"/>
  <c r="X314" i="5" s="1"/>
  <c r="W327" i="5"/>
  <c r="Y327" i="5" s="1"/>
  <c r="W250" i="5"/>
  <c r="W276" i="5"/>
  <c r="W299" i="5"/>
  <c r="X299" i="5" s="1"/>
  <c r="W316" i="5"/>
  <c r="Y316" i="5" s="1"/>
  <c r="W331" i="5"/>
  <c r="W344" i="5"/>
  <c r="W359" i="5"/>
  <c r="X359" i="5" s="1"/>
  <c r="W321" i="5"/>
  <c r="X321" i="5" s="1"/>
  <c r="W348" i="5"/>
  <c r="Y348" i="5" s="1"/>
  <c r="W358" i="5"/>
  <c r="X358" i="5" s="1"/>
  <c r="W374" i="5"/>
  <c r="X374" i="5" s="1"/>
  <c r="W392" i="5"/>
  <c r="W408" i="5"/>
  <c r="Y408" i="5" s="1"/>
  <c r="W419" i="5"/>
  <c r="X419" i="5" s="1"/>
  <c r="W233" i="5"/>
  <c r="X233" i="5" s="1"/>
  <c r="W303" i="5"/>
  <c r="Y303" i="5" s="1"/>
  <c r="W342" i="5"/>
  <c r="W362" i="5"/>
  <c r="Z485" i="5"/>
  <c r="Z532" i="5"/>
  <c r="Z464" i="5"/>
  <c r="Z529" i="5"/>
  <c r="AB529" i="5" s="1"/>
  <c r="Z535" i="5"/>
  <c r="Z448" i="5"/>
  <c r="Z538" i="5"/>
  <c r="Z469" i="5"/>
  <c r="AB469" i="5" s="1"/>
  <c r="Z246" i="5"/>
  <c r="AB246" i="5" s="1"/>
  <c r="Z463" i="5"/>
  <c r="Z313" i="5"/>
  <c r="Z474" i="5"/>
  <c r="AA474" i="5" s="1"/>
  <c r="Z415" i="5"/>
  <c r="AA415" i="5" s="1"/>
  <c r="Z350" i="5"/>
  <c r="Z401" i="5"/>
  <c r="Z431" i="5"/>
  <c r="AB431" i="5" s="1"/>
  <c r="Z334" i="5"/>
  <c r="AA334" i="5" s="1"/>
  <c r="Z317" i="5"/>
  <c r="Z271" i="5"/>
  <c r="AA271" i="5" s="1"/>
  <c r="Z226" i="5"/>
  <c r="Z182" i="5"/>
  <c r="AA182" i="5" s="1"/>
  <c r="Z186" i="5"/>
  <c r="Z150" i="5"/>
  <c r="AA150" i="5" s="1"/>
  <c r="Z95" i="5"/>
  <c r="AA95" i="5" s="1"/>
  <c r="Z52" i="5"/>
  <c r="AA52" i="5" s="1"/>
  <c r="Z43" i="5"/>
  <c r="Z19" i="5"/>
  <c r="AA19" i="5" s="1"/>
  <c r="Z554" i="5"/>
  <c r="Z514" i="5"/>
  <c r="Z436" i="5"/>
  <c r="AB436" i="5" s="1"/>
  <c r="Z501" i="5"/>
  <c r="Z555" i="5"/>
  <c r="AA555" i="5" s="1"/>
  <c r="Z342" i="5"/>
  <c r="Z513" i="5"/>
  <c r="Z443" i="5"/>
  <c r="AB443" i="5" s="1"/>
  <c r="Z509" i="5"/>
  <c r="AA509" i="5" s="1"/>
  <c r="Z446" i="5"/>
  <c r="Z525" i="5"/>
  <c r="Z453" i="5"/>
  <c r="AA453" i="5" s="1"/>
  <c r="Z397" i="5"/>
  <c r="AB397" i="5" s="1"/>
  <c r="Z328" i="5"/>
  <c r="Z384" i="5"/>
  <c r="AA384" i="5" s="1"/>
  <c r="Z390" i="5"/>
  <c r="AA390" i="5" s="1"/>
  <c r="Z295" i="5"/>
  <c r="Z272" i="5"/>
  <c r="Z216" i="5"/>
  <c r="Z169" i="5"/>
  <c r="Z178" i="5"/>
  <c r="AB178" i="5" s="1"/>
  <c r="Z137" i="5"/>
  <c r="Z120" i="5"/>
  <c r="AB120" i="5" s="1"/>
  <c r="Z76" i="5"/>
  <c r="Z58" i="5"/>
  <c r="Z528" i="5"/>
  <c r="AA528" i="5" s="1"/>
  <c r="Z456" i="5"/>
  <c r="Z546" i="5"/>
  <c r="AB546" i="5" s="1"/>
  <c r="Z527" i="5"/>
  <c r="AA527" i="5" s="1"/>
  <c r="Z490" i="5"/>
  <c r="Z460" i="5"/>
  <c r="Z545" i="5"/>
  <c r="AB545" i="5" s="1"/>
  <c r="Z523" i="5"/>
  <c r="Z475" i="5"/>
  <c r="Z560" i="5"/>
  <c r="Z526" i="5"/>
  <c r="Z433" i="5"/>
  <c r="Z557" i="5"/>
  <c r="Z536" i="5"/>
  <c r="Z499" i="5"/>
  <c r="AB499" i="5" s="1"/>
  <c r="Z466" i="5"/>
  <c r="Z427" i="5"/>
  <c r="Z521" i="5"/>
  <c r="Z484" i="5"/>
  <c r="Z461" i="5"/>
  <c r="Z405" i="5"/>
  <c r="Z258" i="5"/>
  <c r="AA258" i="5" s="1"/>
  <c r="Z500" i="5"/>
  <c r="Z468" i="5"/>
  <c r="AA468" i="5" s="1"/>
  <c r="Z391" i="5"/>
  <c r="AB391" i="5" s="1"/>
  <c r="Z406" i="5"/>
  <c r="Z378" i="5"/>
  <c r="Z348" i="5"/>
  <c r="AA348" i="5" s="1"/>
  <c r="Z266" i="5"/>
  <c r="AB266" i="5" s="1"/>
  <c r="Z399" i="5"/>
  <c r="AA399" i="5" s="1"/>
  <c r="Z370" i="5"/>
  <c r="Z423" i="5"/>
  <c r="AB423" i="5" s="1"/>
  <c r="Z363" i="5"/>
  <c r="AA363" i="5" s="1"/>
  <c r="Z322" i="5"/>
  <c r="AA322" i="5" s="1"/>
  <c r="Z273" i="5"/>
  <c r="AB273" i="5" s="1"/>
  <c r="Z298" i="5"/>
  <c r="AA298" i="5" s="1"/>
  <c r="Z323" i="5"/>
  <c r="AA323" i="5" s="1"/>
  <c r="Z261" i="5"/>
  <c r="AB261" i="5" s="1"/>
  <c r="Z215" i="5"/>
  <c r="AB215" i="5" s="1"/>
  <c r="Z205" i="5"/>
  <c r="Z235" i="5"/>
  <c r="AA235" i="5" s="1"/>
  <c r="Z207" i="5"/>
  <c r="Z109" i="5"/>
  <c r="AA109" i="5" s="1"/>
  <c r="Z172" i="5"/>
  <c r="AB172" i="5" s="1"/>
  <c r="Z152" i="5"/>
  <c r="AB152" i="5" s="1"/>
  <c r="Z144" i="5"/>
  <c r="AA144" i="5" s="1"/>
  <c r="Z105" i="5"/>
  <c r="AA105" i="5" s="1"/>
  <c r="Z84" i="5"/>
  <c r="AB84" i="5" s="1"/>
  <c r="Z71" i="5"/>
  <c r="Z69" i="5"/>
  <c r="Z30" i="5"/>
  <c r="AB30" i="5" s="1"/>
  <c r="Z47" i="5"/>
  <c r="Z35" i="5"/>
  <c r="Z46" i="5"/>
  <c r="AB46" i="5" s="1"/>
  <c r="Z73" i="5"/>
  <c r="AA73" i="5" s="1"/>
  <c r="Z53" i="5"/>
  <c r="Z77" i="5"/>
  <c r="Z42" i="5"/>
  <c r="AB42" i="5" s="1"/>
  <c r="Z87" i="5"/>
  <c r="AB87" i="5" s="1"/>
  <c r="Z88" i="5"/>
  <c r="Z97" i="5"/>
  <c r="Z111" i="5"/>
  <c r="AB111" i="5" s="1"/>
  <c r="Z131" i="5"/>
  <c r="Z153" i="5"/>
  <c r="AB153" i="5" s="1"/>
  <c r="Z130" i="5"/>
  <c r="AA130" i="5" s="1"/>
  <c r="Z100" i="5"/>
  <c r="AA100" i="5" s="1"/>
  <c r="Z151" i="5"/>
  <c r="AB151" i="5" s="1"/>
  <c r="Z99" i="5"/>
  <c r="Z174" i="5"/>
  <c r="AA174" i="5" s="1"/>
  <c r="Z145" i="5"/>
  <c r="AB145" i="5" s="1"/>
  <c r="Z193" i="5"/>
  <c r="AA193" i="5" s="1"/>
  <c r="Z190" i="5"/>
  <c r="Z222" i="5"/>
  <c r="AB222" i="5" s="1"/>
  <c r="Z250" i="5"/>
  <c r="AA250" i="5" s="1"/>
  <c r="Z194" i="5"/>
  <c r="AB194" i="5" s="1"/>
  <c r="Z228" i="5"/>
  <c r="Z200" i="5"/>
  <c r="AB200" i="5" s="1"/>
  <c r="Z224" i="5"/>
  <c r="AB224" i="5" s="1"/>
  <c r="Z247" i="5"/>
  <c r="Z281" i="5"/>
  <c r="Z305" i="5"/>
  <c r="AA305" i="5" s="1"/>
  <c r="Z248" i="5"/>
  <c r="AB248" i="5" s="1"/>
  <c r="Z284" i="5"/>
  <c r="AB284" i="5" s="1"/>
  <c r="Z326" i="5"/>
  <c r="Z260" i="5"/>
  <c r="AA260" i="5" s="1"/>
  <c r="Z279" i="5"/>
  <c r="Z312" i="5"/>
  <c r="AA312" i="5" s="1"/>
  <c r="Z337" i="5"/>
  <c r="AA337" i="5" s="1"/>
  <c r="Z318" i="5"/>
  <c r="Z375" i="5"/>
  <c r="Z414" i="5"/>
  <c r="AB414" i="5" s="1"/>
  <c r="Z435" i="5"/>
  <c r="Z338" i="5"/>
  <c r="AB338" i="5" s="1"/>
  <c r="Z377" i="5"/>
  <c r="Z392" i="5"/>
  <c r="Z408" i="5"/>
  <c r="Z419" i="5"/>
  <c r="AA419" i="5" s="1"/>
  <c r="Z311" i="5"/>
  <c r="Z344" i="5"/>
  <c r="Z356" i="5"/>
  <c r="Z366" i="5"/>
  <c r="Z388" i="5"/>
  <c r="Z400" i="5"/>
  <c r="Z420" i="5"/>
  <c r="Z367" i="5"/>
  <c r="Z437" i="5"/>
  <c r="Z459" i="5"/>
  <c r="Z477" i="5"/>
  <c r="Z492" i="5"/>
  <c r="Z505" i="5"/>
  <c r="Z537" i="5"/>
  <c r="Z341" i="5"/>
  <c r="AB341" i="5" s="1"/>
  <c r="Z393" i="5"/>
  <c r="Z432" i="5"/>
  <c r="Z454" i="5"/>
  <c r="Z465" i="5"/>
  <c r="Z476" i="5"/>
  <c r="AB476" i="5" s="1"/>
  <c r="Z503" i="5"/>
  <c r="Z519" i="5"/>
  <c r="Z327" i="5"/>
  <c r="Z407" i="5"/>
  <c r="AB407" i="5" s="1"/>
  <c r="Z429" i="5"/>
  <c r="Z450" i="5"/>
  <c r="Z481" i="5"/>
  <c r="AB481" i="5" s="1"/>
  <c r="Z493" i="5"/>
  <c r="Z508" i="5"/>
  <c r="Z522" i="5"/>
  <c r="AA522" i="5" s="1"/>
  <c r="Z539" i="5"/>
  <c r="Z548" i="5"/>
  <c r="Z316" i="5"/>
  <c r="Z362" i="5"/>
  <c r="Z458" i="5"/>
  <c r="Z31" i="5"/>
  <c r="AA31" i="5" s="1"/>
  <c r="Z20" i="5"/>
  <c r="AA20" i="5" s="1"/>
  <c r="Z29" i="5"/>
  <c r="AB29" i="5" s="1"/>
  <c r="Z39" i="5"/>
  <c r="AA39" i="5" s="1"/>
  <c r="Z60" i="5"/>
  <c r="AB60" i="5" s="1"/>
  <c r="Z61" i="5"/>
  <c r="AA61" i="5" s="1"/>
  <c r="Z65" i="5"/>
  <c r="AB65" i="5" s="1"/>
  <c r="Z70" i="5"/>
  <c r="Z83" i="5"/>
  <c r="AB83" i="5" s="1"/>
  <c r="Z108" i="5"/>
  <c r="AA108" i="5" s="1"/>
  <c r="Z103" i="5"/>
  <c r="AA103" i="5" s="1"/>
  <c r="Z118" i="5"/>
  <c r="AB118" i="5" s="1"/>
  <c r="Z140" i="5"/>
  <c r="AB140" i="5" s="1"/>
  <c r="Z161" i="5"/>
  <c r="AB161" i="5" s="1"/>
  <c r="Z146" i="5"/>
  <c r="AA146" i="5" s="1"/>
  <c r="Z129" i="5"/>
  <c r="Z167" i="5"/>
  <c r="AB167" i="5" s="1"/>
  <c r="Z159" i="5"/>
  <c r="AB159" i="5" s="1"/>
  <c r="Z106" i="5"/>
  <c r="AA106" i="5" s="1"/>
  <c r="Z177" i="5"/>
  <c r="Z203" i="5"/>
  <c r="AB203" i="5" s="1"/>
  <c r="Z206" i="5"/>
  <c r="Z233" i="5"/>
  <c r="AA233" i="5" s="1"/>
  <c r="Z132" i="5"/>
  <c r="Z204" i="5"/>
  <c r="AB204" i="5" s="1"/>
  <c r="Z241" i="5"/>
  <c r="AB241" i="5" s="1"/>
  <c r="Z209" i="5"/>
  <c r="Z239" i="5"/>
  <c r="Z259" i="5"/>
  <c r="Z291" i="5"/>
  <c r="AA291" i="5" s="1"/>
  <c r="Z321" i="5"/>
  <c r="AA321" i="5" s="1"/>
  <c r="Z268" i="5"/>
  <c r="Z294" i="5"/>
  <c r="AB294" i="5" s="1"/>
  <c r="Z212" i="5"/>
  <c r="AB212" i="5" s="1"/>
  <c r="Z270" i="5"/>
  <c r="AA270" i="5" s="1"/>
  <c r="Z289" i="5"/>
  <c r="Z320" i="5"/>
  <c r="Z351" i="5"/>
  <c r="Z347" i="5"/>
  <c r="AB347" i="5" s="1"/>
  <c r="Z385" i="5"/>
  <c r="Z422" i="5"/>
  <c r="AB422" i="5" s="1"/>
  <c r="Z442" i="5"/>
  <c r="Z360" i="5"/>
  <c r="Z380" i="5"/>
  <c r="Z395" i="5"/>
  <c r="Z412" i="5"/>
  <c r="AB412" i="5" s="1"/>
  <c r="Z251" i="5"/>
  <c r="Z325" i="5"/>
  <c r="AA325" i="5" s="1"/>
  <c r="Z345" i="5"/>
  <c r="Z358" i="5"/>
  <c r="AB358" i="5" s="1"/>
  <c r="Z374" i="5"/>
  <c r="AB374" i="5" s="1"/>
  <c r="Z394" i="5"/>
  <c r="Z403" i="5"/>
  <c r="AA403" i="5" s="1"/>
  <c r="Z421" i="5"/>
  <c r="Z376" i="5"/>
  <c r="Z452" i="5"/>
  <c r="Z462" i="5"/>
  <c r="Z478" i="5"/>
  <c r="Z498" i="5"/>
  <c r="Z507" i="5"/>
  <c r="Z189" i="5"/>
  <c r="Z355" i="5"/>
  <c r="Z396" i="5"/>
  <c r="Z444" i="5"/>
  <c r="AA444" i="5" s="1"/>
  <c r="Z455" i="5"/>
  <c r="Z467" i="5"/>
  <c r="Z479" i="5"/>
  <c r="Z506" i="5"/>
  <c r="Z520" i="5"/>
  <c r="Z349" i="5"/>
  <c r="Z410" i="5"/>
  <c r="Z441" i="5"/>
  <c r="Z451" i="5"/>
  <c r="AA451" i="5" s="1"/>
  <c r="Z487" i="5"/>
  <c r="Z494" i="5"/>
  <c r="Z510" i="5"/>
  <c r="Z530" i="5"/>
  <c r="Z541" i="5"/>
  <c r="Z553" i="5"/>
  <c r="Z340" i="5"/>
  <c r="Z368" i="5"/>
  <c r="AA368" i="5" s="1"/>
  <c r="Z472" i="5"/>
  <c r="Z533" i="5"/>
  <c r="Z558" i="5"/>
  <c r="Z447" i="5"/>
  <c r="Z517" i="5"/>
  <c r="Z409" i="5"/>
  <c r="Z542" i="5"/>
  <c r="Z524" i="5"/>
  <c r="Z483" i="5"/>
  <c r="Z438" i="5"/>
  <c r="Z547" i="5"/>
  <c r="Z515" i="5"/>
  <c r="Z471" i="5"/>
  <c r="Z556" i="5"/>
  <c r="Z516" i="5"/>
  <c r="Z354" i="5"/>
  <c r="Z544" i="5"/>
  <c r="AB544" i="5" s="1"/>
  <c r="Z518" i="5"/>
  <c r="AB518" i="5" s="1"/>
  <c r="Z489" i="5"/>
  <c r="AB489" i="5" s="1"/>
  <c r="Z445" i="5"/>
  <c r="Z386" i="5"/>
  <c r="Z511" i="5"/>
  <c r="AB511" i="5" s="1"/>
  <c r="Z473" i="5"/>
  <c r="Z449" i="5"/>
  <c r="Z387" i="5"/>
  <c r="AA387" i="5" s="1"/>
  <c r="Z531" i="5"/>
  <c r="Z486" i="5"/>
  <c r="AA486" i="5" s="1"/>
  <c r="Z457" i="5"/>
  <c r="Z299" i="5"/>
  <c r="Z398" i="5"/>
  <c r="AB398" i="5" s="1"/>
  <c r="Z364" i="5"/>
  <c r="AB364" i="5" s="1"/>
  <c r="Z336" i="5"/>
  <c r="Z416" i="5"/>
  <c r="AA416" i="5" s="1"/>
  <c r="Z389" i="5"/>
  <c r="AA389" i="5" s="1"/>
  <c r="Z335" i="5"/>
  <c r="AA335" i="5" s="1"/>
  <c r="Z411" i="5"/>
  <c r="Z304" i="5"/>
  <c r="AB304" i="5" s="1"/>
  <c r="Z306" i="5"/>
  <c r="Z257" i="5"/>
  <c r="AA257" i="5" s="1"/>
  <c r="Z283" i="5"/>
  <c r="Z303" i="5"/>
  <c r="AB303" i="5" s="1"/>
  <c r="Z245" i="5"/>
  <c r="Z199" i="5"/>
  <c r="AB199" i="5" s="1"/>
  <c r="Z188" i="5"/>
  <c r="AB188" i="5" s="1"/>
  <c r="Z221" i="5"/>
  <c r="AA221" i="5" s="1"/>
  <c r="Z187" i="5"/>
  <c r="AA187" i="5" s="1"/>
  <c r="Z168" i="5"/>
  <c r="AB168" i="5" s="1"/>
  <c r="Z148" i="5"/>
  <c r="Z122" i="5"/>
  <c r="AA122" i="5" s="1"/>
  <c r="Z128" i="5"/>
  <c r="Z96" i="5"/>
  <c r="AA96" i="5" s="1"/>
  <c r="Z85" i="5"/>
  <c r="Z56" i="5"/>
  <c r="AB56" i="5" s="1"/>
  <c r="Z66" i="5"/>
  <c r="Z26" i="5"/>
  <c r="AA26" i="5" s="1"/>
  <c r="Z36" i="5"/>
  <c r="AB36" i="5" s="1"/>
  <c r="Z48" i="5"/>
  <c r="Z23" i="5"/>
  <c r="Z37" i="5"/>
  <c r="Z33" i="5"/>
  <c r="Z21" i="5"/>
  <c r="Z59" i="5"/>
  <c r="AA59" i="5" s="1"/>
  <c r="Z24" i="5"/>
  <c r="Z45" i="5"/>
  <c r="AA45" i="5" s="1"/>
  <c r="Z54" i="5"/>
  <c r="Z68" i="5"/>
  <c r="AA68" i="5" s="1"/>
  <c r="Z78" i="5"/>
  <c r="Z72" i="5"/>
  <c r="Z50" i="5"/>
  <c r="Z80" i="5"/>
  <c r="AB80" i="5" s="1"/>
  <c r="Z91" i="5"/>
  <c r="AA91" i="5" s="1"/>
  <c r="Z90" i="5"/>
  <c r="AB90" i="5" s="1"/>
  <c r="Z89" i="5"/>
  <c r="Z74" i="5"/>
  <c r="AA74" i="5" s="1"/>
  <c r="Z98" i="5"/>
  <c r="AA98" i="5" s="1"/>
  <c r="Z107" i="5"/>
  <c r="Z116" i="5"/>
  <c r="Z123" i="5"/>
  <c r="AA123" i="5" s="1"/>
  <c r="Z133" i="5"/>
  <c r="AA133" i="5" s="1"/>
  <c r="Z147" i="5"/>
  <c r="AA147" i="5" s="1"/>
  <c r="Z154" i="5"/>
  <c r="Z114" i="5"/>
  <c r="AB114" i="5" s="1"/>
  <c r="Z134" i="5"/>
  <c r="Z157" i="5"/>
  <c r="AA157" i="5" s="1"/>
  <c r="Z112" i="5"/>
  <c r="Z139" i="5"/>
  <c r="AA139" i="5" s="1"/>
  <c r="Z156" i="5"/>
  <c r="Z175" i="5"/>
  <c r="Z115" i="5"/>
  <c r="Z164" i="5"/>
  <c r="AB164" i="5" s="1"/>
  <c r="Z176" i="5"/>
  <c r="AB176" i="5" s="1"/>
  <c r="Z121" i="5"/>
  <c r="Z171" i="5"/>
  <c r="AB171" i="5" s="1"/>
  <c r="Z179" i="5"/>
  <c r="AA179" i="5" s="1"/>
  <c r="Z195" i="5"/>
  <c r="Z113" i="5"/>
  <c r="Z191" i="5"/>
  <c r="Z213" i="5"/>
  <c r="AA213" i="5" s="1"/>
  <c r="Z225" i="5"/>
  <c r="Z236" i="5"/>
  <c r="AA236" i="5" s="1"/>
  <c r="Z252" i="5"/>
  <c r="AB252" i="5" s="1"/>
  <c r="Z181" i="5"/>
  <c r="AA181" i="5" s="1"/>
  <c r="Z197" i="5"/>
  <c r="AB197" i="5" s="1"/>
  <c r="Z214" i="5"/>
  <c r="AA214" i="5" s="1"/>
  <c r="Z231" i="5"/>
  <c r="Z163" i="5"/>
  <c r="Z201" i="5"/>
  <c r="Z218" i="5"/>
  <c r="Z227" i="5"/>
  <c r="Z238" i="5"/>
  <c r="Z253" i="5"/>
  <c r="Z264" i="5"/>
  <c r="AB264" i="5" s="1"/>
  <c r="Z285" i="5"/>
  <c r="Z300" i="5"/>
  <c r="Z307" i="5"/>
  <c r="AA307" i="5" s="1"/>
  <c r="Z331" i="5"/>
  <c r="AB331" i="5" s="1"/>
  <c r="Z262" i="5"/>
  <c r="AB262" i="5" s="1"/>
  <c r="Z275" i="5"/>
  <c r="AB275" i="5" s="1"/>
  <c r="Z290" i="5"/>
  <c r="Z309" i="5"/>
  <c r="Z329" i="5"/>
  <c r="Z254" i="5"/>
  <c r="Z263" i="5"/>
  <c r="Z274" i="5"/>
  <c r="AB274" i="5" s="1"/>
  <c r="Z282" i="5"/>
  <c r="Z297" i="5"/>
  <c r="AA297" i="5" s="1"/>
  <c r="Z314" i="5"/>
  <c r="AA314" i="5" s="1"/>
  <c r="Z324" i="5"/>
  <c r="Z339" i="5"/>
  <c r="Z361" i="5"/>
  <c r="AA361" i="5" s="1"/>
  <c r="Z333" i="5"/>
  <c r="Z365" i="5"/>
  <c r="Z379" i="5"/>
  <c r="Z402" i="5"/>
  <c r="Z417" i="5"/>
  <c r="Z425" i="5"/>
  <c r="Z439" i="5"/>
  <c r="AB439" i="5" s="1"/>
  <c r="Z286" i="5"/>
  <c r="AB286" i="5" s="1"/>
  <c r="Z352" i="5"/>
  <c r="Z27" i="5"/>
  <c r="Z40" i="5"/>
  <c r="AA40" i="5" s="1"/>
  <c r="Z49" i="5"/>
  <c r="Z25" i="5"/>
  <c r="AB25" i="5" s="1"/>
  <c r="Z41" i="5"/>
  <c r="Z38" i="5"/>
  <c r="AB38" i="5" s="1"/>
  <c r="Z28" i="5"/>
  <c r="AB28" i="5" s="1"/>
  <c r="Z63" i="5"/>
  <c r="AB63" i="5" s="1"/>
  <c r="Z55" i="5"/>
  <c r="AB55" i="5" s="1"/>
  <c r="Z51" i="5"/>
  <c r="AB51" i="5" s="1"/>
  <c r="Z57" i="5"/>
  <c r="Z32" i="5"/>
  <c r="AA32" i="5" s="1"/>
  <c r="Z62" i="5"/>
  <c r="Z75" i="5"/>
  <c r="Z67" i="5"/>
  <c r="AB67" i="5" s="1"/>
  <c r="Z82" i="5"/>
  <c r="AB82" i="5" s="1"/>
  <c r="Z93" i="5"/>
  <c r="AB93" i="5" s="1"/>
  <c r="Z92" i="5"/>
  <c r="AA92" i="5" s="1"/>
  <c r="Z101" i="5"/>
  <c r="Z86" i="5"/>
  <c r="Z102" i="5"/>
  <c r="AA102" i="5" s="1"/>
  <c r="Z81" i="5"/>
  <c r="AB81" i="5" s="1"/>
  <c r="Z117" i="5"/>
  <c r="AA117" i="5" s="1"/>
  <c r="Z125" i="5"/>
  <c r="AB125" i="5" s="1"/>
  <c r="Z135" i="5"/>
  <c r="Z149" i="5"/>
  <c r="AB149" i="5" s="1"/>
  <c r="Z155" i="5"/>
  <c r="Z119" i="5"/>
  <c r="Z138" i="5"/>
  <c r="AA138" i="5" s="1"/>
  <c r="Z158" i="5"/>
  <c r="Z124" i="5"/>
  <c r="AA124" i="5" s="1"/>
  <c r="Z142" i="5"/>
  <c r="Z141" i="5"/>
  <c r="AA141" i="5" s="1"/>
  <c r="Z185" i="5"/>
  <c r="AA185" i="5" s="1"/>
  <c r="Z143" i="5"/>
  <c r="Z166" i="5"/>
  <c r="AB166" i="5" s="1"/>
  <c r="Z180" i="5"/>
  <c r="Z127" i="5"/>
  <c r="Z173" i="5"/>
  <c r="Z183" i="5"/>
  <c r="Z196" i="5"/>
  <c r="Z170" i="5"/>
  <c r="AA170" i="5" s="1"/>
  <c r="Z192" i="5"/>
  <c r="Z217" i="5"/>
  <c r="Z230" i="5"/>
  <c r="Z240" i="5"/>
  <c r="AB240" i="5" s="1"/>
  <c r="Z126" i="5"/>
  <c r="AB126" i="5" s="1"/>
  <c r="Z184" i="5"/>
  <c r="AB184" i="5" s="1"/>
  <c r="Z202" i="5"/>
  <c r="Z219" i="5"/>
  <c r="Z237" i="5"/>
  <c r="Z198" i="5"/>
  <c r="Z208" i="5"/>
  <c r="Z220" i="5"/>
  <c r="AB220" i="5" s="1"/>
  <c r="Z234" i="5"/>
  <c r="AB234" i="5" s="1"/>
  <c r="Z242" i="5"/>
  <c r="AA242" i="5" s="1"/>
  <c r="Z256" i="5"/>
  <c r="Z269" i="5"/>
  <c r="Z288" i="5"/>
  <c r="Z302" i="5"/>
  <c r="AA302" i="5" s="1"/>
  <c r="Z310" i="5"/>
  <c r="Z165" i="5"/>
  <c r="Z267" i="5"/>
  <c r="Z280" i="5"/>
  <c r="AA280" i="5" s="1"/>
  <c r="Z293" i="5"/>
  <c r="Z315" i="5"/>
  <c r="Z330" i="5"/>
  <c r="Z255" i="5"/>
  <c r="AB255" i="5" s="1"/>
  <c r="Z265" i="5"/>
  <c r="AB265" i="5" s="1"/>
  <c r="Z277" i="5"/>
  <c r="AB277" i="5" s="1"/>
  <c r="Z287" i="5"/>
  <c r="Z301" i="5"/>
  <c r="Z319" i="5"/>
  <c r="Z332" i="5"/>
  <c r="Z346" i="5"/>
  <c r="Z243" i="5"/>
  <c r="AB243" i="5" s="1"/>
  <c r="Z343" i="5"/>
  <c r="AA343" i="5" s="1"/>
  <c r="Z369" i="5"/>
  <c r="AB369" i="5" s="1"/>
  <c r="Z383" i="5"/>
  <c r="AB383" i="5" s="1"/>
  <c r="Z404" i="5"/>
  <c r="AA404" i="5" s="1"/>
  <c r="Z418" i="5"/>
  <c r="Z430" i="5"/>
  <c r="Z440" i="5"/>
  <c r="Z292" i="5"/>
  <c r="AA292" i="5" s="1"/>
  <c r="Z357" i="5"/>
  <c r="V8" i="4" l="1"/>
  <c r="Y8" i="4" s="1"/>
  <c r="AI8" i="4" s="1"/>
  <c r="B144" i="2"/>
  <c r="V41" i="1" s="1"/>
  <c r="B136" i="2"/>
  <c r="N41" i="1" s="1"/>
  <c r="B128" i="2"/>
  <c r="H41" i="1" s="1"/>
  <c r="AB12" i="10"/>
  <c r="AB521" i="10"/>
  <c r="AB280" i="10"/>
  <c r="AA164" i="10"/>
  <c r="AB76" i="10"/>
  <c r="AA182" i="10"/>
  <c r="AB348" i="10"/>
  <c r="AB268" i="10"/>
  <c r="AB193" i="10"/>
  <c r="AA423" i="10"/>
  <c r="AA488" i="10"/>
  <c r="V112" i="4"/>
  <c r="W112" i="4" s="1"/>
  <c r="V156" i="4"/>
  <c r="Z156" i="4" s="1"/>
  <c r="V146" i="4"/>
  <c r="W146" i="4" s="1"/>
  <c r="V107" i="4"/>
  <c r="Y107" i="4" s="1"/>
  <c r="AI107" i="4" s="1"/>
  <c r="V62" i="4"/>
  <c r="W62" i="4" s="1"/>
  <c r="V67" i="4"/>
  <c r="W67" i="4" s="1"/>
  <c r="V152" i="4"/>
  <c r="W152" i="4" s="1"/>
  <c r="V69" i="4"/>
  <c r="W69" i="4" s="1"/>
  <c r="V137" i="4"/>
  <c r="W137" i="4" s="1"/>
  <c r="V84" i="4"/>
  <c r="Y84" i="4" s="1"/>
  <c r="V133" i="4"/>
  <c r="V147" i="4"/>
  <c r="Y147" i="4" s="1"/>
  <c r="V56" i="4"/>
  <c r="V129" i="4"/>
  <c r="Y129" i="4" s="1"/>
  <c r="V100" i="4"/>
  <c r="Y100" i="4" s="1"/>
  <c r="V54" i="4"/>
  <c r="W54" i="4" s="1"/>
  <c r="V47" i="4"/>
  <c r="W47" i="4" s="1"/>
  <c r="V39" i="4"/>
  <c r="V57" i="4"/>
  <c r="Y57" i="4" s="1"/>
  <c r="V74" i="4"/>
  <c r="Y74" i="4" s="1"/>
  <c r="V150" i="4"/>
  <c r="W150" i="4" s="1"/>
  <c r="V89" i="4"/>
  <c r="Y89" i="4" s="1"/>
  <c r="V50" i="4"/>
  <c r="Y50" i="4" s="1"/>
  <c r="V40" i="4"/>
  <c r="Y40" i="4" s="1"/>
  <c r="V143" i="4"/>
  <c r="Z143" i="4" s="1"/>
  <c r="V140" i="4"/>
  <c r="Z140" i="4" s="1"/>
  <c r="V145" i="4"/>
  <c r="W145" i="4" s="1"/>
  <c r="V113" i="4"/>
  <c r="W113" i="4" s="1"/>
  <c r="V126" i="4"/>
  <c r="W126" i="4" s="1"/>
  <c r="V131" i="4"/>
  <c r="Y131" i="4" s="1"/>
  <c r="V120" i="4"/>
  <c r="Y120" i="4" s="1"/>
  <c r="V111" i="4"/>
  <c r="W111" i="4" s="1"/>
  <c r="V75" i="4"/>
  <c r="V132" i="4"/>
  <c r="Y132" i="4" s="1"/>
  <c r="V79" i="4"/>
  <c r="W79" i="4" s="1"/>
  <c r="V64" i="4"/>
  <c r="W64" i="4" s="1"/>
  <c r="V52" i="4"/>
  <c r="W52" i="4" s="1"/>
  <c r="V157" i="4"/>
  <c r="Z157" i="4" s="1"/>
  <c r="V59" i="4"/>
  <c r="Z59" i="4" s="1"/>
  <c r="V102" i="4"/>
  <c r="W102" i="4" s="1"/>
  <c r="V122" i="4"/>
  <c r="Z122" i="4" s="1"/>
  <c r="V88" i="4"/>
  <c r="Y88" i="4" s="1"/>
  <c r="V142" i="4"/>
  <c r="W142" i="4" s="1"/>
  <c r="V76" i="4"/>
  <c r="Y76" i="4" s="1"/>
  <c r="V81" i="4"/>
  <c r="W81" i="4" s="1"/>
  <c r="V91" i="4"/>
  <c r="W91" i="4" s="1"/>
  <c r="V37" i="4"/>
  <c r="W37" i="4" s="1"/>
  <c r="V124" i="4"/>
  <c r="Z124" i="4" s="1"/>
  <c r="V108" i="4"/>
  <c r="Z108" i="4" s="1"/>
  <c r="V130" i="4"/>
  <c r="W130" i="4" s="1"/>
  <c r="V68" i="4"/>
  <c r="Y68" i="4" s="1"/>
  <c r="V41" i="4"/>
  <c r="V65" i="4"/>
  <c r="W65" i="4" s="1"/>
  <c r="V114" i="4"/>
  <c r="Y114" i="4" s="1"/>
  <c r="V92" i="4"/>
  <c r="Y92" i="4" s="1"/>
  <c r="V106" i="4"/>
  <c r="W106" i="4" s="1"/>
  <c r="V104" i="4"/>
  <c r="W104" i="4" s="1"/>
  <c r="V82" i="4"/>
  <c r="Z82" i="4" s="1"/>
  <c r="V123" i="4"/>
  <c r="W123" i="4" s="1"/>
  <c r="V155" i="4"/>
  <c r="Y155" i="4" s="1"/>
  <c r="V94" i="4"/>
  <c r="Z94" i="4" s="1"/>
  <c r="V60" i="4"/>
  <c r="Y60" i="4" s="1"/>
  <c r="V45" i="4"/>
  <c r="Y45" i="4" s="1"/>
  <c r="V61" i="4"/>
  <c r="Y61" i="4" s="1"/>
  <c r="V90" i="4"/>
  <c r="W90" i="4" s="1"/>
  <c r="V154" i="4"/>
  <c r="W154" i="4" s="1"/>
  <c r="V46" i="4"/>
  <c r="W46" i="4" s="1"/>
  <c r="V110" i="4"/>
  <c r="W110" i="4" s="1"/>
  <c r="V97" i="4"/>
  <c r="W97" i="4" s="1"/>
  <c r="V153" i="4"/>
  <c r="Y153" i="4" s="1"/>
  <c r="V116" i="4"/>
  <c r="W116" i="4" s="1"/>
  <c r="AB468" i="10"/>
  <c r="AA243" i="10"/>
  <c r="AB249" i="10"/>
  <c r="AB151" i="10"/>
  <c r="AB401" i="10"/>
  <c r="AA526" i="10"/>
  <c r="AB7" i="10"/>
  <c r="AB357" i="10"/>
  <c r="AA252" i="10"/>
  <c r="AB200" i="10"/>
  <c r="AB319" i="10"/>
  <c r="AB396" i="10"/>
  <c r="AA194" i="10"/>
  <c r="AA361" i="10"/>
  <c r="AB473" i="10"/>
  <c r="AA444" i="10"/>
  <c r="AB72" i="10"/>
  <c r="AB125" i="10"/>
  <c r="W25" i="4"/>
  <c r="X25" i="4" s="1"/>
  <c r="W55" i="4"/>
  <c r="X55" i="4" s="1"/>
  <c r="W20" i="4"/>
  <c r="W14" i="4"/>
  <c r="X14" i="4" s="1"/>
  <c r="W21" i="4"/>
  <c r="Y11" i="4"/>
  <c r="W15" i="4"/>
  <c r="W13" i="4"/>
  <c r="X13" i="4" s="1"/>
  <c r="W36" i="4"/>
  <c r="X36" i="4" s="1"/>
  <c r="W17" i="4"/>
  <c r="W19" i="4"/>
  <c r="W34" i="4"/>
  <c r="W29" i="4"/>
  <c r="X29" i="4" s="1"/>
  <c r="W63" i="4"/>
  <c r="X63" i="4" s="1"/>
  <c r="W9" i="4"/>
  <c r="W12" i="4"/>
  <c r="W10" i="4"/>
  <c r="W27" i="4"/>
  <c r="Y28" i="4"/>
  <c r="Y38" i="4"/>
  <c r="W71" i="4"/>
  <c r="X71" i="4" s="1"/>
  <c r="W87" i="4"/>
  <c r="X87" i="4" s="1"/>
  <c r="W30" i="4"/>
  <c r="W18" i="4"/>
  <c r="Y35" i="4"/>
  <c r="W26" i="4"/>
  <c r="W31" i="4"/>
  <c r="W33" i="4"/>
  <c r="W22" i="4"/>
  <c r="W23" i="4"/>
  <c r="X23" i="4" s="1"/>
  <c r="W32" i="4"/>
  <c r="W24" i="4"/>
  <c r="W7" i="4"/>
  <c r="X7" i="4" s="1"/>
  <c r="W80" i="4"/>
  <c r="X80" i="4" s="1"/>
  <c r="W70" i="4"/>
  <c r="X70" i="4" s="1"/>
  <c r="W44" i="4"/>
  <c r="X44" i="4" s="1"/>
  <c r="Y121" i="4"/>
  <c r="AP121" i="4" s="1"/>
  <c r="W83" i="4"/>
  <c r="X83" i="4" s="1"/>
  <c r="W77" i="4"/>
  <c r="X77" i="4" s="1"/>
  <c r="W95" i="4"/>
  <c r="X95" i="4" s="1"/>
  <c r="W127" i="4"/>
  <c r="X127" i="4" s="1"/>
  <c r="W78" i="4"/>
  <c r="X78" i="4" s="1"/>
  <c r="W98" i="4"/>
  <c r="X98" i="4" s="1"/>
  <c r="W96" i="4"/>
  <c r="X96" i="4" s="1"/>
  <c r="W86" i="4"/>
  <c r="X86" i="4" s="1"/>
  <c r="Y138" i="4"/>
  <c r="W115" i="4"/>
  <c r="X115" i="4" s="1"/>
  <c r="W139" i="4"/>
  <c r="X139" i="4" s="1"/>
  <c r="W85" i="4"/>
  <c r="X85" i="4" s="1"/>
  <c r="Y103" i="4"/>
  <c r="W119" i="4"/>
  <c r="X119" i="4" s="1"/>
  <c r="W135" i="4"/>
  <c r="X135" i="4" s="1"/>
  <c r="W151" i="4"/>
  <c r="X151" i="4" s="1"/>
  <c r="W66" i="4"/>
  <c r="X66" i="4" s="1"/>
  <c r="AA63" i="10"/>
  <c r="AA530" i="10"/>
  <c r="AA533" i="10"/>
  <c r="AA307" i="10"/>
  <c r="AB43" i="10"/>
  <c r="AA57" i="10"/>
  <c r="AA50" i="10"/>
  <c r="AA44" i="10"/>
  <c r="AA162" i="10"/>
  <c r="AB134" i="10"/>
  <c r="AA75" i="10"/>
  <c r="AA81" i="10"/>
  <c r="AA223" i="10"/>
  <c r="AB471" i="10"/>
  <c r="AB457" i="10"/>
  <c r="AA94" i="10"/>
  <c r="AB425" i="10"/>
  <c r="AB180" i="10"/>
  <c r="Y63" i="4"/>
  <c r="AA282" i="10"/>
  <c r="AB62" i="10"/>
  <c r="AB264" i="10"/>
  <c r="AA141" i="10"/>
  <c r="AB142" i="10"/>
  <c r="AB295" i="10"/>
  <c r="AA177" i="10"/>
  <c r="AA222" i="10"/>
  <c r="AB238" i="10"/>
  <c r="AA261" i="10"/>
  <c r="AB337" i="10"/>
  <c r="AA439" i="10"/>
  <c r="AB257" i="10"/>
  <c r="AA236" i="10"/>
  <c r="AA169" i="10"/>
  <c r="AA341" i="10"/>
  <c r="AB285" i="10"/>
  <c r="AA281" i="10"/>
  <c r="AB534" i="10"/>
  <c r="AB372" i="10"/>
  <c r="AB502" i="10"/>
  <c r="AB129" i="10"/>
  <c r="AA467" i="10"/>
  <c r="Y95" i="4"/>
  <c r="AA528" i="10"/>
  <c r="AB103" i="10"/>
  <c r="AB464" i="10"/>
  <c r="W105" i="4"/>
  <c r="X105" i="4" s="1"/>
  <c r="W49" i="4"/>
  <c r="X49" i="4" s="1"/>
  <c r="W148" i="4"/>
  <c r="X148" i="4" s="1"/>
  <c r="W144" i="4"/>
  <c r="X144" i="4" s="1"/>
  <c r="W101" i="4"/>
  <c r="X101" i="4" s="1"/>
  <c r="W117" i="4"/>
  <c r="X117" i="4" s="1"/>
  <c r="W149" i="4"/>
  <c r="X149" i="4" s="1"/>
  <c r="W128" i="4"/>
  <c r="X128" i="4" s="1"/>
  <c r="W118" i="4"/>
  <c r="X118" i="4" s="1"/>
  <c r="W72" i="4"/>
  <c r="X72" i="4" s="1"/>
  <c r="W73" i="4"/>
  <c r="X73" i="4" s="1"/>
  <c r="W51" i="4"/>
  <c r="X51" i="4" s="1"/>
  <c r="W99" i="4"/>
  <c r="X99" i="4" s="1"/>
  <c r="W42" i="4"/>
  <c r="X42" i="4" s="1"/>
  <c r="W134" i="4"/>
  <c r="X134" i="4" s="1"/>
  <c r="W43" i="4"/>
  <c r="X43" i="4" s="1"/>
  <c r="W48" i="4"/>
  <c r="X48" i="4" s="1"/>
  <c r="W53" i="4"/>
  <c r="X53" i="4" s="1"/>
  <c r="W93" i="4"/>
  <c r="X93" i="4" s="1"/>
  <c r="W109" i="4"/>
  <c r="X109" i="4" s="1"/>
  <c r="W125" i="4"/>
  <c r="X125" i="4" s="1"/>
  <c r="Y58" i="4"/>
  <c r="W136" i="4"/>
  <c r="X136" i="4" s="1"/>
  <c r="W141" i="4"/>
  <c r="X141" i="4" s="1"/>
  <c r="AA234" i="10"/>
  <c r="AA340" i="10"/>
  <c r="AB176" i="10"/>
  <c r="W138" i="4"/>
  <c r="X138" i="4" s="1"/>
  <c r="Z18" i="4"/>
  <c r="Y25" i="4"/>
  <c r="Y101" i="4"/>
  <c r="Y33" i="4"/>
  <c r="Y71" i="4"/>
  <c r="Y18" i="4"/>
  <c r="Y93" i="4"/>
  <c r="W28" i="4"/>
  <c r="W103" i="4"/>
  <c r="X103" i="4" s="1"/>
  <c r="Y44" i="4"/>
  <c r="Y22" i="4"/>
  <c r="Y43" i="4"/>
  <c r="Y125" i="4"/>
  <c r="Y127" i="4"/>
  <c r="Y99" i="4"/>
  <c r="W121" i="4"/>
  <c r="X121" i="4" s="1"/>
  <c r="Y115" i="4"/>
  <c r="Y17" i="4"/>
  <c r="W35" i="4"/>
  <c r="W11" i="4"/>
  <c r="Y51" i="4"/>
  <c r="W58" i="4"/>
  <c r="X58" i="4" s="1"/>
  <c r="Y135" i="4"/>
  <c r="Y80" i="4"/>
  <c r="Y109" i="4"/>
  <c r="Y16" i="4"/>
  <c r="W16" i="4"/>
  <c r="W38" i="4"/>
  <c r="X38" i="4" s="1"/>
  <c r="Y23" i="4"/>
  <c r="Y83" i="4"/>
  <c r="Y29" i="4"/>
  <c r="Y141" i="4"/>
  <c r="Y128" i="4"/>
  <c r="Y73" i="4"/>
  <c r="Y72" i="4"/>
  <c r="Y78" i="4"/>
  <c r="Y85" i="4"/>
  <c r="Y87" i="4"/>
  <c r="Y27" i="4"/>
  <c r="Y36" i="4"/>
  <c r="Y139" i="4"/>
  <c r="Y77" i="4"/>
  <c r="Y96" i="4"/>
  <c r="Y34" i="4"/>
  <c r="Y14" i="4"/>
  <c r="Y53" i="4"/>
  <c r="Y55" i="4"/>
  <c r="Y31" i="4"/>
  <c r="Y98" i="4"/>
  <c r="Y144" i="4"/>
  <c r="Y134" i="4"/>
  <c r="Y30" i="4"/>
  <c r="Y151" i="4"/>
  <c r="Y15" i="4"/>
  <c r="Y86" i="4"/>
  <c r="Y66" i="4"/>
  <c r="Y9" i="4"/>
  <c r="Y70" i="4"/>
  <c r="Y20" i="4"/>
  <c r="Y10" i="4"/>
  <c r="Y12" i="4"/>
  <c r="Y105" i="4"/>
  <c r="Y13" i="4"/>
  <c r="Y42" i="4"/>
  <c r="Z117" i="4"/>
  <c r="Y119" i="4"/>
  <c r="AA210" i="10"/>
  <c r="AB250" i="10"/>
  <c r="AA135" i="10"/>
  <c r="AB100" i="10"/>
  <c r="AB542" i="10"/>
  <c r="AB212" i="10"/>
  <c r="AB216" i="10"/>
  <c r="AB518" i="10"/>
  <c r="AA95" i="10"/>
  <c r="AB190" i="10"/>
  <c r="AB101" i="10"/>
  <c r="AA208" i="10"/>
  <c r="AB360" i="10"/>
  <c r="AB92" i="10"/>
  <c r="AA93" i="10"/>
  <c r="AB232" i="10"/>
  <c r="AA324" i="10"/>
  <c r="AA19" i="10"/>
  <c r="AA430" i="10"/>
  <c r="AA67" i="10"/>
  <c r="AA139" i="10"/>
  <c r="AA39" i="10"/>
  <c r="AA33" i="10"/>
  <c r="AB204" i="10"/>
  <c r="AA145" i="10"/>
  <c r="AA77" i="10"/>
  <c r="AA149" i="10"/>
  <c r="AB506" i="10"/>
  <c r="AA404" i="10"/>
  <c r="AA157" i="10"/>
  <c r="AB316" i="10"/>
  <c r="AB443" i="10"/>
  <c r="AA362" i="10"/>
  <c r="AB274" i="10"/>
  <c r="AB219" i="10"/>
  <c r="AA497" i="10"/>
  <c r="AB88" i="10"/>
  <c r="AA483" i="10"/>
  <c r="AB248" i="10"/>
  <c r="AB292" i="10"/>
  <c r="AB417" i="10"/>
  <c r="AB548" i="10"/>
  <c r="AA224" i="10"/>
  <c r="AB197" i="10"/>
  <c r="AB489" i="10"/>
  <c r="AB554" i="10"/>
  <c r="AA350" i="10"/>
  <c r="AA403" i="10"/>
  <c r="AB288" i="10"/>
  <c r="AB524" i="10"/>
  <c r="AB442" i="10"/>
  <c r="AA269" i="10"/>
  <c r="AA82" i="10"/>
  <c r="AA152" i="10"/>
  <c r="AA380" i="10"/>
  <c r="AA46" i="10"/>
  <c r="AA560" i="10"/>
  <c r="AA64" i="10"/>
  <c r="AA329" i="10"/>
  <c r="AA245" i="10"/>
  <c r="AA453" i="10"/>
  <c r="AA207" i="10"/>
  <c r="AA376" i="10"/>
  <c r="AB217" i="10"/>
  <c r="AA346" i="10"/>
  <c r="AB539" i="10"/>
  <c r="AB24" i="10"/>
  <c r="AB150" i="10"/>
  <c r="AB104" i="10"/>
  <c r="AA21" i="10"/>
  <c r="AB479" i="10"/>
  <c r="AA68" i="10"/>
  <c r="AA309" i="10"/>
  <c r="AB558" i="10"/>
  <c r="AB160" i="10"/>
  <c r="AB435" i="10"/>
  <c r="AA132" i="10"/>
  <c r="AA293" i="10"/>
  <c r="AB545" i="10"/>
  <c r="AB297" i="10"/>
  <c r="AB45" i="10"/>
  <c r="AA45" i="10"/>
  <c r="AB440" i="10"/>
  <c r="AA440" i="10"/>
  <c r="AA509" i="10"/>
  <c r="AB509" i="10"/>
  <c r="AB306" i="10"/>
  <c r="AA306" i="10"/>
  <c r="AB278" i="10"/>
  <c r="AA278" i="10"/>
  <c r="AB462" i="10"/>
  <c r="AA462" i="10"/>
  <c r="AB490" i="10"/>
  <c r="AA490" i="10"/>
  <c r="AB321" i="10"/>
  <c r="AA321" i="10"/>
  <c r="AB363" i="10"/>
  <c r="AA363" i="10"/>
  <c r="AB476" i="10"/>
  <c r="AA476" i="10"/>
  <c r="AB195" i="10"/>
  <c r="AA195" i="10"/>
  <c r="AB320" i="10"/>
  <c r="AA320" i="10"/>
  <c r="AB205" i="10"/>
  <c r="AA205" i="10"/>
  <c r="AA188" i="10"/>
  <c r="AB188" i="10"/>
  <c r="AA352" i="10"/>
  <c r="AB352" i="10"/>
  <c r="AB427" i="10"/>
  <c r="AA427" i="10"/>
  <c r="AB237" i="10"/>
  <c r="AA237" i="10"/>
  <c r="AB312" i="10"/>
  <c r="AA312" i="10"/>
  <c r="AA233" i="10"/>
  <c r="AB233" i="10"/>
  <c r="AA47" i="10"/>
  <c r="AB47" i="10"/>
  <c r="AB111" i="10"/>
  <c r="AA111" i="10"/>
  <c r="AA56" i="10"/>
  <c r="AB56" i="10"/>
  <c r="AB519" i="10"/>
  <c r="AA519" i="10"/>
  <c r="AB206" i="10"/>
  <c r="AA206" i="10"/>
  <c r="AA277" i="10"/>
  <c r="AB277" i="10"/>
  <c r="AB498" i="10"/>
  <c r="AA498" i="10"/>
  <c r="AA540" i="10"/>
  <c r="AB540" i="10"/>
  <c r="AB504" i="10"/>
  <c r="AA284" i="10"/>
  <c r="AB559" i="10"/>
  <c r="AB517" i="10"/>
  <c r="AA452" i="10"/>
  <c r="AB37" i="10"/>
  <c r="AA480" i="10"/>
  <c r="AA173" i="10"/>
  <c r="AA478" i="10"/>
  <c r="AB34" i="10"/>
  <c r="AA330" i="10"/>
  <c r="AA102" i="10"/>
  <c r="AA290" i="10"/>
  <c r="AB328" i="10"/>
  <c r="AA378" i="10"/>
  <c r="AB356" i="10"/>
  <c r="AB270" i="10"/>
  <c r="AB20" i="10"/>
  <c r="AA35" i="10"/>
  <c r="AA496" i="10"/>
  <c r="AA138" i="10"/>
  <c r="AA505" i="10"/>
  <c r="AB499" i="10"/>
  <c r="AA499" i="10"/>
  <c r="AA411" i="10"/>
  <c r="AB411" i="10"/>
  <c r="AA191" i="10"/>
  <c r="AB191" i="10"/>
  <c r="AB549" i="10"/>
  <c r="AA549" i="10"/>
  <c r="AA450" i="10"/>
  <c r="AB450" i="10"/>
  <c r="AB395" i="10"/>
  <c r="AA395" i="10"/>
  <c r="AA106" i="10"/>
  <c r="AB106" i="10"/>
  <c r="AA463" i="10"/>
  <c r="AB463" i="10"/>
  <c r="AA265" i="10"/>
  <c r="AB265" i="10"/>
  <c r="AA181" i="10"/>
  <c r="AB181" i="10"/>
  <c r="AB556" i="10"/>
  <c r="AA556" i="10"/>
  <c r="AA384" i="10"/>
  <c r="AB384" i="10"/>
  <c r="AA477" i="10"/>
  <c r="AB477" i="10"/>
  <c r="AB482" i="10"/>
  <c r="AA482" i="10"/>
  <c r="AB225" i="10"/>
  <c r="AA225" i="10"/>
  <c r="AA544" i="10"/>
  <c r="AB544" i="10"/>
  <c r="AA211" i="10"/>
  <c r="AB211" i="10"/>
  <c r="AA325" i="10"/>
  <c r="AB325" i="10"/>
  <c r="AB399" i="10"/>
  <c r="AA399" i="10"/>
  <c r="AB449" i="10"/>
  <c r="AA449" i="10"/>
  <c r="AB85" i="10"/>
  <c r="AA85" i="10"/>
  <c r="AB304" i="10"/>
  <c r="AA304" i="10"/>
  <c r="AB259" i="10"/>
  <c r="AA259" i="10"/>
  <c r="AB247" i="10"/>
  <c r="AA413" i="10"/>
  <c r="AA397" i="10"/>
  <c r="AA402" i="10"/>
  <c r="AB315" i="10"/>
  <c r="AB276" i="10"/>
  <c r="AB230" i="10"/>
  <c r="AB451" i="10"/>
  <c r="AA70" i="10"/>
  <c r="AA491" i="10"/>
  <c r="AB512" i="10"/>
  <c r="AA377" i="10"/>
  <c r="AB227" i="10"/>
  <c r="AB244" i="10"/>
  <c r="AA71" i="10"/>
  <c r="AB26" i="10"/>
  <c r="AA407" i="10"/>
  <c r="AB165" i="10"/>
  <c r="AB529" i="10"/>
  <c r="AB170" i="10"/>
  <c r="AB393" i="10"/>
  <c r="AB375" i="10"/>
  <c r="AB130" i="10"/>
  <c r="AA481" i="10"/>
  <c r="AA271" i="10"/>
  <c r="AB303" i="10"/>
  <c r="AB353" i="10"/>
  <c r="AA353" i="10"/>
  <c r="AA308" i="10"/>
  <c r="AB308" i="10"/>
  <c r="AB156" i="10"/>
  <c r="AA156" i="10"/>
  <c r="AA434" i="10"/>
  <c r="AB434" i="10"/>
  <c r="AA99" i="10"/>
  <c r="AA460" i="10"/>
  <c r="AA550" i="10"/>
  <c r="AA128" i="10"/>
  <c r="AA294" i="10"/>
  <c r="AA364" i="10"/>
  <c r="AA52" i="10"/>
  <c r="AA30" i="10"/>
  <c r="AA78" i="10"/>
  <c r="AB87" i="10"/>
  <c r="AB547" i="10"/>
  <c r="AA546" i="10"/>
  <c r="AA386" i="10"/>
  <c r="AA86" i="10"/>
  <c r="AA185" i="10"/>
  <c r="AB557" i="10"/>
  <c r="AA415" i="10"/>
  <c r="AB398" i="10"/>
  <c r="AA192" i="10"/>
  <c r="AA28" i="10"/>
  <c r="AA36" i="10"/>
  <c r="AB184" i="10"/>
  <c r="AA381" i="10"/>
  <c r="AA55" i="10"/>
  <c r="AB127" i="10"/>
  <c r="AB154" i="10"/>
  <c r="AB196" i="10"/>
  <c r="AA199" i="10"/>
  <c r="AB199" i="10"/>
  <c r="AA172" i="10"/>
  <c r="AB172" i="10"/>
  <c r="AB213" i="10"/>
  <c r="AA213" i="10"/>
  <c r="AA455" i="10"/>
  <c r="AB455" i="10"/>
  <c r="AB368" i="10"/>
  <c r="AA368" i="10"/>
  <c r="AB409" i="10"/>
  <c r="AA144" i="10"/>
  <c r="AA446" i="10"/>
  <c r="AA465" i="10"/>
  <c r="AA136" i="10"/>
  <c r="AA114" i="10"/>
  <c r="AA538" i="10"/>
  <c r="AB421" i="10"/>
  <c r="AB66" i="10"/>
  <c r="AA61" i="10"/>
  <c r="AA241" i="10"/>
  <c r="AB431" i="10"/>
  <c r="AB322" i="10"/>
  <c r="AA59" i="10"/>
  <c r="AA65" i="10"/>
  <c r="AB131" i="10"/>
  <c r="AA414" i="10"/>
  <c r="AA239" i="10"/>
  <c r="AB109" i="10"/>
  <c r="AB302" i="10"/>
  <c r="AB41" i="10"/>
  <c r="AB334" i="10"/>
  <c r="AA275" i="10"/>
  <c r="AA27" i="10"/>
  <c r="AB80" i="10"/>
  <c r="AA179" i="10"/>
  <c r="AA29" i="10"/>
  <c r="AB527" i="10"/>
  <c r="AB445" i="10"/>
  <c r="AA429" i="10"/>
  <c r="AA405" i="10"/>
  <c r="AB189" i="10"/>
  <c r="AB124" i="10"/>
  <c r="AA53" i="10"/>
  <c r="AA382" i="10"/>
  <c r="AB147" i="10"/>
  <c r="AB336" i="10"/>
  <c r="Q403" i="10"/>
  <c r="R403" i="10" s="1"/>
  <c r="AB523" i="10"/>
  <c r="AB469" i="10"/>
  <c r="AB461" i="10"/>
  <c r="AA520" i="10"/>
  <c r="AA296" i="10"/>
  <c r="AA166" i="10"/>
  <c r="AA289" i="10"/>
  <c r="AB298" i="10"/>
  <c r="AB246" i="10"/>
  <c r="AA419" i="10"/>
  <c r="AB118" i="10"/>
  <c r="AB159" i="10"/>
  <c r="AA501" i="10"/>
  <c r="AA418" i="10"/>
  <c r="AA459" i="10"/>
  <c r="AB161" i="10"/>
  <c r="AA305" i="10"/>
  <c r="AB253" i="10"/>
  <c r="AA365" i="10"/>
  <c r="AA148" i="10"/>
  <c r="AA218" i="10"/>
  <c r="AB175" i="10"/>
  <c r="AB262" i="10"/>
  <c r="AA96" i="10"/>
  <c r="AA433" i="10"/>
  <c r="AA366" i="10"/>
  <c r="AA383" i="10"/>
  <c r="AA254" i="10"/>
  <c r="AB494" i="10"/>
  <c r="AB474" i="10"/>
  <c r="AB327" i="10"/>
  <c r="AA126" i="10"/>
  <c r="AA69" i="10"/>
  <c r="AA228" i="10"/>
  <c r="AA332" i="10"/>
  <c r="AB331" i="10"/>
  <c r="AB343" i="10"/>
  <c r="AB344" i="10"/>
  <c r="AA119" i="10"/>
  <c r="AA492" i="10"/>
  <c r="AA416" i="10"/>
  <c r="AA221" i="10"/>
  <c r="AA120" i="10"/>
  <c r="AB493" i="10"/>
  <c r="AA515" i="10"/>
  <c r="AB155" i="10"/>
  <c r="AA146" i="10"/>
  <c r="AB258" i="10"/>
  <c r="AA255" i="10"/>
  <c r="AB536" i="10"/>
  <c r="AA38" i="10"/>
  <c r="AB458" i="10"/>
  <c r="AA167" i="10"/>
  <c r="AA22" i="10"/>
  <c r="AB351" i="10"/>
  <c r="AA32" i="10"/>
  <c r="AA318" i="10"/>
  <c r="AB226" i="10"/>
  <c r="AB485" i="10"/>
  <c r="AA201" i="10"/>
  <c r="AB495" i="10"/>
  <c r="AB412" i="10"/>
  <c r="AA209" i="10"/>
  <c r="AB266" i="10"/>
  <c r="AB389" i="10"/>
  <c r="AA522" i="10"/>
  <c r="AA532" i="10"/>
  <c r="AA436" i="10"/>
  <c r="AA23" i="10"/>
  <c r="AA432" i="10"/>
  <c r="AB97" i="10"/>
  <c r="AA553" i="10"/>
  <c r="AB347" i="10"/>
  <c r="AA373" i="10"/>
  <c r="AB541" i="10"/>
  <c r="AA108" i="10"/>
  <c r="AB220" i="10"/>
  <c r="AB291" i="10"/>
  <c r="AB273" i="10"/>
  <c r="AB301" i="10"/>
  <c r="AA470" i="10"/>
  <c r="AB370" i="10"/>
  <c r="AB551" i="10"/>
  <c r="AB115" i="10"/>
  <c r="AA543" i="10"/>
  <c r="AB202" i="10"/>
  <c r="AA475" i="10"/>
  <c r="AA287" i="10"/>
  <c r="AB385" i="10"/>
  <c r="AA260" i="10"/>
  <c r="AA503" i="10"/>
  <c r="AB214" i="10"/>
  <c r="AA406" i="10"/>
  <c r="AB300" i="10"/>
  <c r="AB143" i="10"/>
  <c r="AB122" i="10"/>
  <c r="AA116" i="10"/>
  <c r="AA390" i="10"/>
  <c r="AB117" i="10"/>
  <c r="AA379" i="10"/>
  <c r="AB113" i="10"/>
  <c r="AA367" i="10"/>
  <c r="AA163" i="10"/>
  <c r="AB487" i="10"/>
  <c r="AB428" i="10"/>
  <c r="AA256" i="10"/>
  <c r="AA314" i="10"/>
  <c r="AB186" i="10"/>
  <c r="AB438" i="10"/>
  <c r="AA42" i="10"/>
  <c r="AA349" i="10"/>
  <c r="AA60" i="10"/>
  <c r="AB31" i="10"/>
  <c r="AA422" i="10"/>
  <c r="AA231" i="10"/>
  <c r="AB48" i="10"/>
  <c r="AA400" i="10"/>
  <c r="AB516" i="10"/>
  <c r="AA335" i="10"/>
  <c r="AA90" i="10"/>
  <c r="AA391" i="10"/>
  <c r="AA74" i="10"/>
  <c r="AA369" i="10"/>
  <c r="AA203" i="10"/>
  <c r="AB158" i="10"/>
  <c r="AA91" i="10"/>
  <c r="AA272" i="10"/>
  <c r="AA323" i="10"/>
  <c r="AA183" i="10"/>
  <c r="AB525" i="10"/>
  <c r="AA140" i="10"/>
  <c r="AA112" i="10"/>
  <c r="AA242" i="10"/>
  <c r="AB98" i="10"/>
  <c r="AA317" i="10"/>
  <c r="AB447" i="10"/>
  <c r="AA535" i="10"/>
  <c r="AB73" i="10"/>
  <c r="AA49" i="10"/>
  <c r="AB229" i="10"/>
  <c r="AB286" i="10"/>
  <c r="AA133" i="10"/>
  <c r="AA107" i="10"/>
  <c r="AA510" i="10"/>
  <c r="AA339" i="10"/>
  <c r="Q300" i="10"/>
  <c r="R300" i="10" s="1"/>
  <c r="AB388" i="10"/>
  <c r="AB537" i="10"/>
  <c r="AA110" i="10"/>
  <c r="AA456" i="10"/>
  <c r="AB279" i="10"/>
  <c r="AA121" i="10"/>
  <c r="AB83" i="10"/>
  <c r="AA392" i="10"/>
  <c r="AB500" i="10"/>
  <c r="Z7" i="4"/>
  <c r="AA7" i="4" s="1"/>
  <c r="AB7" i="4" s="1"/>
  <c r="BU7" i="4" s="1"/>
  <c r="P545" i="10"/>
  <c r="P370" i="10"/>
  <c r="AB174" i="10"/>
  <c r="AA174" i="10"/>
  <c r="AA355" i="10"/>
  <c r="AB355" i="10"/>
  <c r="AA51" i="10"/>
  <c r="AA40" i="10"/>
  <c r="AB54" i="10"/>
  <c r="AA84" i="10"/>
  <c r="AB215" i="10"/>
  <c r="AB437" i="10"/>
  <c r="AA508" i="10"/>
  <c r="AA338" i="10"/>
  <c r="AB168" i="10"/>
  <c r="AA25" i="10"/>
  <c r="AB410" i="10"/>
  <c r="AA448" i="10"/>
  <c r="Q185" i="10"/>
  <c r="R185" i="10" s="1"/>
  <c r="AB187" i="10"/>
  <c r="AB513" i="10"/>
  <c r="AB283" i="10"/>
  <c r="AA105" i="10"/>
  <c r="AA313" i="10"/>
  <c r="AB420" i="10"/>
  <c r="AB484" i="10"/>
  <c r="AB240" i="10"/>
  <c r="AB326" i="10"/>
  <c r="AA345" i="10"/>
  <c r="Q365" i="10"/>
  <c r="R365" i="10" s="1"/>
  <c r="Q92" i="10"/>
  <c r="R92" i="10" s="1"/>
  <c r="AA58" i="10"/>
  <c r="Q353" i="10"/>
  <c r="S353" i="10" s="1"/>
  <c r="AA123" i="10"/>
  <c r="AA486" i="10"/>
  <c r="AB441" i="10"/>
  <c r="AB354" i="10"/>
  <c r="AB466" i="10"/>
  <c r="AA267" i="10"/>
  <c r="AB531" i="10"/>
  <c r="AA79" i="10"/>
  <c r="AB426" i="10"/>
  <c r="AA552" i="10"/>
  <c r="AA408" i="10"/>
  <c r="AA89" i="10"/>
  <c r="AB387" i="10"/>
  <c r="AA311" i="10"/>
  <c r="AB178" i="10"/>
  <c r="AB371" i="10"/>
  <c r="AB374" i="10"/>
  <c r="AB235" i="10"/>
  <c r="AB342" i="10"/>
  <c r="AA13" i="10"/>
  <c r="P156" i="10"/>
  <c r="P73" i="10"/>
  <c r="P453" i="10"/>
  <c r="P9" i="10"/>
  <c r="P74" i="10"/>
  <c r="P51" i="10"/>
  <c r="P23" i="10"/>
  <c r="P72" i="10"/>
  <c r="P315" i="10"/>
  <c r="P365" i="10"/>
  <c r="P556" i="10"/>
  <c r="AB299" i="10"/>
  <c r="AB394" i="10"/>
  <c r="AA251" i="10"/>
  <c r="P28" i="10"/>
  <c r="P158" i="10"/>
  <c r="P200" i="10"/>
  <c r="P306" i="10"/>
  <c r="P481" i="10"/>
  <c r="AA454" i="10"/>
  <c r="P157" i="10"/>
  <c r="P139" i="10"/>
  <c r="P186" i="10"/>
  <c r="P394" i="10"/>
  <c r="P511" i="10"/>
  <c r="P29" i="10"/>
  <c r="P56" i="10"/>
  <c r="P37" i="10"/>
  <c r="P141" i="10"/>
  <c r="P27" i="10"/>
  <c r="P95" i="10"/>
  <c r="P142" i="10"/>
  <c r="P123" i="10"/>
  <c r="P207" i="10"/>
  <c r="P140" i="10"/>
  <c r="P243" i="10"/>
  <c r="P304" i="10"/>
  <c r="P289" i="10"/>
  <c r="P348" i="10"/>
  <c r="P282" i="10"/>
  <c r="P412" i="10"/>
  <c r="P447" i="10"/>
  <c r="P478" i="10"/>
  <c r="P457" i="10"/>
  <c r="P521" i="10"/>
  <c r="P557" i="10"/>
  <c r="P181" i="10"/>
  <c r="P97" i="10"/>
  <c r="P101" i="10"/>
  <c r="P283" i="10"/>
  <c r="P48" i="10"/>
  <c r="P102" i="10"/>
  <c r="P229" i="10"/>
  <c r="P163" i="10"/>
  <c r="P100" i="10"/>
  <c r="P184" i="10"/>
  <c r="P240" i="10"/>
  <c r="P226" i="10"/>
  <c r="P355" i="10"/>
  <c r="P333" i="10"/>
  <c r="P346" i="10"/>
  <c r="P387" i="10"/>
  <c r="P405" i="10"/>
  <c r="P459" i="10"/>
  <c r="P505" i="10"/>
  <c r="P520" i="10"/>
  <c r="AA171" i="10"/>
  <c r="P197" i="10"/>
  <c r="P193" i="10"/>
  <c r="P117" i="10"/>
  <c r="P55" i="10"/>
  <c r="P65" i="10"/>
  <c r="P118" i="10"/>
  <c r="P307" i="10"/>
  <c r="P179" i="10"/>
  <c r="P116" i="10"/>
  <c r="P215" i="10"/>
  <c r="P264" i="10"/>
  <c r="P249" i="10"/>
  <c r="P308" i="10"/>
  <c r="P357" i="10"/>
  <c r="P372" i="10"/>
  <c r="P411" i="10"/>
  <c r="P429" i="10"/>
  <c r="P479" i="10"/>
  <c r="P519" i="10"/>
  <c r="AB359" i="10"/>
  <c r="AB137" i="10"/>
  <c r="AA511" i="10"/>
  <c r="AB8" i="10"/>
  <c r="Q174" i="10"/>
  <c r="R174" i="10" s="1"/>
  <c r="Q122" i="10"/>
  <c r="S122" i="10" s="1"/>
  <c r="Q455" i="10"/>
  <c r="R455" i="10" s="1"/>
  <c r="Q513" i="10"/>
  <c r="R513" i="10" s="1"/>
  <c r="Q377" i="10"/>
  <c r="R377" i="10" s="1"/>
  <c r="Q348" i="10"/>
  <c r="R348" i="10" s="1"/>
  <c r="Q56" i="10"/>
  <c r="Q291" i="10"/>
  <c r="R291" i="10" s="1"/>
  <c r="Q548" i="10"/>
  <c r="S548" i="10" s="1"/>
  <c r="AA10" i="10"/>
  <c r="Q54" i="10"/>
  <c r="S54" i="10" s="1"/>
  <c r="Q165" i="10"/>
  <c r="R165" i="10" s="1"/>
  <c r="Q127" i="10"/>
  <c r="S127" i="10" s="1"/>
  <c r="Q465" i="10"/>
  <c r="R465" i="10" s="1"/>
  <c r="Q444" i="10"/>
  <c r="R444" i="10" s="1"/>
  <c r="Q502" i="10"/>
  <c r="Q116" i="10"/>
  <c r="S116" i="10" s="1"/>
  <c r="AA514" i="10"/>
  <c r="AB333" i="10"/>
  <c r="AA507" i="10"/>
  <c r="AA358" i="10"/>
  <c r="Q544" i="10"/>
  <c r="R544" i="10" s="1"/>
  <c r="Q13" i="10"/>
  <c r="S13" i="10" s="1"/>
  <c r="Q514" i="10"/>
  <c r="Q82" i="10"/>
  <c r="S82" i="10" s="1"/>
  <c r="Q325" i="10"/>
  <c r="S325" i="10" s="1"/>
  <c r="Q126" i="10"/>
  <c r="R126" i="10" s="1"/>
  <c r="Q356" i="10"/>
  <c r="S356" i="10" s="1"/>
  <c r="Q558" i="10"/>
  <c r="S558" i="10" s="1"/>
  <c r="Q440" i="10"/>
  <c r="R440" i="10" s="1"/>
  <c r="Q129" i="10"/>
  <c r="S129" i="10" s="1"/>
  <c r="Q164" i="10"/>
  <c r="S164" i="10" s="1"/>
  <c r="Q141" i="10"/>
  <c r="S141" i="10" s="1"/>
  <c r="Q326" i="10"/>
  <c r="R326" i="10" s="1"/>
  <c r="Q432" i="10"/>
  <c r="S432" i="10" s="1"/>
  <c r="AA153" i="10"/>
  <c r="P13" i="10"/>
  <c r="P559" i="10"/>
  <c r="P544" i="10"/>
  <c r="P543" i="10"/>
  <c r="P538" i="10"/>
  <c r="P527" i="10"/>
  <c r="P503" i="10"/>
  <c r="P506" i="10"/>
  <c r="P500" i="10"/>
  <c r="P491" i="10"/>
  <c r="P473" i="10"/>
  <c r="P484" i="10"/>
  <c r="P489" i="10"/>
  <c r="P442" i="10"/>
  <c r="P445" i="10"/>
  <c r="P444" i="10"/>
  <c r="P421" i="10"/>
  <c r="P389" i="10"/>
  <c r="P468" i="10"/>
  <c r="P433" i="10"/>
  <c r="P403" i="10"/>
  <c r="P418" i="10"/>
  <c r="P428" i="10"/>
  <c r="P396" i="10"/>
  <c r="P362" i="10"/>
  <c r="P330" i="10"/>
  <c r="P298" i="10"/>
  <c r="P266" i="10"/>
  <c r="P349" i="10"/>
  <c r="P317" i="10"/>
  <c r="P364" i="10"/>
  <c r="P332" i="10"/>
  <c r="P386" i="10"/>
  <c r="P339" i="10"/>
  <c r="P305" i="10"/>
  <c r="P273" i="10"/>
  <c r="P242" i="10"/>
  <c r="P210" i="10"/>
  <c r="P178" i="10"/>
  <c r="P288" i="10"/>
  <c r="P256" i="10"/>
  <c r="P224" i="10"/>
  <c r="P456" i="10"/>
  <c r="P231" i="10"/>
  <c r="AC231" i="10" s="1"/>
  <c r="P211" i="10"/>
  <c r="P172" i="10"/>
  <c r="P152" i="10"/>
  <c r="P132" i="10"/>
  <c r="P108" i="10"/>
  <c r="P88" i="10"/>
  <c r="P70" i="10"/>
  <c r="P195" i="10"/>
  <c r="P175" i="10"/>
  <c r="P155" i="10"/>
  <c r="P131" i="10"/>
  <c r="P111" i="10"/>
  <c r="P241" i="10"/>
  <c r="P217" i="10"/>
  <c r="P154" i="10"/>
  <c r="P134" i="10"/>
  <c r="P110" i="10"/>
  <c r="P90" i="10"/>
  <c r="P71" i="10"/>
  <c r="P83" i="10"/>
  <c r="P63" i="10"/>
  <c r="P41" i="10"/>
  <c r="P38" i="10"/>
  <c r="P189" i="10"/>
  <c r="P46" i="10"/>
  <c r="P259" i="10"/>
  <c r="P153" i="10"/>
  <c r="P133" i="10"/>
  <c r="P109" i="10"/>
  <c r="P52" i="10"/>
  <c r="P22" i="10"/>
  <c r="P287" i="10"/>
  <c r="P177" i="10"/>
  <c r="P89" i="10"/>
  <c r="P64" i="10"/>
  <c r="P30" i="10"/>
  <c r="P11" i="10"/>
  <c r="P551" i="10"/>
  <c r="P553" i="10"/>
  <c r="P536" i="10"/>
  <c r="P528" i="10"/>
  <c r="P530" i="10"/>
  <c r="P495" i="10"/>
  <c r="P529" i="10"/>
  <c r="P512" i="10"/>
  <c r="P497" i="10"/>
  <c r="P465" i="10"/>
  <c r="P476" i="10"/>
  <c r="P467" i="10"/>
  <c r="P466" i="10"/>
  <c r="P486" i="10"/>
  <c r="P436" i="10"/>
  <c r="P413" i="10"/>
  <c r="P381" i="10"/>
  <c r="P460" i="10"/>
  <c r="P427" i="10"/>
  <c r="P395" i="10"/>
  <c r="P410" i="10"/>
  <c r="P420" i="10"/>
  <c r="P388" i="10"/>
  <c r="P354" i="10"/>
  <c r="P322" i="10"/>
  <c r="P290" i="10"/>
  <c r="P258" i="10"/>
  <c r="P341" i="10"/>
  <c r="P309" i="10"/>
  <c r="P356" i="10"/>
  <c r="P324" i="10"/>
  <c r="P363" i="10"/>
  <c r="P331" i="10"/>
  <c r="P297" i="10"/>
  <c r="P265" i="10"/>
  <c r="P234" i="10"/>
  <c r="P202" i="10"/>
  <c r="P170" i="10"/>
  <c r="P280" i="10"/>
  <c r="P248" i="10"/>
  <c r="P216" i="10"/>
  <c r="P371" i="10"/>
  <c r="P227" i="10"/>
  <c r="P188" i="10"/>
  <c r="P168" i="10"/>
  <c r="P148" i="10"/>
  <c r="P124" i="10"/>
  <c r="P104" i="10"/>
  <c r="P84" i="10"/>
  <c r="P303" i="10"/>
  <c r="P191" i="10"/>
  <c r="P171" i="10"/>
  <c r="P147" i="10"/>
  <c r="P127" i="10"/>
  <c r="P107" i="10"/>
  <c r="P233" i="10"/>
  <c r="P213" i="10"/>
  <c r="P150" i="10"/>
  <c r="P126" i="10"/>
  <c r="P106" i="10"/>
  <c r="P86" i="10"/>
  <c r="P99" i="10"/>
  <c r="P79" i="10"/>
  <c r="P60" i="10"/>
  <c r="P33" i="10"/>
  <c r="P25" i="10"/>
  <c r="P185" i="10"/>
  <c r="P291" i="10"/>
  <c r="P251" i="10"/>
  <c r="P149" i="10"/>
  <c r="P125" i="10"/>
  <c r="P105" i="10"/>
  <c r="P50" i="10"/>
  <c r="P40" i="10"/>
  <c r="P271" i="10"/>
  <c r="P169" i="10"/>
  <c r="P81" i="10"/>
  <c r="P62" i="10"/>
  <c r="P295" i="10"/>
  <c r="AA424" i="10"/>
  <c r="AB424" i="10"/>
  <c r="AB472" i="10"/>
  <c r="AA472" i="10"/>
  <c r="AA310" i="10"/>
  <c r="AB310" i="10"/>
  <c r="AA198" i="10"/>
  <c r="AB198" i="10"/>
  <c r="Q526" i="10"/>
  <c r="S526" i="10" s="1"/>
  <c r="Q85" i="10"/>
  <c r="S85" i="10" s="1"/>
  <c r="Q69" i="10"/>
  <c r="R69" i="10" s="1"/>
  <c r="Q412" i="10"/>
  <c r="S412" i="10" s="1"/>
  <c r="Q317" i="10"/>
  <c r="R317" i="10" s="1"/>
  <c r="Q272" i="10"/>
  <c r="S272" i="10" s="1"/>
  <c r="Q110" i="10"/>
  <c r="R110" i="10" s="1"/>
  <c r="Q509" i="10"/>
  <c r="S509" i="10" s="1"/>
  <c r="Q340" i="10"/>
  <c r="Q77" i="10"/>
  <c r="R77" i="10" s="1"/>
  <c r="Q543" i="10"/>
  <c r="S543" i="10" s="1"/>
  <c r="Q534" i="10"/>
  <c r="Q426" i="10"/>
  <c r="Q301" i="10"/>
  <c r="S301" i="10" s="1"/>
  <c r="Q113" i="10"/>
  <c r="R113" i="10" s="1"/>
  <c r="Q58" i="10"/>
  <c r="Q180" i="10"/>
  <c r="R180" i="10" s="1"/>
  <c r="Q157" i="10"/>
  <c r="S157" i="10" s="1"/>
  <c r="Q259" i="10"/>
  <c r="R259" i="10" s="1"/>
  <c r="Q342" i="10"/>
  <c r="Q335" i="10"/>
  <c r="Q437" i="10"/>
  <c r="S437" i="10" s="1"/>
  <c r="Q478" i="10"/>
  <c r="R478" i="10" s="1"/>
  <c r="Q552" i="10"/>
  <c r="P24" i="10"/>
  <c r="P53" i="10"/>
  <c r="P255" i="10"/>
  <c r="P77" i="10"/>
  <c r="P247" i="10"/>
  <c r="P35" i="10"/>
  <c r="P121" i="10"/>
  <c r="P201" i="10"/>
  <c r="P59" i="10"/>
  <c r="P31" i="10"/>
  <c r="P75" i="10"/>
  <c r="P78" i="10"/>
  <c r="P122" i="10"/>
  <c r="P209" i="10"/>
  <c r="P375" i="10"/>
  <c r="P143" i="10"/>
  <c r="P187" i="10"/>
  <c r="P76" i="10"/>
  <c r="P120" i="10"/>
  <c r="P164" i="10"/>
  <c r="P219" i="10"/>
  <c r="P208" i="10"/>
  <c r="P272" i="10"/>
  <c r="P194" i="10"/>
  <c r="P257" i="10"/>
  <c r="P323" i="10"/>
  <c r="P316" i="10"/>
  <c r="P378" i="10"/>
  <c r="P250" i="10"/>
  <c r="P314" i="10"/>
  <c r="P380" i="10"/>
  <c r="P402" i="10"/>
  <c r="P419" i="10"/>
  <c r="P373" i="10"/>
  <c r="P438" i="10"/>
  <c r="P458" i="10"/>
  <c r="P490" i="10"/>
  <c r="P488" i="10"/>
  <c r="P513" i="10"/>
  <c r="P522" i="10"/>
  <c r="P542" i="10"/>
  <c r="P554" i="10"/>
  <c r="Q222" i="10"/>
  <c r="R222" i="10" s="1"/>
  <c r="Q420" i="10"/>
  <c r="S420" i="10" s="1"/>
  <c r="Q280" i="10"/>
  <c r="S280" i="10" s="1"/>
  <c r="Q522" i="10"/>
  <c r="R522" i="10" s="1"/>
  <c r="Q93" i="10"/>
  <c r="R93" i="10" s="1"/>
  <c r="Q510" i="10"/>
  <c r="R510" i="10" s="1"/>
  <c r="Q304" i="10"/>
  <c r="Q33" i="10"/>
  <c r="R33" i="10" s="1"/>
  <c r="Q251" i="10"/>
  <c r="S251" i="10" s="1"/>
  <c r="Q319" i="10"/>
  <c r="S319" i="10" s="1"/>
  <c r="Q462" i="10"/>
  <c r="S462" i="10" s="1"/>
  <c r="Q556" i="10"/>
  <c r="Q380" i="10"/>
  <c r="R380" i="10" s="1"/>
  <c r="Q182" i="10"/>
  <c r="S182" i="10" s="1"/>
  <c r="Q516" i="10"/>
  <c r="S516" i="10" s="1"/>
  <c r="Q393" i="10"/>
  <c r="R393" i="10" s="1"/>
  <c r="Q197" i="10"/>
  <c r="S197" i="10" s="1"/>
  <c r="Q73" i="10"/>
  <c r="S73" i="10" s="1"/>
  <c r="Q413" i="10"/>
  <c r="S413" i="10" s="1"/>
  <c r="Q475" i="10"/>
  <c r="R475" i="10" s="1"/>
  <c r="Q202" i="10"/>
  <c r="S202" i="10" s="1"/>
  <c r="Q138" i="10"/>
  <c r="R138" i="10" s="1"/>
  <c r="Q364" i="10"/>
  <c r="Q471" i="10"/>
  <c r="R471" i="10" s="1"/>
  <c r="Q361" i="10"/>
  <c r="S361" i="10" s="1"/>
  <c r="Q253" i="10"/>
  <c r="Q118" i="10"/>
  <c r="R118" i="10" s="1"/>
  <c r="Q100" i="10"/>
  <c r="R100" i="10" s="1"/>
  <c r="Q244" i="10"/>
  <c r="R244" i="10" s="1"/>
  <c r="Q111" i="10"/>
  <c r="R111" i="10" s="1"/>
  <c r="Q283" i="10"/>
  <c r="S283" i="10" s="1"/>
  <c r="Q215" i="10"/>
  <c r="R215" i="10" s="1"/>
  <c r="Q382" i="10"/>
  <c r="R382" i="10" s="1"/>
  <c r="Q422" i="10"/>
  <c r="S422" i="10" s="1"/>
  <c r="Q503" i="10"/>
  <c r="P26" i="10"/>
  <c r="P165" i="10"/>
  <c r="P47" i="10"/>
  <c r="P93" i="10"/>
  <c r="P34" i="10"/>
  <c r="P54" i="10"/>
  <c r="P137" i="10"/>
  <c r="P275" i="10"/>
  <c r="P279" i="10"/>
  <c r="P43" i="10"/>
  <c r="P91" i="10"/>
  <c r="P94" i="10"/>
  <c r="P138" i="10"/>
  <c r="P225" i="10"/>
  <c r="P115" i="10"/>
  <c r="P159" i="10"/>
  <c r="P203" i="10"/>
  <c r="P92" i="10"/>
  <c r="P136" i="10"/>
  <c r="P180" i="10"/>
  <c r="AC180" i="10" s="1"/>
  <c r="P235" i="10"/>
  <c r="P232" i="10"/>
  <c r="P296" i="10"/>
  <c r="P218" i="10"/>
  <c r="P281" i="10"/>
  <c r="P347" i="10"/>
  <c r="P340" i="10"/>
  <c r="P325" i="10"/>
  <c r="P274" i="10"/>
  <c r="P338" i="10"/>
  <c r="P404" i="10"/>
  <c r="P426" i="10"/>
  <c r="AC426" i="10" s="1"/>
  <c r="P439" i="10"/>
  <c r="P397" i="10"/>
  <c r="P452" i="10"/>
  <c r="P450" i="10"/>
  <c r="P501" i="10"/>
  <c r="P498" i="10"/>
  <c r="P514" i="10"/>
  <c r="P537" i="10"/>
  <c r="P550" i="10"/>
  <c r="AB555" i="10"/>
  <c r="P8" i="10"/>
  <c r="P7" i="10"/>
  <c r="P555" i="10"/>
  <c r="P560" i="10"/>
  <c r="P540" i="10"/>
  <c r="P552" i="10"/>
  <c r="P539" i="10"/>
  <c r="P549" i="10"/>
  <c r="P534" i="10"/>
  <c r="P516" i="10"/>
  <c r="P531" i="10"/>
  <c r="P518" i="10"/>
  <c r="P499" i="10"/>
  <c r="P517" i="10"/>
  <c r="P533" i="10"/>
  <c r="P509" i="10"/>
  <c r="P496" i="10"/>
  <c r="P502" i="10"/>
  <c r="P487" i="10"/>
  <c r="P485" i="10"/>
  <c r="P469" i="10"/>
  <c r="P504" i="10"/>
  <c r="P480" i="10"/>
  <c r="P483" i="10"/>
  <c r="P471" i="10"/>
  <c r="P455" i="10"/>
  <c r="P470" i="10"/>
  <c r="P454" i="10"/>
  <c r="P441" i="10"/>
  <c r="P474" i="10"/>
  <c r="P440" i="10"/>
  <c r="P435" i="10"/>
  <c r="P417" i="10"/>
  <c r="P401" i="10"/>
  <c r="P385" i="10"/>
  <c r="P369" i="10"/>
  <c r="P464" i="10"/>
  <c r="P443" i="10"/>
  <c r="P431" i="10"/>
  <c r="P415" i="10"/>
  <c r="P399" i="10"/>
  <c r="P430" i="10"/>
  <c r="P414" i="10"/>
  <c r="P398" i="10"/>
  <c r="P424" i="10"/>
  <c r="P408" i="10"/>
  <c r="P392" i="10"/>
  <c r="P376" i="10"/>
  <c r="P358" i="10"/>
  <c r="P342" i="10"/>
  <c r="P326" i="10"/>
  <c r="P310" i="10"/>
  <c r="P294" i="10"/>
  <c r="P278" i="10"/>
  <c r="P262" i="10"/>
  <c r="P246" i="10"/>
  <c r="P345" i="10"/>
  <c r="P329" i="10"/>
  <c r="P313" i="10"/>
  <c r="P374" i="10"/>
  <c r="P360" i="10"/>
  <c r="P344" i="10"/>
  <c r="P328" i="10"/>
  <c r="P312" i="10"/>
  <c r="P367" i="10"/>
  <c r="P351" i="10"/>
  <c r="P335" i="10"/>
  <c r="P319" i="10"/>
  <c r="P301" i="10"/>
  <c r="P285" i="10"/>
  <c r="P269" i="10"/>
  <c r="P253" i="10"/>
  <c r="P238" i="10"/>
  <c r="P222" i="10"/>
  <c r="P206" i="10"/>
  <c r="P190" i="10"/>
  <c r="P174" i="10"/>
  <c r="P300" i="10"/>
  <c r="P284" i="10"/>
  <c r="P268" i="10"/>
  <c r="P252" i="10"/>
  <c r="P236" i="10"/>
  <c r="P220" i="10"/>
  <c r="P204" i="10"/>
  <c r="P379" i="10"/>
  <c r="P239" i="10"/>
  <c r="P223" i="10"/>
  <c r="P192" i="10"/>
  <c r="P176" i="10"/>
  <c r="P160" i="10"/>
  <c r="P144" i="10"/>
  <c r="P128" i="10"/>
  <c r="P112" i="10"/>
  <c r="P96" i="10"/>
  <c r="P80" i="10"/>
  <c r="P68" i="10"/>
  <c r="P199" i="10"/>
  <c r="P183" i="10"/>
  <c r="P167" i="10"/>
  <c r="P151" i="10"/>
  <c r="P135" i="10"/>
  <c r="P119" i="10"/>
  <c r="P103" i="10"/>
  <c r="P237" i="10"/>
  <c r="P221" i="10"/>
  <c r="P162" i="10"/>
  <c r="P146" i="10"/>
  <c r="P130" i="10"/>
  <c r="P114" i="10"/>
  <c r="P98" i="10"/>
  <c r="P82" i="10"/>
  <c r="P69" i="10"/>
  <c r="P87" i="10"/>
  <c r="P67" i="10"/>
  <c r="P58" i="10"/>
  <c r="P39" i="10"/>
  <c r="P21" i="10"/>
  <c r="P61" i="10"/>
  <c r="P299" i="10"/>
  <c r="P267" i="10"/>
  <c r="P161" i="10"/>
  <c r="P145" i="10"/>
  <c r="P129" i="10"/>
  <c r="P113" i="10"/>
  <c r="P57" i="10"/>
  <c r="P45" i="10"/>
  <c r="P42" i="10"/>
  <c r="P32" i="10"/>
  <c r="P205" i="10"/>
  <c r="P44" i="10"/>
  <c r="P85" i="10"/>
  <c r="P66" i="10"/>
  <c r="P49" i="10"/>
  <c r="P263" i="10"/>
  <c r="P173" i="10"/>
  <c r="P36" i="10"/>
  <c r="P20" i="10"/>
  <c r="P10" i="10"/>
  <c r="P12" i="10"/>
  <c r="P558" i="10"/>
  <c r="P548" i="10"/>
  <c r="P547" i="10"/>
  <c r="P546" i="10"/>
  <c r="P532" i="10"/>
  <c r="P541" i="10"/>
  <c r="P524" i="10"/>
  <c r="P535" i="10"/>
  <c r="P526" i="10"/>
  <c r="P507" i="10"/>
  <c r="P523" i="10"/>
  <c r="P510" i="10"/>
  <c r="P525" i="10"/>
  <c r="P515" i="10"/>
  <c r="P508" i="10"/>
  <c r="P494" i="10"/>
  <c r="P492" i="10"/>
  <c r="P477" i="10"/>
  <c r="P461" i="10"/>
  <c r="P493" i="10"/>
  <c r="P472" i="10"/>
  <c r="P475" i="10"/>
  <c r="P463" i="10"/>
  <c r="P446" i="10"/>
  <c r="P462" i="10"/>
  <c r="P449" i="10"/>
  <c r="P482" i="10"/>
  <c r="P448" i="10"/>
  <c r="P432" i="10"/>
  <c r="P425" i="10"/>
  <c r="P409" i="10"/>
  <c r="P393" i="10"/>
  <c r="P377" i="10"/>
  <c r="P361" i="10"/>
  <c r="P451" i="10"/>
  <c r="P437" i="10"/>
  <c r="P423" i="10"/>
  <c r="P407" i="10"/>
  <c r="P391" i="10"/>
  <c r="P422" i="10"/>
  <c r="P406" i="10"/>
  <c r="P390" i="10"/>
  <c r="P416" i="10"/>
  <c r="P400" i="10"/>
  <c r="P384" i="10"/>
  <c r="P366" i="10"/>
  <c r="P350" i="10"/>
  <c r="P334" i="10"/>
  <c r="P318" i="10"/>
  <c r="P302" i="10"/>
  <c r="P286" i="10"/>
  <c r="P270" i="10"/>
  <c r="P254" i="10"/>
  <c r="P353" i="10"/>
  <c r="P337" i="10"/>
  <c r="P321" i="10"/>
  <c r="P382" i="10"/>
  <c r="P368" i="10"/>
  <c r="P352" i="10"/>
  <c r="P336" i="10"/>
  <c r="P320" i="10"/>
  <c r="P434" i="10"/>
  <c r="P359" i="10"/>
  <c r="P343" i="10"/>
  <c r="P327" i="10"/>
  <c r="P311" i="10"/>
  <c r="P293" i="10"/>
  <c r="P277" i="10"/>
  <c r="P261" i="10"/>
  <c r="P245" i="10"/>
  <c r="P230" i="10"/>
  <c r="P214" i="10"/>
  <c r="P198" i="10"/>
  <c r="P182" i="10"/>
  <c r="P166" i="10"/>
  <c r="P292" i="10"/>
  <c r="P276" i="10"/>
  <c r="P260" i="10"/>
  <c r="P244" i="10"/>
  <c r="P228" i="10"/>
  <c r="P212" i="10"/>
  <c r="P196" i="10"/>
  <c r="P383" i="10"/>
  <c r="Q553" i="10"/>
  <c r="Q430" i="10"/>
  <c r="Q159" i="10"/>
  <c r="S159" i="10" s="1"/>
  <c r="Q62" i="10"/>
  <c r="S62" i="10" s="1"/>
  <c r="Q130" i="10"/>
  <c r="Q533" i="10"/>
  <c r="R533" i="10" s="1"/>
  <c r="Q472" i="10"/>
  <c r="S472" i="10" s="1"/>
  <c r="Q448" i="10"/>
  <c r="S448" i="10" s="1"/>
  <c r="Q349" i="10"/>
  <c r="Q312" i="10"/>
  <c r="Q147" i="10"/>
  <c r="S147" i="10" s="1"/>
  <c r="Q234" i="10"/>
  <c r="S234" i="10" s="1"/>
  <c r="Q196" i="10"/>
  <c r="Q37" i="10"/>
  <c r="Q523" i="10"/>
  <c r="S523" i="10" s="1"/>
  <c r="Q493" i="10"/>
  <c r="S493" i="10" s="1"/>
  <c r="Q372" i="10"/>
  <c r="R372" i="10" s="1"/>
  <c r="Q225" i="10"/>
  <c r="Q230" i="10"/>
  <c r="S230" i="10" s="1"/>
  <c r="Q178" i="10"/>
  <c r="Q200" i="10"/>
  <c r="Q443" i="10"/>
  <c r="Q201" i="10"/>
  <c r="S201" i="10" s="1"/>
  <c r="Q480" i="10"/>
  <c r="R480" i="10" s="1"/>
  <c r="Q400" i="10"/>
  <c r="Q401" i="10"/>
  <c r="R401" i="10" s="1"/>
  <c r="Q320" i="10"/>
  <c r="Q269" i="10"/>
  <c r="S269" i="10" s="1"/>
  <c r="Q252" i="10"/>
  <c r="Q35" i="10"/>
  <c r="O11" i="10"/>
  <c r="Q11" i="10" s="1"/>
  <c r="Q53" i="10"/>
  <c r="Q148" i="10"/>
  <c r="Q228" i="10"/>
  <c r="S228" i="10" s="1"/>
  <c r="Q88" i="10"/>
  <c r="Q95" i="10"/>
  <c r="Q191" i="10"/>
  <c r="Q275" i="10"/>
  <c r="R275" i="10" s="1"/>
  <c r="Q310" i="10"/>
  <c r="R310" i="10" s="1"/>
  <c r="Q199" i="10"/>
  <c r="S199" i="10" s="1"/>
  <c r="Q481" i="10"/>
  <c r="R481" i="10" s="1"/>
  <c r="Q367" i="10"/>
  <c r="R367" i="10" s="1"/>
  <c r="Q442" i="10"/>
  <c r="R442" i="10" s="1"/>
  <c r="Q406" i="10"/>
  <c r="Q449" i="10"/>
  <c r="Q500" i="10"/>
  <c r="Q10" i="10"/>
  <c r="R10" i="10" s="1"/>
  <c r="Q7" i="10"/>
  <c r="Q559" i="10"/>
  <c r="Q560" i="10"/>
  <c r="R560" i="10" s="1"/>
  <c r="Q537" i="10"/>
  <c r="S537" i="10" s="1"/>
  <c r="Q536" i="10"/>
  <c r="R536" i="10" s="1"/>
  <c r="Q517" i="10"/>
  <c r="Q507" i="10"/>
  <c r="Q524" i="10"/>
  <c r="S524" i="10" s="1"/>
  <c r="Q528" i="10"/>
  <c r="R528" i="10" s="1"/>
  <c r="Q482" i="10"/>
  <c r="Q466" i="10"/>
  <c r="Q453" i="10"/>
  <c r="S453" i="10" s="1"/>
  <c r="Q495" i="10"/>
  <c r="S495" i="10" s="1"/>
  <c r="Q459" i="10"/>
  <c r="Q492" i="10"/>
  <c r="Q410" i="10"/>
  <c r="S410" i="10" s="1"/>
  <c r="Q394" i="10"/>
  <c r="S394" i="10" s="1"/>
  <c r="Q477" i="10"/>
  <c r="Q436" i="10"/>
  <c r="R436" i="10" s="1"/>
  <c r="Q446" i="10"/>
  <c r="S446" i="10" s="1"/>
  <c r="Q423" i="10"/>
  <c r="Q407" i="10"/>
  <c r="Q391" i="10"/>
  <c r="Q370" i="10"/>
  <c r="S370" i="10" s="1"/>
  <c r="Q355" i="10"/>
  <c r="R355" i="10" s="1"/>
  <c r="Q339" i="10"/>
  <c r="Q323" i="10"/>
  <c r="Q306" i="10"/>
  <c r="R306" i="10" s="1"/>
  <c r="Q375" i="10"/>
  <c r="R375" i="10" s="1"/>
  <c r="Q235" i="10"/>
  <c r="Q219" i="10"/>
  <c r="R219" i="10" s="1"/>
  <c r="Q203" i="10"/>
  <c r="Q362" i="10"/>
  <c r="Q346" i="10"/>
  <c r="Q330" i="10"/>
  <c r="Q314" i="10"/>
  <c r="Q302" i="10"/>
  <c r="Q294" i="10"/>
  <c r="Q286" i="10"/>
  <c r="Q278" i="10"/>
  <c r="Q270" i="10"/>
  <c r="R270" i="10" s="1"/>
  <c r="Q262" i="10"/>
  <c r="S262" i="10" s="1"/>
  <c r="Q254" i="10"/>
  <c r="S254" i="10" s="1"/>
  <c r="Q246" i="10"/>
  <c r="S246" i="10" s="1"/>
  <c r="Q179" i="10"/>
  <c r="S179" i="10" s="1"/>
  <c r="Q131" i="10"/>
  <c r="Q115" i="10"/>
  <c r="Q99" i="10"/>
  <c r="S99" i="10" s="1"/>
  <c r="Q83" i="10"/>
  <c r="S83" i="10" s="1"/>
  <c r="Q161" i="10"/>
  <c r="Q145" i="10"/>
  <c r="S145" i="10" s="1"/>
  <c r="Q20" i="10"/>
  <c r="S20" i="10" s="1"/>
  <c r="Q63" i="10"/>
  <c r="Q24" i="10"/>
  <c r="S24" i="10" s="1"/>
  <c r="Q72" i="10"/>
  <c r="Q232" i="10"/>
  <c r="R232" i="10" s="1"/>
  <c r="Q216" i="10"/>
  <c r="S216" i="10" s="1"/>
  <c r="Q184" i="10"/>
  <c r="Q168" i="10"/>
  <c r="R168" i="10" s="1"/>
  <c r="Q152" i="10"/>
  <c r="S152" i="10" s="1"/>
  <c r="Q136" i="10"/>
  <c r="Q120" i="10"/>
  <c r="Q104" i="10"/>
  <c r="S104" i="10" s="1"/>
  <c r="Q55" i="10"/>
  <c r="B43" i="10"/>
  <c r="Q68" i="10"/>
  <c r="S68" i="10" s="1"/>
  <c r="Q39" i="10"/>
  <c r="Q19" i="10"/>
  <c r="R19" i="10" s="1"/>
  <c r="Q30" i="10"/>
  <c r="Q49" i="10"/>
  <c r="Q102" i="10"/>
  <c r="Q28" i="10"/>
  <c r="Q81" i="10"/>
  <c r="S81" i="10" s="1"/>
  <c r="Q109" i="10"/>
  <c r="Q125" i="10"/>
  <c r="S125" i="10" s="1"/>
  <c r="Q242" i="10"/>
  <c r="Q276" i="10"/>
  <c r="Q155" i="10"/>
  <c r="Q249" i="10"/>
  <c r="Q265" i="10"/>
  <c r="R265" i="10" s="1"/>
  <c r="Q281" i="10"/>
  <c r="S281" i="10" s="1"/>
  <c r="Q297" i="10"/>
  <c r="R297" i="10" s="1"/>
  <c r="Q387" i="10"/>
  <c r="Q237" i="10"/>
  <c r="S237" i="10" s="1"/>
  <c r="Q313" i="10"/>
  <c r="R313" i="10" s="1"/>
  <c r="Q345" i="10"/>
  <c r="Q385" i="10"/>
  <c r="S385" i="10" s="1"/>
  <c r="Q457" i="10"/>
  <c r="R457" i="10" s="1"/>
  <c r="Q392" i="10"/>
  <c r="S392" i="10" s="1"/>
  <c r="Q424" i="10"/>
  <c r="R424" i="10" s="1"/>
  <c r="Q491" i="10"/>
  <c r="Q530" i="10"/>
  <c r="S530" i="10" s="1"/>
  <c r="Q177" i="10"/>
  <c r="R177" i="10" s="1"/>
  <c r="Q332" i="10"/>
  <c r="Q452" i="10"/>
  <c r="Q532" i="10"/>
  <c r="S532" i="10" s="1"/>
  <c r="Q42" i="10"/>
  <c r="R42" i="10" s="1"/>
  <c r="Q106" i="10"/>
  <c r="S106" i="10" s="1"/>
  <c r="Q170" i="10"/>
  <c r="Q71" i="10"/>
  <c r="S71" i="10" s="1"/>
  <c r="Q214" i="10"/>
  <c r="Q169" i="10"/>
  <c r="Q209" i="10"/>
  <c r="Q324" i="10"/>
  <c r="S324" i="10" s="1"/>
  <c r="Q368" i="10"/>
  <c r="S368" i="10" s="1"/>
  <c r="Q421" i="10"/>
  <c r="S421" i="10" s="1"/>
  <c r="Q494" i="10"/>
  <c r="Q476" i="10"/>
  <c r="R476" i="10" s="1"/>
  <c r="Q538" i="10"/>
  <c r="Q198" i="10"/>
  <c r="Q490" i="10"/>
  <c r="S490" i="10" s="1"/>
  <c r="Q86" i="10"/>
  <c r="S86" i="10" s="1"/>
  <c r="Q158" i="10"/>
  <c r="R158" i="10" s="1"/>
  <c r="Q50" i="10"/>
  <c r="R50" i="10" s="1"/>
  <c r="Q218" i="10"/>
  <c r="R218" i="10" s="1"/>
  <c r="Q264" i="10"/>
  <c r="S264" i="10" s="1"/>
  <c r="Q296" i="10"/>
  <c r="Q189" i="10"/>
  <c r="Q229" i="10"/>
  <c r="S229" i="10" s="1"/>
  <c r="Q309" i="10"/>
  <c r="R309" i="10" s="1"/>
  <c r="Q341" i="10"/>
  <c r="S341" i="10" s="1"/>
  <c r="Q376" i="10"/>
  <c r="R376" i="10" s="1"/>
  <c r="Q425" i="10"/>
  <c r="S425" i="10" s="1"/>
  <c r="Q404" i="10"/>
  <c r="R404" i="10" s="1"/>
  <c r="Q456" i="10"/>
  <c r="Q506" i="10"/>
  <c r="Q551" i="10"/>
  <c r="S551" i="10" s="1"/>
  <c r="Q27" i="10"/>
  <c r="S27" i="10" s="1"/>
  <c r="Q114" i="10"/>
  <c r="Q166" i="10"/>
  <c r="Q204" i="10"/>
  <c r="S204" i="10" s="1"/>
  <c r="Q45" i="10"/>
  <c r="R45" i="10" s="1"/>
  <c r="Q143" i="10"/>
  <c r="Q217" i="10"/>
  <c r="Q469" i="10"/>
  <c r="Q460" i="10"/>
  <c r="R460" i="10" s="1"/>
  <c r="Q542" i="10"/>
  <c r="R542" i="10" s="1"/>
  <c r="Q12" i="10"/>
  <c r="Q549" i="10"/>
  <c r="Q541" i="10"/>
  <c r="AC541" i="10" s="1"/>
  <c r="Q540" i="10"/>
  <c r="Q525" i="10"/>
  <c r="R525" i="10" s="1"/>
  <c r="Q512" i="10"/>
  <c r="Q499" i="10"/>
  <c r="Q511" i="10"/>
  <c r="R511" i="10" s="1"/>
  <c r="Q489" i="10"/>
  <c r="Q474" i="10"/>
  <c r="Q458" i="10"/>
  <c r="Q445" i="10"/>
  <c r="R445" i="10" s="1"/>
  <c r="Q467" i="10"/>
  <c r="Q434" i="10"/>
  <c r="R434" i="10" s="1"/>
  <c r="Q418" i="10"/>
  <c r="R418" i="10" s="1"/>
  <c r="Q402" i="10"/>
  <c r="S402" i="10" s="1"/>
  <c r="Q386" i="10"/>
  <c r="Q433" i="10"/>
  <c r="Q473" i="10"/>
  <c r="Q431" i="10"/>
  <c r="R431" i="10" s="1"/>
  <c r="Q415" i="10"/>
  <c r="Q399" i="10"/>
  <c r="Q378" i="10"/>
  <c r="Q363" i="10"/>
  <c r="Q347" i="10"/>
  <c r="Q331" i="10"/>
  <c r="Q315" i="10"/>
  <c r="Q383" i="10"/>
  <c r="S383" i="10" s="1"/>
  <c r="Q243" i="10"/>
  <c r="Q227" i="10"/>
  <c r="S227" i="10" s="1"/>
  <c r="Q211" i="10"/>
  <c r="Q195" i="10"/>
  <c r="S195" i="10" s="1"/>
  <c r="Q354" i="10"/>
  <c r="Q338" i="10"/>
  <c r="Q322" i="10"/>
  <c r="R322" i="10" s="1"/>
  <c r="Q307" i="10"/>
  <c r="S307" i="10" s="1"/>
  <c r="Q298" i="10"/>
  <c r="R298" i="10" s="1"/>
  <c r="Q290" i="10"/>
  <c r="Q282" i="10"/>
  <c r="R282" i="10" s="1"/>
  <c r="Q274" i="10"/>
  <c r="Q266" i="10"/>
  <c r="R266" i="10" s="1"/>
  <c r="Q258" i="10"/>
  <c r="Q250" i="10"/>
  <c r="Q187" i="10"/>
  <c r="R187" i="10" s="1"/>
  <c r="Q171" i="10"/>
  <c r="Q123" i="10"/>
  <c r="Q107" i="10"/>
  <c r="R107" i="10" s="1"/>
  <c r="Q91" i="10"/>
  <c r="S91" i="10" s="1"/>
  <c r="Q75" i="10"/>
  <c r="Q153" i="10"/>
  <c r="Q137" i="10"/>
  <c r="Q84" i="10"/>
  <c r="R84" i="10" s="1"/>
  <c r="Q48" i="10"/>
  <c r="Q80" i="10"/>
  <c r="Q240" i="10"/>
  <c r="S240" i="10" s="1"/>
  <c r="Q224" i="10"/>
  <c r="Q192" i="10"/>
  <c r="Q176" i="10"/>
  <c r="S176" i="10" s="1"/>
  <c r="Q160" i="10"/>
  <c r="Q144" i="10"/>
  <c r="R144" i="10" s="1"/>
  <c r="Q128" i="10"/>
  <c r="Q112" i="10"/>
  <c r="S112" i="10" s="1"/>
  <c r="Q61" i="10"/>
  <c r="S61" i="10" s="1"/>
  <c r="Q51" i="10"/>
  <c r="Q29" i="10"/>
  <c r="S29" i="10" s="1"/>
  <c r="Q43" i="10"/>
  <c r="Q31" i="10"/>
  <c r="R31" i="10" s="1"/>
  <c r="Q40" i="10"/>
  <c r="S40" i="10" s="1"/>
  <c r="Q66" i="10"/>
  <c r="Q78" i="10"/>
  <c r="S78" i="10" s="1"/>
  <c r="Q134" i="10"/>
  <c r="S134" i="10" s="1"/>
  <c r="Q52" i="10"/>
  <c r="S52" i="10" s="1"/>
  <c r="Q101" i="10"/>
  <c r="Q117" i="10"/>
  <c r="Q210" i="10"/>
  <c r="S210" i="10" s="1"/>
  <c r="Q260" i="10"/>
  <c r="R260" i="10" s="1"/>
  <c r="Q292" i="10"/>
  <c r="Q181" i="10"/>
  <c r="Q257" i="10"/>
  <c r="AC257" i="10" s="1"/>
  <c r="Q273" i="10"/>
  <c r="R273" i="10" s="1"/>
  <c r="Q289" i="10"/>
  <c r="R289" i="10" s="1"/>
  <c r="Q305" i="10"/>
  <c r="Q205" i="10"/>
  <c r="R205" i="10" s="1"/>
  <c r="Q336" i="10"/>
  <c r="S336" i="10" s="1"/>
  <c r="Q329" i="10"/>
  <c r="Q8" i="10"/>
  <c r="Q545" i="10"/>
  <c r="S545" i="10" s="1"/>
  <c r="Q555" i="10"/>
  <c r="S555" i="10" s="1"/>
  <c r="Q531" i="10"/>
  <c r="R531" i="10" s="1"/>
  <c r="Q521" i="10"/>
  <c r="S521" i="10" s="1"/>
  <c r="Q508" i="10"/>
  <c r="Q504" i="10"/>
  <c r="S504" i="10" s="1"/>
  <c r="Q496" i="10"/>
  <c r="Q486" i="10"/>
  <c r="R486" i="10" s="1"/>
  <c r="Q470" i="10"/>
  <c r="R470" i="10" s="1"/>
  <c r="Q454" i="10"/>
  <c r="S454" i="10" s="1"/>
  <c r="Q441" i="10"/>
  <c r="Q463" i="10"/>
  <c r="Q428" i="10"/>
  <c r="Q414" i="10"/>
  <c r="R414" i="10" s="1"/>
  <c r="Q398" i="10"/>
  <c r="Q485" i="10"/>
  <c r="Q438" i="10"/>
  <c r="R438" i="10" s="1"/>
  <c r="Q450" i="10"/>
  <c r="R450" i="10" s="1"/>
  <c r="Q427" i="10"/>
  <c r="Q411" i="10"/>
  <c r="Q395" i="10"/>
  <c r="Q374" i="10"/>
  <c r="R374" i="10" s="1"/>
  <c r="Q359" i="10"/>
  <c r="S359" i="10" s="1"/>
  <c r="Q343" i="10"/>
  <c r="S343" i="10" s="1"/>
  <c r="Q327" i="10"/>
  <c r="S327" i="10" s="1"/>
  <c r="Q311" i="10"/>
  <c r="S311" i="10" s="1"/>
  <c r="Q379" i="10"/>
  <c r="Q239" i="10"/>
  <c r="S239" i="10" s="1"/>
  <c r="Q223" i="10"/>
  <c r="Q207" i="10"/>
  <c r="S207" i="10" s="1"/>
  <c r="Q366" i="10"/>
  <c r="S366" i="10" s="1"/>
  <c r="Q350" i="10"/>
  <c r="R350" i="10" s="1"/>
  <c r="Q334" i="10"/>
  <c r="S334" i="10" s="1"/>
  <c r="Q318" i="10"/>
  <c r="Q303" i="10"/>
  <c r="Q295" i="10"/>
  <c r="Q287" i="10"/>
  <c r="R287" i="10" s="1"/>
  <c r="Q279" i="10"/>
  <c r="Q271" i="10"/>
  <c r="S271" i="10" s="1"/>
  <c r="Q263" i="10"/>
  <c r="Q255" i="10"/>
  <c r="R255" i="10" s="1"/>
  <c r="Q247" i="10"/>
  <c r="R247" i="10" s="1"/>
  <c r="Q183" i="10"/>
  <c r="Q167" i="10"/>
  <c r="S167" i="10" s="1"/>
  <c r="Q119" i="10"/>
  <c r="R119" i="10" s="1"/>
  <c r="Q103" i="10"/>
  <c r="S103" i="10" s="1"/>
  <c r="Q87" i="10"/>
  <c r="Q67" i="10"/>
  <c r="S67" i="10" s="1"/>
  <c r="Q149" i="10"/>
  <c r="S149" i="10" s="1"/>
  <c r="Q44" i="10"/>
  <c r="S44" i="10" s="1"/>
  <c r="Q65" i="10"/>
  <c r="Q26" i="10"/>
  <c r="R26" i="10" s="1"/>
  <c r="Q76" i="10"/>
  <c r="Q236" i="10"/>
  <c r="Q220" i="10"/>
  <c r="Q188" i="10"/>
  <c r="Q172" i="10"/>
  <c r="Q156" i="10"/>
  <c r="R156" i="10" s="1"/>
  <c r="Q140" i="10"/>
  <c r="Q124" i="10"/>
  <c r="Q108" i="10"/>
  <c r="AC108" i="10" s="1"/>
  <c r="Q59" i="10"/>
  <c r="Q46" i="10"/>
  <c r="S46" i="10" s="1"/>
  <c r="Q96" i="10"/>
  <c r="Q41" i="10"/>
  <c r="Q23" i="10"/>
  <c r="R23" i="10" s="1"/>
  <c r="Q21" i="10"/>
  <c r="S21" i="10" s="1"/>
  <c r="Q47" i="10"/>
  <c r="Q94" i="10"/>
  <c r="R94" i="10" s="1"/>
  <c r="Q150" i="10"/>
  <c r="S150" i="10" s="1"/>
  <c r="Q57" i="10"/>
  <c r="Q105" i="10"/>
  <c r="R105" i="10" s="1"/>
  <c r="Q121" i="10"/>
  <c r="Q226" i="10"/>
  <c r="S226" i="10" s="1"/>
  <c r="Q268" i="10"/>
  <c r="Q139" i="10"/>
  <c r="Q245" i="10"/>
  <c r="AC245" i="10" s="1"/>
  <c r="Q261" i="10"/>
  <c r="S261" i="10" s="1"/>
  <c r="Q277" i="10"/>
  <c r="R277" i="10" s="1"/>
  <c r="Q293" i="10"/>
  <c r="S293" i="10" s="1"/>
  <c r="Q381" i="10"/>
  <c r="S381" i="10" s="1"/>
  <c r="Q221" i="10"/>
  <c r="Q352" i="10"/>
  <c r="S352" i="10" s="1"/>
  <c r="Q337" i="10"/>
  <c r="Q435" i="10"/>
  <c r="S435" i="10" s="1"/>
  <c r="Q461" i="10"/>
  <c r="R461" i="10" s="1"/>
  <c r="Q384" i="10"/>
  <c r="Q416" i="10"/>
  <c r="Q464" i="10"/>
  <c r="Q520" i="10"/>
  <c r="Q527" i="10"/>
  <c r="Q316" i="10"/>
  <c r="R316" i="10" s="1"/>
  <c r="Q397" i="10"/>
  <c r="R397" i="10" s="1"/>
  <c r="Q484" i="10"/>
  <c r="S484" i="10" s="1"/>
  <c r="Q32" i="10"/>
  <c r="Q90" i="10"/>
  <c r="Q154" i="10"/>
  <c r="R154" i="10" s="1"/>
  <c r="Q194" i="10"/>
  <c r="Q133" i="10"/>
  <c r="S133" i="10" s="1"/>
  <c r="Q151" i="10"/>
  <c r="S151" i="10" s="1"/>
  <c r="Q373" i="10"/>
  <c r="Q308" i="10"/>
  <c r="S308" i="10" s="1"/>
  <c r="Q360" i="10"/>
  <c r="R360" i="10" s="1"/>
  <c r="Q405" i="10"/>
  <c r="Q468" i="10"/>
  <c r="Q505" i="10"/>
  <c r="R505" i="10" s="1"/>
  <c r="Q515" i="10"/>
  <c r="Q535" i="10"/>
  <c r="S535" i="10" s="1"/>
  <c r="Q447" i="10"/>
  <c r="S447" i="10" s="1"/>
  <c r="Q70" i="10"/>
  <c r="R70" i="10" s="1"/>
  <c r="Q142" i="10"/>
  <c r="Q38" i="10"/>
  <c r="Q89" i="10"/>
  <c r="Q256" i="10"/>
  <c r="R256" i="10" s="1"/>
  <c r="Q288" i="10"/>
  <c r="Q173" i="10"/>
  <c r="Q213" i="10"/>
  <c r="R213" i="10" s="1"/>
  <c r="Q344" i="10"/>
  <c r="S344" i="10" s="1"/>
  <c r="Q333" i="10"/>
  <c r="Q369" i="10"/>
  <c r="R369" i="10" s="1"/>
  <c r="Q409" i="10"/>
  <c r="R409" i="10" s="1"/>
  <c r="Q396" i="10"/>
  <c r="S396" i="10" s="1"/>
  <c r="Q479" i="10"/>
  <c r="Q501" i="10"/>
  <c r="Q519" i="10"/>
  <c r="S519" i="10" s="1"/>
  <c r="Q557" i="10"/>
  <c r="Q98" i="10"/>
  <c r="S98" i="10" s="1"/>
  <c r="Q162" i="10"/>
  <c r="R162" i="10" s="1"/>
  <c r="Q190" i="10"/>
  <c r="S190" i="10" s="1"/>
  <c r="Q22" i="10"/>
  <c r="R22" i="10" s="1"/>
  <c r="Q238" i="10"/>
  <c r="Q206" i="10"/>
  <c r="Q429" i="10"/>
  <c r="R429" i="10" s="1"/>
  <c r="Q451" i="10"/>
  <c r="R451" i="10" s="1"/>
  <c r="Q550" i="10"/>
  <c r="Q547" i="10"/>
  <c r="R547" i="10" s="1"/>
  <c r="Q554" i="10"/>
  <c r="R554" i="10" s="1"/>
  <c r="Q439" i="10"/>
  <c r="R439" i="10" s="1"/>
  <c r="Q193" i="10"/>
  <c r="Q208" i="10"/>
  <c r="Q146" i="10"/>
  <c r="Q539" i="10"/>
  <c r="R539" i="10" s="1"/>
  <c r="Q498" i="10"/>
  <c r="Q388" i="10"/>
  <c r="Q357" i="10"/>
  <c r="S357" i="10" s="1"/>
  <c r="Q328" i="10"/>
  <c r="R328" i="10" s="1"/>
  <c r="Q163" i="10"/>
  <c r="Q248" i="10"/>
  <c r="R248" i="10" s="1"/>
  <c r="Q25" i="10"/>
  <c r="R25" i="10" s="1"/>
  <c r="Q64" i="10"/>
  <c r="R64" i="10" s="1"/>
  <c r="Q546" i="10"/>
  <c r="Q487" i="10"/>
  <c r="Q389" i="10"/>
  <c r="S389" i="10" s="1"/>
  <c r="Q241" i="10"/>
  <c r="Q135" i="10"/>
  <c r="Q186" i="10"/>
  <c r="Q74" i="10"/>
  <c r="R74" i="10" s="1"/>
  <c r="Q483" i="10"/>
  <c r="R483" i="10" s="1"/>
  <c r="Q233" i="10"/>
  <c r="Q497" i="10"/>
  <c r="Q408" i="10"/>
  <c r="S408" i="10" s="1"/>
  <c r="Q417" i="10"/>
  <c r="S417" i="10" s="1"/>
  <c r="Q321" i="10"/>
  <c r="Q285" i="10"/>
  <c r="R285" i="10" s="1"/>
  <c r="Q284" i="10"/>
  <c r="R284" i="10" s="1"/>
  <c r="Q97" i="10"/>
  <c r="S97" i="10" s="1"/>
  <c r="Q34" i="10"/>
  <c r="Q36" i="10"/>
  <c r="S36" i="10" s="1"/>
  <c r="Q132" i="10"/>
  <c r="Q212" i="10"/>
  <c r="S212" i="10" s="1"/>
  <c r="Q60" i="10"/>
  <c r="Q79" i="10"/>
  <c r="Q175" i="10"/>
  <c r="S175" i="10" s="1"/>
  <c r="Q267" i="10"/>
  <c r="S267" i="10" s="1"/>
  <c r="Q299" i="10"/>
  <c r="R299" i="10" s="1"/>
  <c r="Q358" i="10"/>
  <c r="Q371" i="10"/>
  <c r="Q351" i="10"/>
  <c r="Q419" i="10"/>
  <c r="Q390" i="10"/>
  <c r="Q488" i="10"/>
  <c r="Q518" i="10"/>
  <c r="Q529" i="10"/>
  <c r="R7" i="5"/>
  <c r="AC7" i="5"/>
  <c r="AD7" i="5" s="1"/>
  <c r="AT10" i="10"/>
  <c r="AU10" i="10"/>
  <c r="Q274" i="5"/>
  <c r="R274" i="5" s="1"/>
  <c r="Q481" i="5"/>
  <c r="S481" i="5" s="1"/>
  <c r="Q205" i="5"/>
  <c r="R205" i="5" s="1"/>
  <c r="Q288" i="5"/>
  <c r="R288" i="5" s="1"/>
  <c r="Q52" i="5"/>
  <c r="R52" i="5" s="1"/>
  <c r="Q397" i="5"/>
  <c r="R397" i="5" s="1"/>
  <c r="Q422" i="5"/>
  <c r="R422" i="5" s="1"/>
  <c r="Q115" i="5"/>
  <c r="S115" i="5" s="1"/>
  <c r="Q470" i="5"/>
  <c r="S470" i="5" s="1"/>
  <c r="X7" i="10"/>
  <c r="Y7" i="10"/>
  <c r="T9" i="10"/>
  <c r="AJ9" i="10"/>
  <c r="Z9" i="10"/>
  <c r="AM9" i="10"/>
  <c r="Q9" i="10"/>
  <c r="W9" i="10"/>
  <c r="AP9" i="10"/>
  <c r="AG9" i="10"/>
  <c r="X8" i="10"/>
  <c r="Y8" i="10"/>
  <c r="X10" i="10"/>
  <c r="Y10" i="10"/>
  <c r="Q117" i="5"/>
  <c r="S117" i="5" s="1"/>
  <c r="Q440" i="5"/>
  <c r="R440" i="5" s="1"/>
  <c r="Q540" i="5"/>
  <c r="S540" i="5" s="1"/>
  <c r="X12" i="10"/>
  <c r="Y12" i="10"/>
  <c r="Y13" i="10"/>
  <c r="X13" i="10"/>
  <c r="Q22" i="5"/>
  <c r="S22" i="5" s="1"/>
  <c r="Q138" i="5"/>
  <c r="S138" i="5" s="1"/>
  <c r="Q229" i="5"/>
  <c r="R229" i="5" s="1"/>
  <c r="Q408" i="5"/>
  <c r="R408" i="5" s="1"/>
  <c r="Q437" i="5"/>
  <c r="R437" i="5" s="1"/>
  <c r="Q89" i="5"/>
  <c r="S89" i="5" s="1"/>
  <c r="Q204" i="5"/>
  <c r="R204" i="5" s="1"/>
  <c r="Q73" i="5"/>
  <c r="S73" i="5" s="1"/>
  <c r="Q216" i="5"/>
  <c r="R216" i="5" s="1"/>
  <c r="Q346" i="5"/>
  <c r="S346" i="5" s="1"/>
  <c r="Q504" i="5"/>
  <c r="R504" i="5" s="1"/>
  <c r="Q525" i="5"/>
  <c r="R525" i="5" s="1"/>
  <c r="Q306" i="5"/>
  <c r="S306" i="5" s="1"/>
  <c r="X473" i="10"/>
  <c r="Y473" i="10"/>
  <c r="X415" i="10"/>
  <c r="Y415" i="10"/>
  <c r="Y313" i="10"/>
  <c r="X313" i="10"/>
  <c r="X152" i="10"/>
  <c r="Y152" i="10"/>
  <c r="X284" i="10"/>
  <c r="Y284" i="10"/>
  <c r="Y79" i="10"/>
  <c r="X79" i="10"/>
  <c r="X186" i="10"/>
  <c r="Y186" i="10"/>
  <c r="Y546" i="10"/>
  <c r="X546" i="10"/>
  <c r="Y513" i="10"/>
  <c r="X513" i="10"/>
  <c r="Y443" i="10"/>
  <c r="X443" i="10"/>
  <c r="X427" i="10"/>
  <c r="Y427" i="10"/>
  <c r="X322" i="10"/>
  <c r="Y322" i="10"/>
  <c r="Y340" i="10"/>
  <c r="X340" i="10"/>
  <c r="Y227" i="10"/>
  <c r="X227" i="10"/>
  <c r="X377" i="10"/>
  <c r="Y377" i="10"/>
  <c r="Y141" i="10"/>
  <c r="X141" i="10"/>
  <c r="Y105" i="10"/>
  <c r="X105" i="10"/>
  <c r="Y139" i="10"/>
  <c r="X139" i="10"/>
  <c r="Y119" i="10"/>
  <c r="X119" i="10"/>
  <c r="Y196" i="10"/>
  <c r="X196" i="10"/>
  <c r="X44" i="10"/>
  <c r="Y44" i="10"/>
  <c r="Y66" i="10"/>
  <c r="X66" i="10"/>
  <c r="Y537" i="10"/>
  <c r="X537" i="10"/>
  <c r="Y501" i="10"/>
  <c r="X501" i="10"/>
  <c r="Y390" i="10"/>
  <c r="X390" i="10"/>
  <c r="X291" i="10"/>
  <c r="Y291" i="10"/>
  <c r="Y312" i="10"/>
  <c r="X312" i="10"/>
  <c r="Y153" i="10"/>
  <c r="X153" i="10"/>
  <c r="Y550" i="10"/>
  <c r="X550" i="10"/>
  <c r="Y523" i="10"/>
  <c r="X523" i="10"/>
  <c r="Y497" i="10"/>
  <c r="X497" i="10"/>
  <c r="Y439" i="10"/>
  <c r="X439" i="10"/>
  <c r="Y453" i="10"/>
  <c r="X453" i="10"/>
  <c r="X437" i="10"/>
  <c r="Y437" i="10"/>
  <c r="Y402" i="10"/>
  <c r="X402" i="10"/>
  <c r="X436" i="10"/>
  <c r="Y436" i="10"/>
  <c r="Y400" i="10"/>
  <c r="X400" i="10"/>
  <c r="X407" i="10"/>
  <c r="Y407" i="10"/>
  <c r="Y351" i="10"/>
  <c r="X351" i="10"/>
  <c r="Y319" i="10"/>
  <c r="X319" i="10"/>
  <c r="X267" i="10"/>
  <c r="Y267" i="10"/>
  <c r="X365" i="10"/>
  <c r="Y365" i="10"/>
  <c r="Y333" i="10"/>
  <c r="X333" i="10"/>
  <c r="Y364" i="10"/>
  <c r="X364" i="10"/>
  <c r="Y239" i="10"/>
  <c r="X239" i="10"/>
  <c r="Y175" i="10"/>
  <c r="X175" i="10"/>
  <c r="Y293" i="10"/>
  <c r="X293" i="10"/>
  <c r="Y277" i="10"/>
  <c r="X277" i="10"/>
  <c r="Y261" i="10"/>
  <c r="X261" i="10"/>
  <c r="Y245" i="10"/>
  <c r="X245" i="10"/>
  <c r="Y77" i="10"/>
  <c r="X77" i="10"/>
  <c r="X132" i="10"/>
  <c r="Y132" i="10"/>
  <c r="X100" i="10"/>
  <c r="Y100" i="10"/>
  <c r="X272" i="10"/>
  <c r="Y272" i="10"/>
  <c r="Y159" i="10"/>
  <c r="X159" i="10"/>
  <c r="X84" i="10"/>
  <c r="Y84" i="10"/>
  <c r="Y24" i="10"/>
  <c r="X24" i="10"/>
  <c r="X190" i="10"/>
  <c r="Y190" i="10"/>
  <c r="Y64" i="10"/>
  <c r="X64" i="10"/>
  <c r="Y57" i="10"/>
  <c r="X57" i="10"/>
  <c r="Y42" i="10"/>
  <c r="X42" i="10"/>
  <c r="Y462" i="10"/>
  <c r="X462" i="10"/>
  <c r="Y382" i="10"/>
  <c r="X382" i="10"/>
  <c r="Y331" i="10"/>
  <c r="X331" i="10"/>
  <c r="Y345" i="10"/>
  <c r="X345" i="10"/>
  <c r="Y549" i="10"/>
  <c r="X549" i="10"/>
  <c r="Y553" i="10"/>
  <c r="X553" i="10"/>
  <c r="Y521" i="10"/>
  <c r="X521" i="10"/>
  <c r="X516" i="10"/>
  <c r="Y516" i="10"/>
  <c r="Y493" i="10"/>
  <c r="X493" i="10"/>
  <c r="Y451" i="10"/>
  <c r="X451" i="10"/>
  <c r="Y370" i="10"/>
  <c r="X370" i="10"/>
  <c r="X279" i="10"/>
  <c r="Y279" i="10"/>
  <c r="Y376" i="10"/>
  <c r="X376" i="10"/>
  <c r="X334" i="10"/>
  <c r="Y334" i="10"/>
  <c r="Y348" i="10"/>
  <c r="X348" i="10"/>
  <c r="Y219" i="10"/>
  <c r="X219" i="10"/>
  <c r="X373" i="10"/>
  <c r="Y373" i="10"/>
  <c r="Y133" i="10"/>
  <c r="X133" i="10"/>
  <c r="Y101" i="10"/>
  <c r="X101" i="10"/>
  <c r="Y147" i="10"/>
  <c r="X147" i="10"/>
  <c r="Y204" i="10"/>
  <c r="X204" i="10"/>
  <c r="X58" i="10"/>
  <c r="Y58" i="10"/>
  <c r="Y47" i="10"/>
  <c r="X47" i="10"/>
  <c r="Y200" i="10"/>
  <c r="X200" i="10"/>
  <c r="Y40" i="10"/>
  <c r="X40" i="10"/>
  <c r="Y134" i="10"/>
  <c r="X134" i="10"/>
  <c r="Y61" i="10"/>
  <c r="X61" i="10"/>
  <c r="X214" i="10"/>
  <c r="Y214" i="10"/>
  <c r="X230" i="10"/>
  <c r="Y230" i="10"/>
  <c r="Y106" i="10"/>
  <c r="X106" i="10"/>
  <c r="Y138" i="10"/>
  <c r="X138" i="10"/>
  <c r="Y168" i="10"/>
  <c r="X168" i="10"/>
  <c r="Y184" i="10"/>
  <c r="X184" i="10"/>
  <c r="Y154" i="10"/>
  <c r="X154" i="10"/>
  <c r="Y169" i="10"/>
  <c r="X169" i="10"/>
  <c r="Y185" i="10"/>
  <c r="X185" i="10"/>
  <c r="X216" i="10"/>
  <c r="Y216" i="10"/>
  <c r="X232" i="10"/>
  <c r="Y232" i="10"/>
  <c r="Y209" i="10"/>
  <c r="X209" i="10"/>
  <c r="Y225" i="10"/>
  <c r="X225" i="10"/>
  <c r="Y241" i="10"/>
  <c r="X241" i="10"/>
  <c r="X258" i="10"/>
  <c r="Y258" i="10"/>
  <c r="X274" i="10"/>
  <c r="Y274" i="10"/>
  <c r="X290" i="10"/>
  <c r="Y290" i="10"/>
  <c r="X306" i="10"/>
  <c r="Y306" i="10"/>
  <c r="X389" i="10"/>
  <c r="Y389" i="10"/>
  <c r="X405" i="10"/>
  <c r="Y405" i="10"/>
  <c r="X421" i="10"/>
  <c r="Y421" i="10"/>
  <c r="X375" i="10"/>
  <c r="Y375" i="10"/>
  <c r="Y455" i="10"/>
  <c r="X455" i="10"/>
  <c r="Y494" i="10"/>
  <c r="X494" i="10"/>
  <c r="Y448" i="10"/>
  <c r="X448" i="10"/>
  <c r="Y489" i="10"/>
  <c r="X489" i="10"/>
  <c r="Y538" i="10"/>
  <c r="X538" i="10"/>
  <c r="Y515" i="10"/>
  <c r="X515" i="10"/>
  <c r="X540" i="10"/>
  <c r="Y540" i="10"/>
  <c r="Q9" i="5"/>
  <c r="Q65" i="5"/>
  <c r="S65" i="5" s="1"/>
  <c r="Q160" i="5"/>
  <c r="R160" i="5" s="1"/>
  <c r="Q188" i="5"/>
  <c r="S188" i="5" s="1"/>
  <c r="Q266" i="5"/>
  <c r="R266" i="5" s="1"/>
  <c r="Q287" i="5"/>
  <c r="R287" i="5" s="1"/>
  <c r="Q363" i="5"/>
  <c r="S363" i="5" s="1"/>
  <c r="Q483" i="5"/>
  <c r="S483" i="5" s="1"/>
  <c r="Q492" i="5"/>
  <c r="R492" i="5" s="1"/>
  <c r="Q515" i="5"/>
  <c r="R515" i="5" s="1"/>
  <c r="Q95" i="5"/>
  <c r="R95" i="5" s="1"/>
  <c r="Q329" i="5"/>
  <c r="R329" i="5" s="1"/>
  <c r="Q33" i="5"/>
  <c r="S33" i="5" s="1"/>
  <c r="X560" i="10"/>
  <c r="Y560" i="10"/>
  <c r="Y509" i="10"/>
  <c r="X509" i="10"/>
  <c r="Y447" i="10"/>
  <c r="X447" i="10"/>
  <c r="Y366" i="10"/>
  <c r="X366" i="10"/>
  <c r="Y355" i="10"/>
  <c r="X355" i="10"/>
  <c r="Y372" i="10"/>
  <c r="X372" i="10"/>
  <c r="Y328" i="10"/>
  <c r="X328" i="10"/>
  <c r="Y137" i="10"/>
  <c r="X137" i="10"/>
  <c r="X144" i="10"/>
  <c r="Y144" i="10"/>
  <c r="X112" i="10"/>
  <c r="Y112" i="10"/>
  <c r="X276" i="10"/>
  <c r="Y276" i="10"/>
  <c r="Y151" i="10"/>
  <c r="X151" i="10"/>
  <c r="Y63" i="10"/>
  <c r="X63" i="10"/>
  <c r="X55" i="10"/>
  <c r="Y55" i="10"/>
  <c r="Y38" i="10"/>
  <c r="X38" i="10"/>
  <c r="X178" i="10"/>
  <c r="Y178" i="10"/>
  <c r="X86" i="10"/>
  <c r="Y86" i="10"/>
  <c r="Y545" i="10"/>
  <c r="X545" i="10"/>
  <c r="Y529" i="10"/>
  <c r="X529" i="10"/>
  <c r="X511" i="10"/>
  <c r="Y511" i="10"/>
  <c r="X520" i="10"/>
  <c r="Y520" i="10"/>
  <c r="Y458" i="10"/>
  <c r="X458" i="10"/>
  <c r="Y471" i="10"/>
  <c r="X471" i="10"/>
  <c r="Y430" i="10"/>
  <c r="X430" i="10"/>
  <c r="Y424" i="10"/>
  <c r="X424" i="10"/>
  <c r="X411" i="10"/>
  <c r="Y411" i="10"/>
  <c r="X287" i="10"/>
  <c r="Y287" i="10"/>
  <c r="X346" i="10"/>
  <c r="Y346" i="10"/>
  <c r="X314" i="10"/>
  <c r="Y314" i="10"/>
  <c r="Y324" i="10"/>
  <c r="X324" i="10"/>
  <c r="Y211" i="10"/>
  <c r="X211" i="10"/>
  <c r="Y305" i="10"/>
  <c r="X305" i="10"/>
  <c r="Y129" i="10"/>
  <c r="X129" i="10"/>
  <c r="Y97" i="10"/>
  <c r="X97" i="10"/>
  <c r="Y131" i="10"/>
  <c r="X131" i="10"/>
  <c r="Y115" i="10"/>
  <c r="X115" i="10"/>
  <c r="Y99" i="10"/>
  <c r="X99" i="10"/>
  <c r="X88" i="10"/>
  <c r="Y88" i="10"/>
  <c r="Y20" i="10"/>
  <c r="X20" i="10"/>
  <c r="X98" i="10"/>
  <c r="Y98" i="10"/>
  <c r="X536" i="10"/>
  <c r="Y536" i="10"/>
  <c r="X491" i="10"/>
  <c r="Y491" i="10"/>
  <c r="Y396" i="10"/>
  <c r="X396" i="10"/>
  <c r="Y321" i="10"/>
  <c r="X321" i="10"/>
  <c r="Y215" i="10"/>
  <c r="X215" i="10"/>
  <c r="X556" i="10"/>
  <c r="Y556" i="10"/>
  <c r="X531" i="10"/>
  <c r="Y531" i="10"/>
  <c r="Y504" i="10"/>
  <c r="X504" i="10"/>
  <c r="Y505" i="10"/>
  <c r="X505" i="10"/>
  <c r="Y490" i="10"/>
  <c r="X490" i="10"/>
  <c r="Y449" i="10"/>
  <c r="X449" i="10"/>
  <c r="Y426" i="10"/>
  <c r="X426" i="10"/>
  <c r="Y394" i="10"/>
  <c r="X394" i="10"/>
  <c r="X432" i="10"/>
  <c r="Y432" i="10"/>
  <c r="Y392" i="10"/>
  <c r="X392" i="10"/>
  <c r="X391" i="10"/>
  <c r="Y391" i="10"/>
  <c r="Y343" i="10"/>
  <c r="X343" i="10"/>
  <c r="Y311" i="10"/>
  <c r="X311" i="10"/>
  <c r="X251" i="10"/>
  <c r="Y251" i="10"/>
  <c r="Y357" i="10"/>
  <c r="X357" i="10"/>
  <c r="Y325" i="10"/>
  <c r="X325" i="10"/>
  <c r="Y352" i="10"/>
  <c r="X352" i="10"/>
  <c r="Y223" i="10"/>
  <c r="X223" i="10"/>
  <c r="X300" i="10"/>
  <c r="Y300" i="10"/>
  <c r="Y289" i="10"/>
  <c r="X289" i="10"/>
  <c r="Y273" i="10"/>
  <c r="X273" i="10"/>
  <c r="Y257" i="10"/>
  <c r="X257" i="10"/>
  <c r="Y161" i="10"/>
  <c r="X161" i="10"/>
  <c r="X156" i="10"/>
  <c r="Y156" i="10"/>
  <c r="X124" i="10"/>
  <c r="Y124" i="10"/>
  <c r="X296" i="10"/>
  <c r="Y296" i="10"/>
  <c r="X264" i="10"/>
  <c r="Y264" i="10"/>
  <c r="Y143" i="10"/>
  <c r="X143" i="10"/>
  <c r="Y53" i="10"/>
  <c r="X53" i="10"/>
  <c r="X41" i="10"/>
  <c r="Y41" i="10"/>
  <c r="X182" i="10"/>
  <c r="Y182" i="10"/>
  <c r="Y56" i="10"/>
  <c r="X56" i="10"/>
  <c r="Y54" i="10"/>
  <c r="X54" i="10"/>
  <c r="X555" i="10"/>
  <c r="Y555" i="10"/>
  <c r="X485" i="10"/>
  <c r="Y485" i="10"/>
  <c r="Y420" i="10"/>
  <c r="X420" i="10"/>
  <c r="Y307" i="10"/>
  <c r="X307" i="10"/>
  <c r="Y337" i="10"/>
  <c r="X337" i="10"/>
  <c r="X559" i="10"/>
  <c r="Y559" i="10"/>
  <c r="Y542" i="10"/>
  <c r="X542" i="10"/>
  <c r="X532" i="10"/>
  <c r="Y532" i="10"/>
  <c r="Y492" i="10"/>
  <c r="X492" i="10"/>
  <c r="Y484" i="10"/>
  <c r="X484" i="10"/>
  <c r="X450" i="10"/>
  <c r="Y450" i="10"/>
  <c r="X419" i="10"/>
  <c r="Y419" i="10"/>
  <c r="X263" i="10"/>
  <c r="Y263" i="10"/>
  <c r="X358" i="10"/>
  <c r="Y358" i="10"/>
  <c r="X326" i="10"/>
  <c r="Y326" i="10"/>
  <c r="Y332" i="10"/>
  <c r="X332" i="10"/>
  <c r="Y203" i="10"/>
  <c r="X203" i="10"/>
  <c r="X206" i="10"/>
  <c r="Y206" i="10"/>
  <c r="Y125" i="10"/>
  <c r="X125" i="10"/>
  <c r="Y89" i="10"/>
  <c r="X89" i="10"/>
  <c r="Y91" i="10"/>
  <c r="X91" i="10"/>
  <c r="X96" i="10"/>
  <c r="Y96" i="10"/>
  <c r="X33" i="10"/>
  <c r="Y33" i="10"/>
  <c r="X43" i="10"/>
  <c r="Y43" i="10"/>
  <c r="X90" i="10"/>
  <c r="Y90" i="10"/>
  <c r="Y21" i="10"/>
  <c r="X21" i="10"/>
  <c r="Y27" i="10"/>
  <c r="X27" i="10"/>
  <c r="Y114" i="10"/>
  <c r="X114" i="10"/>
  <c r="Y146" i="10"/>
  <c r="X146" i="10"/>
  <c r="Y197" i="10"/>
  <c r="X197" i="10"/>
  <c r="X218" i="10"/>
  <c r="Y218" i="10"/>
  <c r="X234" i="10"/>
  <c r="Y234" i="10"/>
  <c r="Y110" i="10"/>
  <c r="X110" i="10"/>
  <c r="Y142" i="10"/>
  <c r="X142" i="10"/>
  <c r="Y172" i="10"/>
  <c r="X172" i="10"/>
  <c r="Y188" i="10"/>
  <c r="X188" i="10"/>
  <c r="Y162" i="10"/>
  <c r="X162" i="10"/>
  <c r="Y173" i="10"/>
  <c r="X173" i="10"/>
  <c r="Y189" i="10"/>
  <c r="X189" i="10"/>
  <c r="X220" i="10"/>
  <c r="Y220" i="10"/>
  <c r="X236" i="10"/>
  <c r="Y236" i="10"/>
  <c r="Y213" i="10"/>
  <c r="X213" i="10"/>
  <c r="Y229" i="10"/>
  <c r="X229" i="10"/>
  <c r="X246" i="10"/>
  <c r="Y246" i="10"/>
  <c r="X262" i="10"/>
  <c r="Y262" i="10"/>
  <c r="X278" i="10"/>
  <c r="Y278" i="10"/>
  <c r="X294" i="10"/>
  <c r="Y294" i="10"/>
  <c r="Y363" i="10"/>
  <c r="X363" i="10"/>
  <c r="X393" i="10"/>
  <c r="Y393" i="10"/>
  <c r="X409" i="10"/>
  <c r="Y409" i="10"/>
  <c r="X425" i="10"/>
  <c r="Y425" i="10"/>
  <c r="X379" i="10"/>
  <c r="Y379" i="10"/>
  <c r="Y463" i="10"/>
  <c r="X463" i="10"/>
  <c r="Y434" i="10"/>
  <c r="X434" i="10"/>
  <c r="Y452" i="10"/>
  <c r="X452" i="10"/>
  <c r="Y486" i="10"/>
  <c r="X486" i="10"/>
  <c r="X495" i="10"/>
  <c r="Y495" i="10"/>
  <c r="Y519" i="10"/>
  <c r="X519" i="10"/>
  <c r="X544" i="10"/>
  <c r="Y544" i="10"/>
  <c r="X496" i="10"/>
  <c r="Y496" i="10"/>
  <c r="Y398" i="10"/>
  <c r="X398" i="10"/>
  <c r="X275" i="10"/>
  <c r="Y275" i="10"/>
  <c r="Y167" i="10"/>
  <c r="X167" i="10"/>
  <c r="X120" i="10"/>
  <c r="Y120" i="10"/>
  <c r="X252" i="10"/>
  <c r="Y252" i="10"/>
  <c r="X68" i="10"/>
  <c r="Y68" i="10"/>
  <c r="X39" i="10"/>
  <c r="Y39" i="10"/>
  <c r="Y62" i="10"/>
  <c r="X62" i="10"/>
  <c r="Y45" i="10"/>
  <c r="X45" i="10"/>
  <c r="X534" i="10"/>
  <c r="Y534" i="10"/>
  <c r="Y482" i="10"/>
  <c r="X482" i="10"/>
  <c r="Y502" i="10"/>
  <c r="X502" i="10"/>
  <c r="Y428" i="10"/>
  <c r="X428" i="10"/>
  <c r="X303" i="10"/>
  <c r="Y303" i="10"/>
  <c r="X354" i="10"/>
  <c r="Y354" i="10"/>
  <c r="Y103" i="10"/>
  <c r="X103" i="10"/>
  <c r="S231" i="10"/>
  <c r="R231" i="10"/>
  <c r="Y525" i="10"/>
  <c r="X525" i="10"/>
  <c r="Y478" i="10"/>
  <c r="X478" i="10"/>
  <c r="Y464" i="10"/>
  <c r="X464" i="10"/>
  <c r="Y412" i="10"/>
  <c r="X412" i="10"/>
  <c r="Y339" i="10"/>
  <c r="X339" i="10"/>
  <c r="Y353" i="10"/>
  <c r="X353" i="10"/>
  <c r="Y231" i="10"/>
  <c r="X231" i="10"/>
  <c r="Y85" i="10"/>
  <c r="X85" i="10"/>
  <c r="X136" i="10"/>
  <c r="Y136" i="10"/>
  <c r="X104" i="10"/>
  <c r="Y104" i="10"/>
  <c r="X268" i="10"/>
  <c r="Y268" i="10"/>
  <c r="Y135" i="10"/>
  <c r="X135" i="10"/>
  <c r="X92" i="10"/>
  <c r="Y92" i="10"/>
  <c r="Y51" i="10"/>
  <c r="X51" i="10"/>
  <c r="Y28" i="10"/>
  <c r="X28" i="10"/>
  <c r="X170" i="10"/>
  <c r="Y170" i="10"/>
  <c r="X70" i="10"/>
  <c r="Y70" i="10"/>
  <c r="Y554" i="10"/>
  <c r="X554" i="10"/>
  <c r="Y530" i="10"/>
  <c r="X530" i="10"/>
  <c r="X507" i="10"/>
  <c r="Y507" i="10"/>
  <c r="Y488" i="10"/>
  <c r="X488" i="10"/>
  <c r="Y480" i="10"/>
  <c r="X480" i="10"/>
  <c r="X446" i="10"/>
  <c r="Y446" i="10"/>
  <c r="Y378" i="10"/>
  <c r="X378" i="10"/>
  <c r="X457" i="10"/>
  <c r="Y457" i="10"/>
  <c r="X395" i="10"/>
  <c r="Y395" i="10"/>
  <c r="X271" i="10"/>
  <c r="Y271" i="10"/>
  <c r="X338" i="10"/>
  <c r="Y338" i="10"/>
  <c r="X361" i="10"/>
  <c r="Y361" i="10"/>
  <c r="Y308" i="10"/>
  <c r="X308" i="10"/>
  <c r="Y195" i="10"/>
  <c r="X195" i="10"/>
  <c r="X202" i="10"/>
  <c r="Y202" i="10"/>
  <c r="Y121" i="10"/>
  <c r="X121" i="10"/>
  <c r="Y81" i="10"/>
  <c r="X81" i="10"/>
  <c r="Y127" i="10"/>
  <c r="X127" i="10"/>
  <c r="Y111" i="10"/>
  <c r="X111" i="10"/>
  <c r="Y83" i="10"/>
  <c r="X83" i="10"/>
  <c r="X72" i="10"/>
  <c r="Y72" i="10"/>
  <c r="X19" i="10"/>
  <c r="Y19" i="10"/>
  <c r="X82" i="10"/>
  <c r="Y82" i="10"/>
  <c r="Y517" i="10"/>
  <c r="X517" i="10"/>
  <c r="X477" i="10"/>
  <c r="Y477" i="10"/>
  <c r="Y347" i="10"/>
  <c r="X347" i="10"/>
  <c r="Y360" i="10"/>
  <c r="X360" i="10"/>
  <c r="X304" i="10"/>
  <c r="Y304" i="10"/>
  <c r="Y558" i="10"/>
  <c r="X558" i="10"/>
  <c r="X551" i="10"/>
  <c r="Y551" i="10"/>
  <c r="Y514" i="10"/>
  <c r="X514" i="10"/>
  <c r="Y470" i="10"/>
  <c r="X470" i="10"/>
  <c r="Y468" i="10"/>
  <c r="X468" i="10"/>
  <c r="Y445" i="10"/>
  <c r="X445" i="10"/>
  <c r="Y418" i="10"/>
  <c r="X418" i="10"/>
  <c r="Y386" i="10"/>
  <c r="X386" i="10"/>
  <c r="Y416" i="10"/>
  <c r="X416" i="10"/>
  <c r="Y384" i="10"/>
  <c r="X384" i="10"/>
  <c r="X469" i="10"/>
  <c r="Y469" i="10"/>
  <c r="Y335" i="10"/>
  <c r="X335" i="10"/>
  <c r="X299" i="10"/>
  <c r="Y299" i="10"/>
  <c r="Y435" i="10"/>
  <c r="X435" i="10"/>
  <c r="Y349" i="10"/>
  <c r="X349" i="10"/>
  <c r="Y317" i="10"/>
  <c r="X317" i="10"/>
  <c r="Y336" i="10"/>
  <c r="X336" i="10"/>
  <c r="Y207" i="10"/>
  <c r="X207" i="10"/>
  <c r="Y301" i="10"/>
  <c r="X301" i="10"/>
  <c r="Y285" i="10"/>
  <c r="X285" i="10"/>
  <c r="Y269" i="10"/>
  <c r="X269" i="10"/>
  <c r="Y253" i="10"/>
  <c r="X253" i="10"/>
  <c r="Y145" i="10"/>
  <c r="X145" i="10"/>
  <c r="X148" i="10"/>
  <c r="Y148" i="10"/>
  <c r="X116" i="10"/>
  <c r="Y116" i="10"/>
  <c r="X288" i="10"/>
  <c r="Y288" i="10"/>
  <c r="X256" i="10"/>
  <c r="Y256" i="10"/>
  <c r="Y87" i="10"/>
  <c r="X87" i="10"/>
  <c r="Y36" i="10"/>
  <c r="X36" i="10"/>
  <c r="Y35" i="10"/>
  <c r="X35" i="10"/>
  <c r="X174" i="10"/>
  <c r="Y174" i="10"/>
  <c r="X94" i="10"/>
  <c r="Y94" i="10"/>
  <c r="Y50" i="10"/>
  <c r="X50" i="10"/>
  <c r="Y526" i="10"/>
  <c r="X526" i="10"/>
  <c r="Y456" i="10"/>
  <c r="X456" i="10"/>
  <c r="Y388" i="10"/>
  <c r="X388" i="10"/>
  <c r="X259" i="10"/>
  <c r="Y259" i="10"/>
  <c r="Y368" i="10"/>
  <c r="X368" i="10"/>
  <c r="Y557" i="10"/>
  <c r="X557" i="10"/>
  <c r="Y533" i="10"/>
  <c r="X533" i="10"/>
  <c r="Y527" i="10"/>
  <c r="X527" i="10"/>
  <c r="Y474" i="10"/>
  <c r="X474" i="10"/>
  <c r="Y476" i="10"/>
  <c r="X476" i="10"/>
  <c r="X442" i="10"/>
  <c r="Y442" i="10"/>
  <c r="X403" i="10"/>
  <c r="Y403" i="10"/>
  <c r="X247" i="10"/>
  <c r="Y247" i="10"/>
  <c r="X350" i="10"/>
  <c r="Y350" i="10"/>
  <c r="X318" i="10"/>
  <c r="Y318" i="10"/>
  <c r="Y316" i="10"/>
  <c r="X316" i="10"/>
  <c r="Y187" i="10"/>
  <c r="X187" i="10"/>
  <c r="X198" i="10"/>
  <c r="Y198" i="10"/>
  <c r="Y117" i="10"/>
  <c r="X117" i="10"/>
  <c r="Y73" i="10"/>
  <c r="X73" i="10"/>
  <c r="Y75" i="10"/>
  <c r="X75" i="10"/>
  <c r="X80" i="10"/>
  <c r="Y80" i="10"/>
  <c r="Y22" i="10"/>
  <c r="X22" i="10"/>
  <c r="X31" i="10"/>
  <c r="Y31" i="10"/>
  <c r="X74" i="10"/>
  <c r="Y74" i="10"/>
  <c r="X30" i="10"/>
  <c r="Y30" i="10"/>
  <c r="Y34" i="10"/>
  <c r="X34" i="10"/>
  <c r="Y122" i="10"/>
  <c r="X122" i="10"/>
  <c r="Y150" i="10"/>
  <c r="X150" i="10"/>
  <c r="Y205" i="10"/>
  <c r="X205" i="10"/>
  <c r="X222" i="10"/>
  <c r="Y222" i="10"/>
  <c r="X238" i="10"/>
  <c r="Y238" i="10"/>
  <c r="Y118" i="10"/>
  <c r="X118" i="10"/>
  <c r="Y176" i="10"/>
  <c r="X176" i="10"/>
  <c r="Y192" i="10"/>
  <c r="X192" i="10"/>
  <c r="Y201" i="10"/>
  <c r="X201" i="10"/>
  <c r="Y177" i="10"/>
  <c r="X177" i="10"/>
  <c r="Y193" i="10"/>
  <c r="X193" i="10"/>
  <c r="X224" i="10"/>
  <c r="Y224" i="10"/>
  <c r="X240" i="10"/>
  <c r="Y240" i="10"/>
  <c r="Y217" i="10"/>
  <c r="X217" i="10"/>
  <c r="Y233" i="10"/>
  <c r="X233" i="10"/>
  <c r="X250" i="10"/>
  <c r="Y250" i="10"/>
  <c r="X266" i="10"/>
  <c r="Y266" i="10"/>
  <c r="X282" i="10"/>
  <c r="Y282" i="10"/>
  <c r="X298" i="10"/>
  <c r="Y298" i="10"/>
  <c r="Y367" i="10"/>
  <c r="X367" i="10"/>
  <c r="X397" i="10"/>
  <c r="Y397" i="10"/>
  <c r="X413" i="10"/>
  <c r="Y413" i="10"/>
  <c r="X429" i="10"/>
  <c r="Y429" i="10"/>
  <c r="X383" i="10"/>
  <c r="Y383" i="10"/>
  <c r="Y459" i="10"/>
  <c r="X459" i="10"/>
  <c r="Y440" i="10"/>
  <c r="X440" i="10"/>
  <c r="Y475" i="10"/>
  <c r="X475" i="10"/>
  <c r="Y498" i="10"/>
  <c r="X498" i="10"/>
  <c r="X499" i="10"/>
  <c r="Y499" i="10"/>
  <c r="Y543" i="10"/>
  <c r="X543" i="10"/>
  <c r="Q30" i="5"/>
  <c r="R30" i="5" s="1"/>
  <c r="Q90" i="5"/>
  <c r="S90" i="5" s="1"/>
  <c r="Q147" i="5"/>
  <c r="R147" i="5" s="1"/>
  <c r="Q194" i="5"/>
  <c r="S194" i="5" s="1"/>
  <c r="Q281" i="5"/>
  <c r="S281" i="5" s="1"/>
  <c r="Q411" i="5"/>
  <c r="R411" i="5" s="1"/>
  <c r="Q374" i="5"/>
  <c r="S374" i="5" s="1"/>
  <c r="Q519" i="5"/>
  <c r="R519" i="5" s="1"/>
  <c r="Q530" i="5"/>
  <c r="S530" i="5" s="1"/>
  <c r="Q403" i="5"/>
  <c r="S403" i="5" s="1"/>
  <c r="Q193" i="5"/>
  <c r="R193" i="5" s="1"/>
  <c r="Q252" i="5"/>
  <c r="S252" i="5" s="1"/>
  <c r="Q446" i="5"/>
  <c r="S446" i="5" s="1"/>
  <c r="X528" i="10"/>
  <c r="Y528" i="10"/>
  <c r="X481" i="10"/>
  <c r="Y481" i="10"/>
  <c r="Y414" i="10"/>
  <c r="X414" i="10"/>
  <c r="Y404" i="10"/>
  <c r="X404" i="10"/>
  <c r="Y315" i="10"/>
  <c r="X315" i="10"/>
  <c r="Y329" i="10"/>
  <c r="X329" i="10"/>
  <c r="Y183" i="10"/>
  <c r="X183" i="10"/>
  <c r="X160" i="10"/>
  <c r="Y160" i="10"/>
  <c r="X128" i="10"/>
  <c r="Y128" i="10"/>
  <c r="X292" i="10"/>
  <c r="Y292" i="10"/>
  <c r="X260" i="10"/>
  <c r="Y260" i="10"/>
  <c r="Y95" i="10"/>
  <c r="X95" i="10"/>
  <c r="X76" i="10"/>
  <c r="Y76" i="10"/>
  <c r="Y26" i="10"/>
  <c r="X26" i="10"/>
  <c r="X194" i="10"/>
  <c r="Y194" i="10"/>
  <c r="X71" i="10"/>
  <c r="Y71" i="10"/>
  <c r="Y52" i="10"/>
  <c r="X52" i="10"/>
  <c r="Y547" i="10"/>
  <c r="X547" i="10"/>
  <c r="Y512" i="10"/>
  <c r="X512" i="10"/>
  <c r="X522" i="10"/>
  <c r="Y522" i="10"/>
  <c r="X487" i="10"/>
  <c r="Y487" i="10"/>
  <c r="Y472" i="10"/>
  <c r="X472" i="10"/>
  <c r="X438" i="10"/>
  <c r="Y438" i="10"/>
  <c r="Y362" i="10"/>
  <c r="X362" i="10"/>
  <c r="Y431" i="10"/>
  <c r="X431" i="10"/>
  <c r="X461" i="10"/>
  <c r="Y461" i="10"/>
  <c r="X255" i="10"/>
  <c r="Y255" i="10"/>
  <c r="X330" i="10"/>
  <c r="Y330" i="10"/>
  <c r="Y356" i="10"/>
  <c r="X356" i="10"/>
  <c r="Y243" i="10"/>
  <c r="X243" i="10"/>
  <c r="Y179" i="10"/>
  <c r="X179" i="10"/>
  <c r="Y157" i="10"/>
  <c r="X157" i="10"/>
  <c r="Y113" i="10"/>
  <c r="X113" i="10"/>
  <c r="Y155" i="10"/>
  <c r="X155" i="10"/>
  <c r="Y123" i="10"/>
  <c r="X123" i="10"/>
  <c r="Y107" i="10"/>
  <c r="X107" i="10"/>
  <c r="Y60" i="10"/>
  <c r="X60" i="10"/>
  <c r="X59" i="10"/>
  <c r="Y59" i="10"/>
  <c r="X48" i="10"/>
  <c r="Y48" i="10"/>
  <c r="Y552" i="10"/>
  <c r="X552" i="10"/>
  <c r="Y510" i="10"/>
  <c r="X510" i="10"/>
  <c r="Y422" i="10"/>
  <c r="X422" i="10"/>
  <c r="Y323" i="10"/>
  <c r="X323" i="10"/>
  <c r="Y344" i="10"/>
  <c r="X344" i="10"/>
  <c r="X381" i="10"/>
  <c r="Y381" i="10"/>
  <c r="X541" i="10"/>
  <c r="Y541" i="10"/>
  <c r="X524" i="10"/>
  <c r="Y524" i="10"/>
  <c r="Y506" i="10"/>
  <c r="X506" i="10"/>
  <c r="Y454" i="10"/>
  <c r="X454" i="10"/>
  <c r="Y460" i="10"/>
  <c r="X460" i="10"/>
  <c r="Y441" i="10"/>
  <c r="X441" i="10"/>
  <c r="Y410" i="10"/>
  <c r="X410" i="10"/>
  <c r="Y374" i="10"/>
  <c r="X374" i="10"/>
  <c r="Y408" i="10"/>
  <c r="X408" i="10"/>
  <c r="X423" i="10"/>
  <c r="Y423" i="10"/>
  <c r="Y359" i="10"/>
  <c r="X359" i="10"/>
  <c r="Y327" i="10"/>
  <c r="X327" i="10"/>
  <c r="X283" i="10"/>
  <c r="Y283" i="10"/>
  <c r="Y380" i="10"/>
  <c r="X380" i="10"/>
  <c r="Y341" i="10"/>
  <c r="X341" i="10"/>
  <c r="Y309" i="10"/>
  <c r="X309" i="10"/>
  <c r="Y320" i="10"/>
  <c r="X320" i="10"/>
  <c r="Y191" i="10"/>
  <c r="X191" i="10"/>
  <c r="Y297" i="10"/>
  <c r="X297" i="10"/>
  <c r="Y281" i="10"/>
  <c r="X281" i="10"/>
  <c r="Y265" i="10"/>
  <c r="X265" i="10"/>
  <c r="Y249" i="10"/>
  <c r="X249" i="10"/>
  <c r="Y93" i="10"/>
  <c r="X93" i="10"/>
  <c r="X140" i="10"/>
  <c r="Y140" i="10"/>
  <c r="X108" i="10"/>
  <c r="Y108" i="10"/>
  <c r="X280" i="10"/>
  <c r="Y280" i="10"/>
  <c r="X248" i="10"/>
  <c r="Y248" i="10"/>
  <c r="Y67" i="10"/>
  <c r="X67" i="10"/>
  <c r="Y29" i="10"/>
  <c r="X29" i="10"/>
  <c r="Y25" i="10"/>
  <c r="X25" i="10"/>
  <c r="X166" i="10"/>
  <c r="Y166" i="10"/>
  <c r="X78" i="10"/>
  <c r="Y78" i="10"/>
  <c r="Y208" i="10"/>
  <c r="X208" i="10"/>
  <c r="Y508" i="10"/>
  <c r="X508" i="10"/>
  <c r="Y406" i="10"/>
  <c r="X406" i="10"/>
  <c r="X399" i="10"/>
  <c r="Y399" i="10"/>
  <c r="X369" i="10"/>
  <c r="Y369" i="10"/>
  <c r="Y199" i="10"/>
  <c r="X199" i="10"/>
  <c r="X548" i="10"/>
  <c r="Y548" i="10"/>
  <c r="Y535" i="10"/>
  <c r="X535" i="10"/>
  <c r="Y500" i="10"/>
  <c r="X500" i="10"/>
  <c r="Y466" i="10"/>
  <c r="X466" i="10"/>
  <c r="Y483" i="10"/>
  <c r="X483" i="10"/>
  <c r="X433" i="10"/>
  <c r="Y433" i="10"/>
  <c r="X295" i="10"/>
  <c r="Y295" i="10"/>
  <c r="X465" i="10"/>
  <c r="Y465" i="10"/>
  <c r="X342" i="10"/>
  <c r="Y342" i="10"/>
  <c r="X310" i="10"/>
  <c r="Y310" i="10"/>
  <c r="Y235" i="10"/>
  <c r="X235" i="10"/>
  <c r="Y171" i="10"/>
  <c r="X171" i="10"/>
  <c r="Y149" i="10"/>
  <c r="X149" i="10"/>
  <c r="Y109" i="10"/>
  <c r="X109" i="10"/>
  <c r="Y163" i="10"/>
  <c r="X163" i="10"/>
  <c r="Y65" i="10"/>
  <c r="X65" i="10"/>
  <c r="X46" i="10"/>
  <c r="Y46" i="10"/>
  <c r="Y49" i="10"/>
  <c r="X49" i="10"/>
  <c r="X23" i="10"/>
  <c r="Y23" i="10"/>
  <c r="X69" i="10"/>
  <c r="Y69" i="10"/>
  <c r="Y32" i="10"/>
  <c r="X32" i="10"/>
  <c r="Y37" i="10"/>
  <c r="X37" i="10"/>
  <c r="Y130" i="10"/>
  <c r="X130" i="10"/>
  <c r="Y158" i="10"/>
  <c r="X158" i="10"/>
  <c r="X210" i="10"/>
  <c r="Y210" i="10"/>
  <c r="X226" i="10"/>
  <c r="Y226" i="10"/>
  <c r="X242" i="10"/>
  <c r="Y242" i="10"/>
  <c r="Y126" i="10"/>
  <c r="X126" i="10"/>
  <c r="Y164" i="10"/>
  <c r="X164" i="10"/>
  <c r="Y180" i="10"/>
  <c r="X180" i="10"/>
  <c r="Y102" i="10"/>
  <c r="X102" i="10"/>
  <c r="Y165" i="10"/>
  <c r="X165" i="10"/>
  <c r="Y181" i="10"/>
  <c r="X181" i="10"/>
  <c r="X212" i="10"/>
  <c r="Y212" i="10"/>
  <c r="X228" i="10"/>
  <c r="Y228" i="10"/>
  <c r="X244" i="10"/>
  <c r="Y244" i="10"/>
  <c r="Y221" i="10"/>
  <c r="X221" i="10"/>
  <c r="Y237" i="10"/>
  <c r="X237" i="10"/>
  <c r="X254" i="10"/>
  <c r="Y254" i="10"/>
  <c r="X270" i="10"/>
  <c r="Y270" i="10"/>
  <c r="X286" i="10"/>
  <c r="Y286" i="10"/>
  <c r="X302" i="10"/>
  <c r="Y302" i="10"/>
  <c r="X387" i="10"/>
  <c r="Y387" i="10"/>
  <c r="X401" i="10"/>
  <c r="Y401" i="10"/>
  <c r="X417" i="10"/>
  <c r="Y417" i="10"/>
  <c r="X371" i="10"/>
  <c r="Y371" i="10"/>
  <c r="X385" i="10"/>
  <c r="Y385" i="10"/>
  <c r="Y467" i="10"/>
  <c r="X467" i="10"/>
  <c r="Y444" i="10"/>
  <c r="X444" i="10"/>
  <c r="Y479" i="10"/>
  <c r="X479" i="10"/>
  <c r="Y518" i="10"/>
  <c r="X518" i="10"/>
  <c r="X503" i="10"/>
  <c r="Y503" i="10"/>
  <c r="Y539" i="10"/>
  <c r="X539" i="10"/>
  <c r="Q207" i="5"/>
  <c r="R207" i="5" s="1"/>
  <c r="Q203" i="5"/>
  <c r="R203" i="5" s="1"/>
  <c r="Q305" i="5"/>
  <c r="S305" i="5" s="1"/>
  <c r="Q355" i="5"/>
  <c r="S355" i="5" s="1"/>
  <c r="Q388" i="5"/>
  <c r="S388" i="5" s="1"/>
  <c r="Q366" i="5"/>
  <c r="R366" i="5" s="1"/>
  <c r="Q434" i="5"/>
  <c r="S434" i="5" s="1"/>
  <c r="Q509" i="5"/>
  <c r="S509" i="5" s="1"/>
  <c r="Q400" i="5"/>
  <c r="S400" i="5" s="1"/>
  <c r="Q37" i="5"/>
  <c r="S37" i="5" s="1"/>
  <c r="Q189" i="5"/>
  <c r="S189" i="5" s="1"/>
  <c r="Q399" i="5"/>
  <c r="S399" i="5" s="1"/>
  <c r="Q100" i="5"/>
  <c r="R100" i="5" s="1"/>
  <c r="Q498" i="5"/>
  <c r="R498" i="5" s="1"/>
  <c r="Q190" i="5"/>
  <c r="R190" i="5" s="1"/>
  <c r="Q421" i="5"/>
  <c r="R421" i="5" s="1"/>
  <c r="Q522" i="5"/>
  <c r="R522" i="5" s="1"/>
  <c r="Q107" i="5"/>
  <c r="S107" i="5" s="1"/>
  <c r="Q60" i="5"/>
  <c r="R60" i="5" s="1"/>
  <c r="Q94" i="5"/>
  <c r="R94" i="5" s="1"/>
  <c r="Q83" i="5"/>
  <c r="R83" i="5" s="1"/>
  <c r="Q170" i="5"/>
  <c r="S170" i="5" s="1"/>
  <c r="Q240" i="5"/>
  <c r="R240" i="5" s="1"/>
  <c r="Q292" i="5"/>
  <c r="R292" i="5" s="1"/>
  <c r="Q239" i="5"/>
  <c r="S239" i="5" s="1"/>
  <c r="Q257" i="5"/>
  <c r="S257" i="5" s="1"/>
  <c r="Q279" i="5"/>
  <c r="R279" i="5" s="1"/>
  <c r="Q351" i="5"/>
  <c r="R351" i="5" s="1"/>
  <c r="Q393" i="5"/>
  <c r="S393" i="5" s="1"/>
  <c r="Q410" i="5"/>
  <c r="S410" i="5" s="1"/>
  <c r="Q342" i="5"/>
  <c r="S342" i="5" s="1"/>
  <c r="Q541" i="5"/>
  <c r="S541" i="5" s="1"/>
  <c r="Q549" i="5"/>
  <c r="S549" i="5" s="1"/>
  <c r="Q47" i="5"/>
  <c r="S47" i="5" s="1"/>
  <c r="Q146" i="5"/>
  <c r="S146" i="5" s="1"/>
  <c r="Q296" i="5"/>
  <c r="S296" i="5" s="1"/>
  <c r="Q394" i="5"/>
  <c r="R394" i="5" s="1"/>
  <c r="Q520" i="5"/>
  <c r="R520" i="5" s="1"/>
  <c r="Q70" i="5"/>
  <c r="R70" i="5" s="1"/>
  <c r="Q337" i="5"/>
  <c r="S337" i="5" s="1"/>
  <c r="Q126" i="5"/>
  <c r="S126" i="5" s="1"/>
  <c r="Q447" i="5"/>
  <c r="R447" i="5" s="1"/>
  <c r="Q42" i="5"/>
  <c r="S42" i="5" s="1"/>
  <c r="Q86" i="5"/>
  <c r="R86" i="5" s="1"/>
  <c r="Q148" i="5"/>
  <c r="R148" i="5" s="1"/>
  <c r="Q311" i="5"/>
  <c r="R311" i="5" s="1"/>
  <c r="Q347" i="5"/>
  <c r="S347" i="5" s="1"/>
  <c r="Q536" i="5"/>
  <c r="S536" i="5" s="1"/>
  <c r="Q36" i="5"/>
  <c r="S36" i="5" s="1"/>
  <c r="Q109" i="5"/>
  <c r="R109" i="5" s="1"/>
  <c r="Q176" i="5"/>
  <c r="S176" i="5" s="1"/>
  <c r="Q350" i="5"/>
  <c r="R350" i="5" s="1"/>
  <c r="Q383" i="5"/>
  <c r="R383" i="5" s="1"/>
  <c r="Q373" i="5"/>
  <c r="S373" i="5" s="1"/>
  <c r="Q19" i="5"/>
  <c r="R19" i="5" s="1"/>
  <c r="Q201" i="5"/>
  <c r="R201" i="5" s="1"/>
  <c r="B263" i="2"/>
  <c r="B223" i="2"/>
  <c r="B225" i="2" s="1"/>
  <c r="Q213" i="5"/>
  <c r="S213" i="5" s="1"/>
  <c r="Q496" i="5"/>
  <c r="R496" i="5" s="1"/>
  <c r="Q246" i="5"/>
  <c r="S246" i="5" s="1"/>
  <c r="Q227" i="5"/>
  <c r="R227" i="5" s="1"/>
  <c r="Q461" i="5"/>
  <c r="S461" i="5" s="1"/>
  <c r="Q335" i="5"/>
  <c r="S335" i="5" s="1"/>
  <c r="Q487" i="5"/>
  <c r="R487" i="5" s="1"/>
  <c r="Q450" i="5"/>
  <c r="R450" i="5" s="1"/>
  <c r="Q268" i="5"/>
  <c r="S268" i="5" s="1"/>
  <c r="Q460" i="5"/>
  <c r="R460" i="5" s="1"/>
  <c r="Q458" i="5"/>
  <c r="R458" i="5" s="1"/>
  <c r="Q81" i="5"/>
  <c r="R81" i="5" s="1"/>
  <c r="Q169" i="5"/>
  <c r="R169" i="5" s="1"/>
  <c r="Q196" i="5"/>
  <c r="S196" i="5" s="1"/>
  <c r="Q245" i="5"/>
  <c r="R245" i="5" s="1"/>
  <c r="Q512" i="5"/>
  <c r="S512" i="5" s="1"/>
  <c r="Q445" i="5"/>
  <c r="S445" i="5" s="1"/>
  <c r="Q466" i="5"/>
  <c r="R466" i="5" s="1"/>
  <c r="Q66" i="5"/>
  <c r="R66" i="5" s="1"/>
  <c r="Q144" i="5"/>
  <c r="S144" i="5" s="1"/>
  <c r="Q152" i="5"/>
  <c r="R152" i="5" s="1"/>
  <c r="Q97" i="5"/>
  <c r="S97" i="5" s="1"/>
  <c r="Q423" i="5"/>
  <c r="S423" i="5" s="1"/>
  <c r="Q362" i="5"/>
  <c r="R362" i="5" s="1"/>
  <c r="Q500" i="5"/>
  <c r="S500" i="5" s="1"/>
  <c r="Q58" i="5"/>
  <c r="R58" i="5" s="1"/>
  <c r="Q183" i="5"/>
  <c r="S183" i="5" s="1"/>
  <c r="Q482" i="5"/>
  <c r="R482" i="5" s="1"/>
  <c r="Q300" i="5"/>
  <c r="S300" i="5" s="1"/>
  <c r="Q29" i="5"/>
  <c r="R29" i="5" s="1"/>
  <c r="Q120" i="5"/>
  <c r="S120" i="5" s="1"/>
  <c r="Q200" i="5"/>
  <c r="S200" i="5" s="1"/>
  <c r="Q432" i="5"/>
  <c r="S432" i="5" s="1"/>
  <c r="Q230" i="5"/>
  <c r="R230" i="5" s="1"/>
  <c r="Q336" i="5"/>
  <c r="R336" i="5" s="1"/>
  <c r="Q265" i="5"/>
  <c r="R265" i="5" s="1"/>
  <c r="Q341" i="5"/>
  <c r="R341" i="5" s="1"/>
  <c r="Q116" i="5"/>
  <c r="S116" i="5" s="1"/>
  <c r="Q277" i="5"/>
  <c r="R277" i="5" s="1"/>
  <c r="Q64" i="5"/>
  <c r="S64" i="5" s="1"/>
  <c r="Q533" i="5"/>
  <c r="R533" i="5" s="1"/>
  <c r="Q262" i="5"/>
  <c r="S262" i="5" s="1"/>
  <c r="Q456" i="5"/>
  <c r="R456" i="5" s="1"/>
  <c r="Q272" i="5"/>
  <c r="S272" i="5" s="1"/>
  <c r="Q136" i="5"/>
  <c r="S136" i="5" s="1"/>
  <c r="Q334" i="5"/>
  <c r="R334" i="5" s="1"/>
  <c r="Q192" i="5"/>
  <c r="R192" i="5" s="1"/>
  <c r="Q202" i="5"/>
  <c r="S202" i="5" s="1"/>
  <c r="Q54" i="5"/>
  <c r="S54" i="5" s="1"/>
  <c r="Q486" i="5"/>
  <c r="R486" i="5" s="1"/>
  <c r="Q316" i="5"/>
  <c r="S316" i="5" s="1"/>
  <c r="Q118" i="5"/>
  <c r="S118" i="5" s="1"/>
  <c r="Q35" i="5"/>
  <c r="R35" i="5" s="1"/>
  <c r="Q554" i="5"/>
  <c r="S554" i="5" s="1"/>
  <c r="Q129" i="5"/>
  <c r="S129" i="5" s="1"/>
  <c r="Q165" i="5"/>
  <c r="R165" i="5" s="1"/>
  <c r="Q278" i="5"/>
  <c r="S278" i="5" s="1"/>
  <c r="Q354" i="5"/>
  <c r="R354" i="5" s="1"/>
  <c r="Q454" i="5"/>
  <c r="S454" i="5" s="1"/>
  <c r="Q489" i="5"/>
  <c r="R489" i="5" s="1"/>
  <c r="Q553" i="5"/>
  <c r="S553" i="5" s="1"/>
  <c r="Q429" i="5"/>
  <c r="R429" i="5" s="1"/>
  <c r="Q72" i="5"/>
  <c r="R72" i="5" s="1"/>
  <c r="Q104" i="5"/>
  <c r="R104" i="5" s="1"/>
  <c r="Q143" i="5"/>
  <c r="S143" i="5" s="1"/>
  <c r="Q180" i="5"/>
  <c r="S180" i="5" s="1"/>
  <c r="Q219" i="5"/>
  <c r="S219" i="5" s="1"/>
  <c r="Q247" i="5"/>
  <c r="R247" i="5" s="1"/>
  <c r="Q378" i="5"/>
  <c r="S378" i="5" s="1"/>
  <c r="Q518" i="5"/>
  <c r="S518" i="5" s="1"/>
  <c r="Q57" i="5"/>
  <c r="S57" i="5" s="1"/>
  <c r="Q367" i="5"/>
  <c r="R367" i="5" s="1"/>
  <c r="Q503" i="5"/>
  <c r="R503" i="5" s="1"/>
  <c r="Q270" i="5"/>
  <c r="S270" i="5" s="1"/>
  <c r="Q187" i="5"/>
  <c r="S187" i="5" s="1"/>
  <c r="Q128" i="5"/>
  <c r="S128" i="5" s="1"/>
  <c r="Q8" i="5"/>
  <c r="R8" i="5" s="1"/>
  <c r="Q271" i="5"/>
  <c r="S271" i="5" s="1"/>
  <c r="Q198" i="5"/>
  <c r="S198" i="5" s="1"/>
  <c r="Q123" i="5"/>
  <c r="R123" i="5" s="1"/>
  <c r="Q69" i="5"/>
  <c r="R69" i="5" s="1"/>
  <c r="Q443" i="5"/>
  <c r="R443" i="5" s="1"/>
  <c r="P139" i="5"/>
  <c r="P488" i="5"/>
  <c r="Q113" i="5"/>
  <c r="S113" i="5" s="1"/>
  <c r="Q469" i="5"/>
  <c r="R469" i="5" s="1"/>
  <c r="P195" i="5"/>
  <c r="P205" i="5"/>
  <c r="Q395" i="5"/>
  <c r="S395" i="5" s="1"/>
  <c r="P179" i="5"/>
  <c r="P463" i="5"/>
  <c r="Q32" i="5"/>
  <c r="S32" i="5" s="1"/>
  <c r="Q59" i="5"/>
  <c r="R59" i="5" s="1"/>
  <c r="Q80" i="5"/>
  <c r="Q142" i="5"/>
  <c r="S142" i="5" s="1"/>
  <c r="Q121" i="5"/>
  <c r="S121" i="5" s="1"/>
  <c r="Q179" i="5"/>
  <c r="R179" i="5" s="1"/>
  <c r="Q251" i="5"/>
  <c r="S251" i="5" s="1"/>
  <c r="Q226" i="5"/>
  <c r="R226" i="5" s="1"/>
  <c r="Q328" i="5"/>
  <c r="Q330" i="5"/>
  <c r="S330" i="5" s="1"/>
  <c r="Q315" i="5"/>
  <c r="R315" i="5" s="1"/>
  <c r="Q386" i="5"/>
  <c r="R386" i="5" s="1"/>
  <c r="Q343" i="5"/>
  <c r="S343" i="5" s="1"/>
  <c r="Q263" i="5"/>
  <c r="S263" i="5" s="1"/>
  <c r="Q415" i="5"/>
  <c r="R415" i="5" s="1"/>
  <c r="Q471" i="5"/>
  <c r="R471" i="5" s="1"/>
  <c r="Q526" i="5"/>
  <c r="Q452" i="5"/>
  <c r="R452" i="5" s="1"/>
  <c r="Q510" i="5"/>
  <c r="Q484" i="5"/>
  <c r="S484" i="5" s="1"/>
  <c r="Q546" i="5"/>
  <c r="S546" i="5" s="1"/>
  <c r="Q552" i="5"/>
  <c r="R552" i="5" s="1"/>
  <c r="Q557" i="5"/>
  <c r="S557" i="5" s="1"/>
  <c r="Q516" i="5"/>
  <c r="R516" i="5" s="1"/>
  <c r="Q38" i="5"/>
  <c r="Q154" i="5"/>
  <c r="S154" i="5" s="1"/>
  <c r="Q185" i="5"/>
  <c r="Q242" i="5"/>
  <c r="R242" i="5" s="1"/>
  <c r="Q211" i="5"/>
  <c r="S211" i="5" s="1"/>
  <c r="Q391" i="5"/>
  <c r="S391" i="5" s="1"/>
  <c r="Q338" i="5"/>
  <c r="S338" i="5" s="1"/>
  <c r="Q475" i="5"/>
  <c r="R475" i="5" s="1"/>
  <c r="Q467" i="5"/>
  <c r="S467" i="5" s="1"/>
  <c r="Q497" i="5"/>
  <c r="S497" i="5" s="1"/>
  <c r="Q550" i="5"/>
  <c r="R550" i="5" s="1"/>
  <c r="Q534" i="5"/>
  <c r="S534" i="5" s="1"/>
  <c r="Q24" i="5"/>
  <c r="Q75" i="5"/>
  <c r="R75" i="5" s="1"/>
  <c r="Q119" i="5"/>
  <c r="R119" i="5" s="1"/>
  <c r="Q96" i="5"/>
  <c r="R96" i="5" s="1"/>
  <c r="Q161" i="5"/>
  <c r="S161" i="5" s="1"/>
  <c r="Q235" i="5"/>
  <c r="S235" i="5" s="1"/>
  <c r="Q209" i="5"/>
  <c r="S209" i="5" s="1"/>
  <c r="Q260" i="5"/>
  <c r="S260" i="5" s="1"/>
  <c r="Q358" i="5"/>
  <c r="R358" i="5" s="1"/>
  <c r="Q477" i="5"/>
  <c r="S477" i="5" s="1"/>
  <c r="Q430" i="5"/>
  <c r="S430" i="5" s="1"/>
  <c r="Q114" i="5"/>
  <c r="R114" i="5" s="1"/>
  <c r="Q431" i="5"/>
  <c r="R431" i="5" s="1"/>
  <c r="Q528" i="5"/>
  <c r="R528" i="5" s="1"/>
  <c r="Q412" i="5"/>
  <c r="R412" i="5" s="1"/>
  <c r="Q380" i="5"/>
  <c r="S380" i="5" s="1"/>
  <c r="Q325" i="5"/>
  <c r="R325" i="5" s="1"/>
  <c r="Q175" i="5"/>
  <c r="S175" i="5" s="1"/>
  <c r="Q91" i="5"/>
  <c r="R91" i="5" s="1"/>
  <c r="Q418" i="5"/>
  <c r="R418" i="5" s="1"/>
  <c r="Q141" i="5"/>
  <c r="R141" i="5" s="1"/>
  <c r="Q206" i="5"/>
  <c r="R206" i="5" s="1"/>
  <c r="Q122" i="5"/>
  <c r="Q93" i="5"/>
  <c r="R93" i="5" s="1"/>
  <c r="Q39" i="5"/>
  <c r="S39" i="5" s="1"/>
  <c r="Q370" i="5"/>
  <c r="R370" i="5" s="1"/>
  <c r="Q340" i="5"/>
  <c r="Q43" i="5"/>
  <c r="Q502" i="5"/>
  <c r="S502" i="5" s="1"/>
  <c r="Q166" i="5"/>
  <c r="R166" i="5" s="1"/>
  <c r="Q449" i="5"/>
  <c r="S449" i="5" s="1"/>
  <c r="Q404" i="5"/>
  <c r="S404" i="5" s="1"/>
  <c r="Q184" i="5"/>
  <c r="R184" i="5" s="1"/>
  <c r="Q545" i="5"/>
  <c r="R545" i="5" s="1"/>
  <c r="Q312" i="5"/>
  <c r="R312" i="5" s="1"/>
  <c r="Q84" i="5"/>
  <c r="R84" i="5" s="1"/>
  <c r="Q478" i="5"/>
  <c r="S478" i="5" s="1"/>
  <c r="Q369" i="5"/>
  <c r="S369" i="5" s="1"/>
  <c r="Q382" i="5"/>
  <c r="S382" i="5" s="1"/>
  <c r="Q261" i="5"/>
  <c r="S261" i="5" s="1"/>
  <c r="Q92" i="5"/>
  <c r="R92" i="5" s="1"/>
  <c r="O11" i="5"/>
  <c r="AG11" i="5" s="1"/>
  <c r="AH11" i="5" s="1"/>
  <c r="Q49" i="5"/>
  <c r="Q50" i="5"/>
  <c r="R50" i="5" s="1"/>
  <c r="Q63" i="5"/>
  <c r="S63" i="5" s="1"/>
  <c r="Q77" i="5"/>
  <c r="S77" i="5" s="1"/>
  <c r="Q44" i="5"/>
  <c r="S44" i="5" s="1"/>
  <c r="Q137" i="5"/>
  <c r="R137" i="5" s="1"/>
  <c r="Q140" i="5"/>
  <c r="R140" i="5" s="1"/>
  <c r="Q127" i="5"/>
  <c r="R127" i="5" s="1"/>
  <c r="Q174" i="5"/>
  <c r="R174" i="5" s="1"/>
  <c r="Q168" i="5"/>
  <c r="S168" i="5" s="1"/>
  <c r="Q232" i="5"/>
  <c r="S232" i="5" s="1"/>
  <c r="Q221" i="5"/>
  <c r="S221" i="5" s="1"/>
  <c r="Q222" i="5"/>
  <c r="S222" i="5" s="1"/>
  <c r="Q264" i="5"/>
  <c r="S264" i="5" s="1"/>
  <c r="Q331" i="5"/>
  <c r="Q293" i="5"/>
  <c r="R293" i="5" s="1"/>
  <c r="Q220" i="5"/>
  <c r="Q286" i="5"/>
  <c r="S286" i="5" s="1"/>
  <c r="Q348" i="5"/>
  <c r="S348" i="5" s="1"/>
  <c r="Q372" i="5"/>
  <c r="S372" i="5" s="1"/>
  <c r="Q438" i="5"/>
  <c r="Q26" i="5"/>
  <c r="S26" i="5" s="1"/>
  <c r="Q41" i="5"/>
  <c r="S41" i="5" s="1"/>
  <c r="Q61" i="5"/>
  <c r="R61" i="5" s="1"/>
  <c r="Q87" i="5"/>
  <c r="S87" i="5" s="1"/>
  <c r="Q133" i="5"/>
  <c r="S133" i="5" s="1"/>
  <c r="Q149" i="5"/>
  <c r="R149" i="5" s="1"/>
  <c r="Q156" i="5"/>
  <c r="S156" i="5" s="1"/>
  <c r="Q132" i="5"/>
  <c r="R132" i="5" s="1"/>
  <c r="Q238" i="5"/>
  <c r="S238" i="5" s="1"/>
  <c r="Q195" i="5"/>
  <c r="R195" i="5" s="1"/>
  <c r="Q256" i="5"/>
  <c r="R256" i="5" s="1"/>
  <c r="Q212" i="5"/>
  <c r="Q321" i="5"/>
  <c r="R321" i="5" s="1"/>
  <c r="Q280" i="5"/>
  <c r="R280" i="5" s="1"/>
  <c r="Q357" i="5"/>
  <c r="R357" i="5" s="1"/>
  <c r="Q407" i="5"/>
  <c r="S407" i="5" s="1"/>
  <c r="Q314" i="5"/>
  <c r="S314" i="5" s="1"/>
  <c r="Q402" i="5"/>
  <c r="S402" i="5" s="1"/>
  <c r="Q368" i="5"/>
  <c r="R368" i="5" s="1"/>
  <c r="Q318" i="5"/>
  <c r="S318" i="5" s="1"/>
  <c r="Q464" i="5"/>
  <c r="S464" i="5" s="1"/>
  <c r="Q499" i="5"/>
  <c r="S499" i="5" s="1"/>
  <c r="Q547" i="5"/>
  <c r="S547" i="5" s="1"/>
  <c r="Q476" i="5"/>
  <c r="S476" i="5" s="1"/>
  <c r="Q436" i="5"/>
  <c r="R436" i="5" s="1"/>
  <c r="Q463" i="5"/>
  <c r="S463" i="5" s="1"/>
  <c r="Q417" i="5"/>
  <c r="R417" i="5" s="1"/>
  <c r="Q375" i="5"/>
  <c r="S375" i="5" s="1"/>
  <c r="Q310" i="5"/>
  <c r="S310" i="5" s="1"/>
  <c r="Q217" i="5"/>
  <c r="Q162" i="5"/>
  <c r="R162" i="5" s="1"/>
  <c r="Q131" i="5"/>
  <c r="S131" i="5" s="1"/>
  <c r="Q51" i="5"/>
  <c r="R51" i="5" s="1"/>
  <c r="Q531" i="5"/>
  <c r="Q459" i="5"/>
  <c r="S459" i="5" s="1"/>
  <c r="Q555" i="5"/>
  <c r="S555" i="5" s="1"/>
  <c r="Q548" i="5"/>
  <c r="R548" i="5" s="1"/>
  <c r="Q494" i="5"/>
  <c r="R494" i="5" s="1"/>
  <c r="Q514" i="5"/>
  <c r="S514" i="5" s="1"/>
  <c r="Q457" i="5"/>
  <c r="R457" i="5" s="1"/>
  <c r="Q527" i="5"/>
  <c r="S527" i="5" s="1"/>
  <c r="Q473" i="5"/>
  <c r="S473" i="5" s="1"/>
  <c r="Q416" i="5"/>
  <c r="S416" i="5" s="1"/>
  <c r="Q327" i="5"/>
  <c r="R327" i="5" s="1"/>
  <c r="Q349" i="5"/>
  <c r="S349" i="5" s="1"/>
  <c r="Q389" i="5"/>
  <c r="S389" i="5" s="1"/>
  <c r="Q324" i="5"/>
  <c r="S324" i="5" s="1"/>
  <c r="Q167" i="5"/>
  <c r="Q333" i="5"/>
  <c r="S333" i="5" s="1"/>
  <c r="Q237" i="5"/>
  <c r="R237" i="5" s="1"/>
  <c r="Q244" i="5"/>
  <c r="S244" i="5" s="1"/>
  <c r="Q135" i="5"/>
  <c r="R135" i="5" s="1"/>
  <c r="Q490" i="5"/>
  <c r="S490" i="5" s="1"/>
  <c r="Q283" i="5"/>
  <c r="S283" i="5" s="1"/>
  <c r="Q99" i="5"/>
  <c r="R99" i="5" s="1"/>
  <c r="Q506" i="5"/>
  <c r="Q323" i="5"/>
  <c r="R323" i="5" s="1"/>
  <c r="Q31" i="5"/>
  <c r="R31" i="5" s="1"/>
  <c r="Q529" i="5"/>
  <c r="S529" i="5" s="1"/>
  <c r="Q501" i="5"/>
  <c r="R501" i="5" s="1"/>
  <c r="Q439" i="5"/>
  <c r="R439" i="5" s="1"/>
  <c r="Q258" i="5"/>
  <c r="S258" i="5" s="1"/>
  <c r="Q125" i="5"/>
  <c r="R125" i="5" s="1"/>
  <c r="Q12" i="5"/>
  <c r="S12" i="5" s="1"/>
  <c r="Q34" i="5"/>
  <c r="S34" i="5" s="1"/>
  <c r="Q48" i="5"/>
  <c r="Q68" i="5"/>
  <c r="R68" i="5" s="1"/>
  <c r="Q76" i="5"/>
  <c r="R76" i="5" s="1"/>
  <c r="Q106" i="5"/>
  <c r="R106" i="5" s="1"/>
  <c r="Q153" i="5"/>
  <c r="S153" i="5" s="1"/>
  <c r="Q157" i="5"/>
  <c r="S157" i="5" s="1"/>
  <c r="Q139" i="5"/>
  <c r="S139" i="5" s="1"/>
  <c r="Q145" i="5"/>
  <c r="S145" i="5" s="1"/>
  <c r="Q182" i="5"/>
  <c r="R182" i="5" s="1"/>
  <c r="Q241" i="5"/>
  <c r="S241" i="5" s="1"/>
  <c r="Q233" i="5"/>
  <c r="R233" i="5" s="1"/>
  <c r="Q234" i="5"/>
  <c r="S234" i="5" s="1"/>
  <c r="Q284" i="5"/>
  <c r="Q215" i="5"/>
  <c r="S215" i="5" s="1"/>
  <c r="Q303" i="5"/>
  <c r="R303" i="5" s="1"/>
  <c r="Q248" i="5"/>
  <c r="R248" i="5" s="1"/>
  <c r="Q304" i="5"/>
  <c r="S304" i="5" s="1"/>
  <c r="Q360" i="5"/>
  <c r="R360" i="5" s="1"/>
  <c r="Q385" i="5"/>
  <c r="B43" i="5"/>
  <c r="Q45" i="5"/>
  <c r="S45" i="5" s="1"/>
  <c r="Q27" i="5"/>
  <c r="S27" i="5" s="1"/>
  <c r="Q78" i="5"/>
  <c r="R78" i="5" s="1"/>
  <c r="Q110" i="5"/>
  <c r="R110" i="5" s="1"/>
  <c r="Q151" i="5"/>
  <c r="S151" i="5" s="1"/>
  <c r="Q105" i="5"/>
  <c r="S105" i="5" s="1"/>
  <c r="Q163" i="5"/>
  <c r="S163" i="5" s="1"/>
  <c r="Q178" i="5"/>
  <c r="S178" i="5" s="1"/>
  <c r="Q186" i="5"/>
  <c r="Q214" i="5"/>
  <c r="R214" i="5" s="1"/>
  <c r="Q276" i="5"/>
  <c r="Q255" i="5"/>
  <c r="R255" i="5" s="1"/>
  <c r="Q173" i="5"/>
  <c r="Q297" i="5"/>
  <c r="S297" i="5" s="1"/>
  <c r="Q295" i="5"/>
  <c r="S295" i="5" s="1"/>
  <c r="Q428" i="5"/>
  <c r="R428" i="5" s="1"/>
  <c r="Q353" i="5"/>
  <c r="R353" i="5" s="1"/>
  <c r="Q414" i="5"/>
  <c r="S414" i="5" s="1"/>
  <c r="Q384" i="5"/>
  <c r="Q381" i="5"/>
  <c r="S381" i="5" s="1"/>
  <c r="Q474" i="5"/>
  <c r="S474" i="5" s="1"/>
  <c r="Q544" i="5"/>
  <c r="S544" i="5" s="1"/>
  <c r="Q451" i="5"/>
  <c r="S451" i="5" s="1"/>
  <c r="Q424" i="5"/>
  <c r="Q345" i="5"/>
  <c r="R345" i="5" s="1"/>
  <c r="Q387" i="5"/>
  <c r="S387" i="5" s="1"/>
  <c r="Q379" i="5"/>
  <c r="R379" i="5" s="1"/>
  <c r="Q352" i="5"/>
  <c r="S352" i="5" s="1"/>
  <c r="Q259" i="5"/>
  <c r="S259" i="5" s="1"/>
  <c r="Q225" i="5"/>
  <c r="S225" i="5" s="1"/>
  <c r="Q150" i="5"/>
  <c r="S150" i="5" s="1"/>
  <c r="Q111" i="5"/>
  <c r="R111" i="5" s="1"/>
  <c r="Q40" i="5"/>
  <c r="R40" i="5" s="1"/>
  <c r="Q472" i="5"/>
  <c r="R472" i="5" s="1"/>
  <c r="Q558" i="5"/>
  <c r="R558" i="5" s="1"/>
  <c r="Q532" i="5"/>
  <c r="S532" i="5" s="1"/>
  <c r="Q542" i="5"/>
  <c r="S542" i="5" s="1"/>
  <c r="Q465" i="5"/>
  <c r="R465" i="5" s="1"/>
  <c r="Q493" i="5"/>
  <c r="S493" i="5" s="1"/>
  <c r="Q435" i="5"/>
  <c r="R435" i="5" s="1"/>
  <c r="Q521" i="5"/>
  <c r="Q462" i="5"/>
  <c r="S462" i="5" s="1"/>
  <c r="Q401" i="5"/>
  <c r="S401" i="5" s="1"/>
  <c r="Q413" i="5"/>
  <c r="S413" i="5" s="1"/>
  <c r="Q282" i="5"/>
  <c r="S282" i="5" s="1"/>
  <c r="Q371" i="5"/>
  <c r="R371" i="5" s="1"/>
  <c r="Q294" i="5"/>
  <c r="R294" i="5" s="1"/>
  <c r="Q307" i="5"/>
  <c r="S307" i="5" s="1"/>
  <c r="Q223" i="5"/>
  <c r="R223" i="5" s="1"/>
  <c r="Q339" i="5"/>
  <c r="R339" i="5" s="1"/>
  <c r="Q448" i="5"/>
  <c r="R448" i="5" s="1"/>
  <c r="Q455" i="5"/>
  <c r="S455" i="5" s="1"/>
  <c r="Q298" i="5"/>
  <c r="S298" i="5" s="1"/>
  <c r="Q28" i="5"/>
  <c r="S28" i="5" s="1"/>
  <c r="Q406" i="5"/>
  <c r="S406" i="5" s="1"/>
  <c r="Q250" i="5"/>
  <c r="S250" i="5" s="1"/>
  <c r="Q556" i="5"/>
  <c r="S556" i="5" s="1"/>
  <c r="Q426" i="5"/>
  <c r="S426" i="5" s="1"/>
  <c r="Q390" i="5"/>
  <c r="S390" i="5" s="1"/>
  <c r="Q254" i="5"/>
  <c r="S254" i="5" s="1"/>
  <c r="Q228" i="5"/>
  <c r="R228" i="5" s="1"/>
  <c r="Q82" i="5"/>
  <c r="S82" i="5" s="1"/>
  <c r="Q21" i="5"/>
  <c r="S21" i="5" s="1"/>
  <c r="Q25" i="5"/>
  <c r="S25" i="5" s="1"/>
  <c r="Q62" i="5"/>
  <c r="R62" i="5" s="1"/>
  <c r="Q74" i="5"/>
  <c r="S74" i="5" s="1"/>
  <c r="Q85" i="5"/>
  <c r="S85" i="5" s="1"/>
  <c r="Q108" i="5"/>
  <c r="R108" i="5" s="1"/>
  <c r="Q53" i="5"/>
  <c r="Q102" i="5"/>
  <c r="R102" i="5" s="1"/>
  <c r="Q155" i="5"/>
  <c r="R155" i="5" s="1"/>
  <c r="Q172" i="5"/>
  <c r="S172" i="5" s="1"/>
  <c r="Q208" i="5"/>
  <c r="R208" i="5" s="1"/>
  <c r="Q177" i="5"/>
  <c r="R177" i="5" s="1"/>
  <c r="Q171" i="5"/>
  <c r="R171" i="5" s="1"/>
  <c r="Q101" i="5"/>
  <c r="R101" i="5" s="1"/>
  <c r="Q299" i="5"/>
  <c r="Q253" i="5"/>
  <c r="R253" i="5" s="1"/>
  <c r="Q320" i="5"/>
  <c r="S320" i="5" s="1"/>
  <c r="Q267" i="5"/>
  <c r="R267" i="5" s="1"/>
  <c r="Q317" i="5"/>
  <c r="R317" i="5" s="1"/>
  <c r="Q289" i="5"/>
  <c r="S289" i="5" s="1"/>
  <c r="Q396" i="5"/>
  <c r="S396" i="5" s="1"/>
  <c r="Q13" i="5"/>
  <c r="S13" i="5" s="1"/>
  <c r="Q23" i="5"/>
  <c r="R23" i="5" s="1"/>
  <c r="Q67" i="5"/>
  <c r="R67" i="5" s="1"/>
  <c r="Q71" i="5"/>
  <c r="R71" i="5" s="1"/>
  <c r="Q103" i="5"/>
  <c r="S103" i="5" s="1"/>
  <c r="Q98" i="5"/>
  <c r="R98" i="5" s="1"/>
  <c r="Q124" i="5"/>
  <c r="S124" i="5" s="1"/>
  <c r="Q130" i="5"/>
  <c r="S130" i="5" s="1"/>
  <c r="Q181" i="5"/>
  <c r="S181" i="5" s="1"/>
  <c r="Q210" i="5"/>
  <c r="R210" i="5" s="1"/>
  <c r="Q231" i="5"/>
  <c r="R231" i="5" s="1"/>
  <c r="Q302" i="5"/>
  <c r="R302" i="5" s="1"/>
  <c r="Q285" i="5"/>
  <c r="R285" i="5" s="1"/>
  <c r="Q243" i="5"/>
  <c r="S243" i="5" s="1"/>
  <c r="Q319" i="5"/>
  <c r="R319" i="5" s="1"/>
  <c r="Q356" i="5"/>
  <c r="S356" i="5" s="1"/>
  <c r="Q441" i="5"/>
  <c r="R441" i="5" s="1"/>
  <c r="Q365" i="5"/>
  <c r="S365" i="5" s="1"/>
  <c r="Q322" i="5"/>
  <c r="S322" i="5" s="1"/>
  <c r="Q398" i="5"/>
  <c r="R398" i="5" s="1"/>
  <c r="Q433" i="5"/>
  <c r="S433" i="5" s="1"/>
  <c r="Q485" i="5"/>
  <c r="R485" i="5" s="1"/>
  <c r="Q560" i="5"/>
  <c r="S560" i="5" s="1"/>
  <c r="Q543" i="5"/>
  <c r="R543" i="5" s="1"/>
  <c r="Q495" i="5"/>
  <c r="S495" i="5" s="1"/>
  <c r="Q523" i="5"/>
  <c r="S523" i="5" s="1"/>
  <c r="Q405" i="5"/>
  <c r="R405" i="5" s="1"/>
  <c r="Q308" i="5"/>
  <c r="S308" i="5" s="1"/>
  <c r="Q309" i="5"/>
  <c r="S309" i="5" s="1"/>
  <c r="Q313" i="5"/>
  <c r="S313" i="5" s="1"/>
  <c r="Q236" i="5"/>
  <c r="R236" i="5" s="1"/>
  <c r="Q112" i="5"/>
  <c r="R112" i="5" s="1"/>
  <c r="Q79" i="5"/>
  <c r="S79" i="5" s="1"/>
  <c r="Q10" i="5"/>
  <c r="R10" i="5" s="1"/>
  <c r="Q427" i="5"/>
  <c r="R427" i="5" s="1"/>
  <c r="Q507" i="5"/>
  <c r="S507" i="5" s="1"/>
  <c r="Q491" i="5"/>
  <c r="R491" i="5" s="1"/>
  <c r="Q535" i="5"/>
  <c r="R535" i="5" s="1"/>
  <c r="Q444" i="5"/>
  <c r="R444" i="5" s="1"/>
  <c r="Q488" i="5"/>
  <c r="R488" i="5" s="1"/>
  <c r="Q420" i="5"/>
  <c r="R420" i="5" s="1"/>
  <c r="Q511" i="5"/>
  <c r="R511" i="5" s="1"/>
  <c r="Q453" i="5"/>
  <c r="R453" i="5" s="1"/>
  <c r="Q377" i="5"/>
  <c r="Q392" i="5"/>
  <c r="R392" i="5" s="1"/>
  <c r="Q442" i="5"/>
  <c r="R442" i="5" s="1"/>
  <c r="Q273" i="5"/>
  <c r="R273" i="5" s="1"/>
  <c r="Q275" i="5"/>
  <c r="R275" i="5" s="1"/>
  <c r="Q290" i="5"/>
  <c r="S290" i="5" s="1"/>
  <c r="Q269" i="5"/>
  <c r="S269" i="5" s="1"/>
  <c r="P289" i="5"/>
  <c r="P80" i="5"/>
  <c r="P123" i="5"/>
  <c r="P247" i="5"/>
  <c r="AC247" i="5" s="1"/>
  <c r="AS247" i="5" s="1"/>
  <c r="Q479" i="5"/>
  <c r="R479" i="5" s="1"/>
  <c r="Q361" i="5"/>
  <c r="P260" i="5"/>
  <c r="AC260" i="5" s="1"/>
  <c r="AS260" i="5" s="1"/>
  <c r="AU260" i="5" s="1"/>
  <c r="P28" i="5"/>
  <c r="P8" i="5"/>
  <c r="P32" i="5"/>
  <c r="P95" i="5"/>
  <c r="P550" i="5"/>
  <c r="P163" i="5"/>
  <c r="P217" i="5"/>
  <c r="P108" i="5"/>
  <c r="P526" i="5"/>
  <c r="P237" i="5"/>
  <c r="P387" i="5"/>
  <c r="P430" i="5"/>
  <c r="P271" i="5"/>
  <c r="P141" i="5"/>
  <c r="P11" i="5"/>
  <c r="P233" i="5"/>
  <c r="P45" i="5"/>
  <c r="P97" i="5"/>
  <c r="P419" i="5"/>
  <c r="P540" i="5"/>
  <c r="P469" i="5"/>
  <c r="P313" i="5"/>
  <c r="P376" i="5"/>
  <c r="Q524" i="5"/>
  <c r="R524" i="5" s="1"/>
  <c r="Q46" i="5"/>
  <c r="S46" i="5" s="1"/>
  <c r="Q199" i="5"/>
  <c r="R199" i="5" s="1"/>
  <c r="Q332" i="5"/>
  <c r="R332" i="5" s="1"/>
  <c r="Q425" i="5"/>
  <c r="S425" i="5" s="1"/>
  <c r="Q538" i="5"/>
  <c r="R538" i="5" s="1"/>
  <c r="Q326" i="5"/>
  <c r="S326" i="5" s="1"/>
  <c r="Q359" i="5"/>
  <c r="S359" i="5" s="1"/>
  <c r="Q559" i="5"/>
  <c r="R559" i="5" s="1"/>
  <c r="P276" i="5"/>
  <c r="P249" i="5"/>
  <c r="P101" i="5"/>
  <c r="P142" i="5"/>
  <c r="P171" i="5"/>
  <c r="P20" i="5"/>
  <c r="P418" i="5"/>
  <c r="P404" i="5"/>
  <c r="AC404" i="5" s="1"/>
  <c r="AD404" i="5" s="1"/>
  <c r="P393" i="5"/>
  <c r="P116" i="5"/>
  <c r="P482" i="5"/>
  <c r="P211" i="5"/>
  <c r="P477" i="5"/>
  <c r="P124" i="5"/>
  <c r="P366" i="5"/>
  <c r="P434" i="5"/>
  <c r="P236" i="5"/>
  <c r="P284" i="5"/>
  <c r="P206" i="5"/>
  <c r="P422" i="5"/>
  <c r="P270" i="5"/>
  <c r="P223" i="5"/>
  <c r="P190" i="5"/>
  <c r="P115" i="5"/>
  <c r="P64" i="5"/>
  <c r="AC64" i="5" s="1"/>
  <c r="AE64" i="5" s="1"/>
  <c r="P167" i="5"/>
  <c r="P100" i="5"/>
  <c r="P36" i="5"/>
  <c r="P131" i="5"/>
  <c r="P21" i="5"/>
  <c r="P451" i="5"/>
  <c r="P316" i="5"/>
  <c r="P275" i="5"/>
  <c r="P29" i="5"/>
  <c r="P508" i="5"/>
  <c r="AC508" i="5" s="1"/>
  <c r="AS508" i="5" s="1"/>
  <c r="P343" i="5"/>
  <c r="P37" i="5"/>
  <c r="AC37" i="5" s="1"/>
  <c r="AE37" i="5" s="1"/>
  <c r="P340" i="5"/>
  <c r="P442" i="5"/>
  <c r="P530" i="5"/>
  <c r="P556" i="5"/>
  <c r="P218" i="5"/>
  <c r="P381" i="5"/>
  <c r="P302" i="5"/>
  <c r="P363" i="5"/>
  <c r="P272" i="5"/>
  <c r="P208" i="5"/>
  <c r="P127" i="5"/>
  <c r="P105" i="5"/>
  <c r="P50" i="5"/>
  <c r="P170" i="5"/>
  <c r="P92" i="5"/>
  <c r="P246" i="5"/>
  <c r="P152" i="5"/>
  <c r="AC152" i="5" s="1"/>
  <c r="AS152" i="5" s="1"/>
  <c r="AU152" i="5" s="1"/>
  <c r="P66" i="5"/>
  <c r="P440" i="5"/>
  <c r="P216" i="5"/>
  <c r="P262" i="5"/>
  <c r="P168" i="5"/>
  <c r="P443" i="5"/>
  <c r="P334" i="5"/>
  <c r="P555" i="5"/>
  <c r="P263" i="5"/>
  <c r="P506" i="5"/>
  <c r="P517" i="5"/>
  <c r="P453" i="5"/>
  <c r="AC453" i="5" s="1"/>
  <c r="AE453" i="5" s="1"/>
  <c r="P226" i="5"/>
  <c r="P345" i="5"/>
  <c r="Q505" i="5"/>
  <c r="S505" i="5" s="1"/>
  <c r="Q159" i="5"/>
  <c r="S159" i="5" s="1"/>
  <c r="Q291" i="5"/>
  <c r="S291" i="5" s="1"/>
  <c r="Q249" i="5"/>
  <c r="R249" i="5" s="1"/>
  <c r="Q517" i="5"/>
  <c r="R517" i="5" s="1"/>
  <c r="Q537" i="5"/>
  <c r="R537" i="5" s="1"/>
  <c r="Q56" i="5"/>
  <c r="S56" i="5" s="1"/>
  <c r="Q376" i="5"/>
  <c r="S376" i="5" s="1"/>
  <c r="Q551" i="5"/>
  <c r="R551" i="5" s="1"/>
  <c r="Q513" i="5"/>
  <c r="S513" i="5" s="1"/>
  <c r="Q539" i="5"/>
  <c r="R539" i="5" s="1"/>
  <c r="Q344" i="5"/>
  <c r="R344" i="5" s="1"/>
  <c r="Q419" i="5"/>
  <c r="R419" i="5" s="1"/>
  <c r="Q191" i="5"/>
  <c r="R191" i="5" s="1"/>
  <c r="Q158" i="5"/>
  <c r="R158" i="5" s="1"/>
  <c r="Q134" i="5"/>
  <c r="S134" i="5" s="1"/>
  <c r="Q55" i="5"/>
  <c r="R55" i="5" s="1"/>
  <c r="Q480" i="5"/>
  <c r="S480" i="5" s="1"/>
  <c r="Q218" i="5"/>
  <c r="R218" i="5" s="1"/>
  <c r="Q164" i="5"/>
  <c r="S164" i="5" s="1"/>
  <c r="Q224" i="5"/>
  <c r="S224" i="5" s="1"/>
  <c r="Q468" i="5"/>
  <c r="S468" i="5" s="1"/>
  <c r="Q88" i="5"/>
  <c r="R88" i="5" s="1"/>
  <c r="Q197" i="5"/>
  <c r="S197" i="5" s="1"/>
  <c r="Q409" i="5"/>
  <c r="S409" i="5" s="1"/>
  <c r="Q20" i="5"/>
  <c r="R20" i="5" s="1"/>
  <c r="Q301" i="5"/>
  <c r="S301" i="5" s="1"/>
  <c r="Q364" i="5"/>
  <c r="S364" i="5" s="1"/>
  <c r="P335" i="5"/>
  <c r="P424" i="5"/>
  <c r="P290" i="5"/>
  <c r="P89" i="5"/>
  <c r="P265" i="5"/>
  <c r="AC265" i="5" s="1"/>
  <c r="AD265" i="5" s="1"/>
  <c r="P325" i="5"/>
  <c r="P375" i="5"/>
  <c r="P515" i="5"/>
  <c r="P523" i="5"/>
  <c r="AC523" i="5" s="1"/>
  <c r="AE523" i="5" s="1"/>
  <c r="P78" i="5"/>
  <c r="P267" i="5"/>
  <c r="P427" i="5"/>
  <c r="P411" i="5"/>
  <c r="P522" i="5"/>
  <c r="P539" i="5"/>
  <c r="AC539" i="5" s="1"/>
  <c r="P471" i="5"/>
  <c r="P201" i="5"/>
  <c r="P125" i="5"/>
  <c r="P547" i="5"/>
  <c r="P414" i="5"/>
  <c r="P183" i="5"/>
  <c r="P538" i="5"/>
  <c r="P344" i="5"/>
  <c r="P154" i="5"/>
  <c r="P121" i="5"/>
  <c r="AC121" i="5" s="1"/>
  <c r="AD121" i="5" s="1"/>
  <c r="P198" i="5"/>
  <c r="P388" i="5"/>
  <c r="P299" i="5"/>
  <c r="P389" i="5"/>
  <c r="AC389" i="5" s="1"/>
  <c r="AS389" i="5" s="1"/>
  <c r="P513" i="5"/>
  <c r="AC513" i="5" s="1"/>
  <c r="AE513" i="5" s="1"/>
  <c r="P58" i="5"/>
  <c r="P148" i="5"/>
  <c r="P239" i="5"/>
  <c r="P297" i="5"/>
  <c r="AC297" i="5" s="1"/>
  <c r="AE297" i="5" s="1"/>
  <c r="P408" i="5"/>
  <c r="P416" i="5"/>
  <c r="P436" i="5"/>
  <c r="P497" i="5"/>
  <c r="AC497" i="5" s="1"/>
  <c r="AD497" i="5" s="1"/>
  <c r="P525" i="5"/>
  <c r="P521" i="5"/>
  <c r="P536" i="5"/>
  <c r="P120" i="5"/>
  <c r="P44" i="5"/>
  <c r="P132" i="5"/>
  <c r="P230" i="5"/>
  <c r="P261" i="5"/>
  <c r="P329" i="5"/>
  <c r="P323" i="5"/>
  <c r="AC323" i="5" s="1"/>
  <c r="AD323" i="5" s="1"/>
  <c r="P435" i="5"/>
  <c r="P398" i="5"/>
  <c r="P346" i="5"/>
  <c r="P396" i="5"/>
  <c r="P514" i="5"/>
  <c r="P484" i="5"/>
  <c r="P466" i="5"/>
  <c r="P454" i="5"/>
  <c r="P43" i="5"/>
  <c r="P57" i="5"/>
  <c r="P83" i="5"/>
  <c r="P140" i="5"/>
  <c r="P151" i="5"/>
  <c r="P147" i="5"/>
  <c r="P221" i="5"/>
  <c r="P24" i="5"/>
  <c r="P67" i="5"/>
  <c r="P107" i="5"/>
  <c r="P111" i="5"/>
  <c r="P185" i="5"/>
  <c r="P186" i="5"/>
  <c r="AC186" i="5" s="1"/>
  <c r="AE186" i="5" s="1"/>
  <c r="P252" i="5"/>
  <c r="P13" i="5"/>
  <c r="P40" i="5"/>
  <c r="P60" i="5"/>
  <c r="P77" i="5"/>
  <c r="P96" i="5"/>
  <c r="P128" i="5"/>
  <c r="P133" i="5"/>
  <c r="P74" i="5"/>
  <c r="AC74" i="5" s="1"/>
  <c r="AD74" i="5" s="1"/>
  <c r="P165" i="5"/>
  <c r="P225" i="5"/>
  <c r="P222" i="5"/>
  <c r="P243" i="5"/>
  <c r="P112" i="5"/>
  <c r="P309" i="5"/>
  <c r="AC309" i="5" s="1"/>
  <c r="P308" i="5"/>
  <c r="P483" i="5"/>
  <c r="P283" i="5"/>
  <c r="P545" i="5"/>
  <c r="P192" i="5"/>
  <c r="P294" i="5"/>
  <c r="P367" i="5"/>
  <c r="P534" i="5"/>
  <c r="P504" i="5"/>
  <c r="P546" i="5"/>
  <c r="P150" i="5"/>
  <c r="P304" i="5"/>
  <c r="P374" i="5"/>
  <c r="P380" i="5"/>
  <c r="P350" i="5"/>
  <c r="AC350" i="5" s="1"/>
  <c r="AE350" i="5" s="1"/>
  <c r="P529" i="5"/>
  <c r="P423" i="5"/>
  <c r="P282" i="5"/>
  <c r="P25" i="5"/>
  <c r="P479" i="5"/>
  <c r="P355" i="5"/>
  <c r="P551" i="5"/>
  <c r="P476" i="5"/>
  <c r="P402" i="5"/>
  <c r="P52" i="5"/>
  <c r="P214" i="5"/>
  <c r="AC214" i="5" s="1"/>
  <c r="AS214" i="5" s="1"/>
  <c r="AT214" i="5" s="1"/>
  <c r="P315" i="5"/>
  <c r="AC315" i="5" s="1"/>
  <c r="AE315" i="5" s="1"/>
  <c r="P417" i="5"/>
  <c r="P378" i="5"/>
  <c r="P445" i="5"/>
  <c r="AC445" i="5" s="1"/>
  <c r="AE445" i="5" s="1"/>
  <c r="P441" i="5"/>
  <c r="P91" i="5"/>
  <c r="P160" i="5"/>
  <c r="P259" i="5"/>
  <c r="P306" i="5"/>
  <c r="P288" i="5"/>
  <c r="P258" i="5"/>
  <c r="P486" i="5"/>
  <c r="P371" i="5"/>
  <c r="P461" i="5"/>
  <c r="P496" i="5"/>
  <c r="P23" i="5"/>
  <c r="P110" i="5"/>
  <c r="P72" i="5"/>
  <c r="AC72" i="5" s="1"/>
  <c r="AD72" i="5" s="1"/>
  <c r="P166" i="5"/>
  <c r="P202" i="5"/>
  <c r="P307" i="5"/>
  <c r="P268" i="5"/>
  <c r="P354" i="5"/>
  <c r="P331" i="5"/>
  <c r="P412" i="5"/>
  <c r="AC412" i="5" s="1"/>
  <c r="AS412" i="5" s="1"/>
  <c r="AT412" i="5" s="1"/>
  <c r="P360" i="5"/>
  <c r="P457" i="5"/>
  <c r="P372" i="5"/>
  <c r="P509" i="5"/>
  <c r="P507" i="5"/>
  <c r="P501" i="5"/>
  <c r="P336" i="5"/>
  <c r="P399" i="5"/>
  <c r="P361" i="5"/>
  <c r="P319" i="5"/>
  <c r="P303" i="5"/>
  <c r="P213" i="5"/>
  <c r="P240" i="5"/>
  <c r="P129" i="5"/>
  <c r="P59" i="5"/>
  <c r="AC59" i="5" s="1"/>
  <c r="AE59" i="5" s="1"/>
  <c r="P161" i="5"/>
  <c r="P84" i="5"/>
  <c r="P42" i="5"/>
  <c r="P30" i="5"/>
  <c r="P219" i="5"/>
  <c r="P136" i="5"/>
  <c r="P157" i="5"/>
  <c r="P93" i="5"/>
  <c r="P63" i="5"/>
  <c r="P189" i="5"/>
  <c r="P94" i="5"/>
  <c r="P159" i="5"/>
  <c r="P82" i="5"/>
  <c r="P54" i="5"/>
  <c r="P533" i="5"/>
  <c r="P450" i="5"/>
  <c r="P410" i="5"/>
  <c r="P368" i="5"/>
  <c r="P199" i="5"/>
  <c r="P227" i="5"/>
  <c r="P103" i="5"/>
  <c r="P87" i="5"/>
  <c r="P480" i="5"/>
  <c r="P386" i="5"/>
  <c r="P401" i="5"/>
  <c r="P277" i="5"/>
  <c r="AC277" i="5" s="1"/>
  <c r="AE277" i="5" s="1"/>
  <c r="P104" i="5"/>
  <c r="P478" i="5"/>
  <c r="P397" i="5"/>
  <c r="P281" i="5"/>
  <c r="P220" i="5"/>
  <c r="P528" i="5"/>
  <c r="AC528" i="5" s="1"/>
  <c r="AS528" i="5" s="1"/>
  <c r="AT528" i="5" s="1"/>
  <c r="P364" i="5"/>
  <c r="P173" i="5"/>
  <c r="P464" i="5"/>
  <c r="P518" i="5"/>
  <c r="P392" i="5"/>
  <c r="P34" i="5"/>
  <c r="P432" i="5"/>
  <c r="P373" i="5"/>
  <c r="P68" i="5"/>
  <c r="P429" i="5"/>
  <c r="P266" i="5"/>
  <c r="P382" i="5"/>
  <c r="P342" i="5"/>
  <c r="P287" i="5"/>
  <c r="P293" i="5"/>
  <c r="P234" i="5"/>
  <c r="P169" i="5"/>
  <c r="P178" i="5"/>
  <c r="P144" i="5"/>
  <c r="P109" i="5"/>
  <c r="P90" i="5"/>
  <c r="P61" i="5"/>
  <c r="P22" i="5"/>
  <c r="P10" i="5"/>
  <c r="P194" i="5"/>
  <c r="P118" i="5"/>
  <c r="P138" i="5"/>
  <c r="P76" i="5"/>
  <c r="P33" i="5"/>
  <c r="P187" i="5"/>
  <c r="AC187" i="5" s="1"/>
  <c r="AD187" i="5" s="1"/>
  <c r="P175" i="5"/>
  <c r="P114" i="5"/>
  <c r="P75" i="5"/>
  <c r="P35" i="5"/>
  <c r="P516" i="5"/>
  <c r="P407" i="5"/>
  <c r="P390" i="5"/>
  <c r="P347" i="5"/>
  <c r="P295" i="5"/>
  <c r="P212" i="5"/>
  <c r="P31" i="5"/>
  <c r="P71" i="5"/>
  <c r="P543" i="5"/>
  <c r="P520" i="5"/>
  <c r="P338" i="5"/>
  <c r="P200" i="5"/>
  <c r="P70" i="5"/>
  <c r="P494" i="5"/>
  <c r="P370" i="5"/>
  <c r="P197" i="5"/>
  <c r="P317" i="5"/>
  <c r="P554" i="5"/>
  <c r="P446" i="5"/>
  <c r="P274" i="5"/>
  <c r="P559" i="5"/>
  <c r="P449" i="5"/>
  <c r="P279" i="5"/>
  <c r="P19" i="5"/>
  <c r="P444" i="5"/>
  <c r="P322" i="5"/>
  <c r="AC322" i="5" s="1"/>
  <c r="AD322" i="5" s="1"/>
  <c r="P420" i="5"/>
  <c r="P143" i="5"/>
  <c r="P244" i="5"/>
  <c r="P548" i="5"/>
  <c r="P395" i="5"/>
  <c r="P542" i="5"/>
  <c r="P475" i="5"/>
  <c r="P38" i="5"/>
  <c r="P365" i="5"/>
  <c r="P182" i="5"/>
  <c r="P251" i="5"/>
  <c r="P257" i="5"/>
  <c r="P425" i="5"/>
  <c r="P241" i="5"/>
  <c r="P452" i="5"/>
  <c r="P502" i="5"/>
  <c r="P558" i="5"/>
  <c r="P535" i="5"/>
  <c r="P433" i="5"/>
  <c r="P69" i="5"/>
  <c r="P210" i="5"/>
  <c r="P310" i="5"/>
  <c r="P332" i="5"/>
  <c r="P328" i="5"/>
  <c r="P359" i="5"/>
  <c r="P495" i="5"/>
  <c r="P447" i="5"/>
  <c r="AC447" i="5" s="1"/>
  <c r="AS447" i="5" s="1"/>
  <c r="AT447" i="5" s="1"/>
  <c r="P527" i="5"/>
  <c r="P473" i="5"/>
  <c r="P541" i="5"/>
  <c r="P499" i="5"/>
  <c r="P400" i="5"/>
  <c r="P349" i="5"/>
  <c r="P231" i="5"/>
  <c r="P512" i="5"/>
  <c r="AC512" i="5" s="1"/>
  <c r="AS512" i="5" s="1"/>
  <c r="AT512" i="5" s="1"/>
  <c r="P560" i="5"/>
  <c r="P531" i="5"/>
  <c r="P348" i="5"/>
  <c r="P188" i="5"/>
  <c r="P85" i="5"/>
  <c r="P485" i="5"/>
  <c r="P458" i="5"/>
  <c r="AC458" i="5" s="1"/>
  <c r="AE458" i="5" s="1"/>
  <c r="P362" i="5"/>
  <c r="AC362" i="5" s="1"/>
  <c r="P351" i="5"/>
  <c r="P248" i="5"/>
  <c r="P79" i="5"/>
  <c r="P191" i="5"/>
  <c r="P229" i="5"/>
  <c r="P280" i="5"/>
  <c r="P353" i="5"/>
  <c r="P256" i="5"/>
  <c r="P421" i="5"/>
  <c r="P403" i="5"/>
  <c r="P510" i="5"/>
  <c r="P409" i="5"/>
  <c r="P544" i="5"/>
  <c r="P474" i="5"/>
  <c r="P86" i="5"/>
  <c r="P119" i="5"/>
  <c r="P203" i="5"/>
  <c r="P215" i="5"/>
  <c r="P321" i="5"/>
  <c r="P324" i="5"/>
  <c r="P238" i="5"/>
  <c r="P426" i="5"/>
  <c r="P377" i="5"/>
  <c r="P333" i="5"/>
  <c r="P250" i="5"/>
  <c r="P492" i="5"/>
  <c r="P465" i="5"/>
  <c r="P459" i="5"/>
  <c r="P549" i="5"/>
  <c r="P428" i="5"/>
  <c r="P456" i="5"/>
  <c r="P431" i="5"/>
  <c r="P46" i="5"/>
  <c r="P98" i="5"/>
  <c r="P180" i="5"/>
  <c r="P26" i="5"/>
  <c r="P99" i="5"/>
  <c r="P137" i="5"/>
  <c r="P181" i="5"/>
  <c r="P224" i="5"/>
  <c r="P232" i="5"/>
  <c r="P330" i="5"/>
  <c r="P312" i="5"/>
  <c r="P318" i="5"/>
  <c r="B94" i="2"/>
  <c r="B102" i="2" s="1"/>
  <c r="B103" i="2" s="1"/>
  <c r="P311" i="5"/>
  <c r="P413" i="5"/>
  <c r="P341" i="5"/>
  <c r="P327" i="5"/>
  <c r="P254" i="5"/>
  <c r="P278" i="5"/>
  <c r="P320" i="5"/>
  <c r="P253" i="5"/>
  <c r="P134" i="5"/>
  <c r="P174" i="5"/>
  <c r="P207" i="5"/>
  <c r="P177" i="5"/>
  <c r="P164" i="5"/>
  <c r="P162" i="5"/>
  <c r="P117" i="5"/>
  <c r="P146" i="5"/>
  <c r="AC146" i="5" s="1"/>
  <c r="AS146" i="5" s="1"/>
  <c r="AT146" i="5" s="1"/>
  <c r="P81" i="5"/>
  <c r="P88" i="5"/>
  <c r="P62" i="5"/>
  <c r="P73" i="5"/>
  <c r="P41" i="5"/>
  <c r="P9" i="5"/>
  <c r="P12" i="5"/>
  <c r="P204" i="5"/>
  <c r="P184" i="5"/>
  <c r="P126" i="5"/>
  <c r="P172" i="5"/>
  <c r="P145" i="5"/>
  <c r="P106" i="5"/>
  <c r="P51" i="5"/>
  <c r="P65" i="5"/>
  <c r="P48" i="5"/>
  <c r="P156" i="5"/>
  <c r="P196" i="5"/>
  <c r="P176" i="5"/>
  <c r="P155" i="5"/>
  <c r="P122" i="5"/>
  <c r="P102" i="5"/>
  <c r="P56" i="5"/>
  <c r="P47" i="5"/>
  <c r="P27" i="5"/>
  <c r="P553" i="5"/>
  <c r="P552" i="5"/>
  <c r="P491" i="5"/>
  <c r="P385" i="5"/>
  <c r="P439" i="5"/>
  <c r="P493" i="5"/>
  <c r="P438" i="5"/>
  <c r="P369" i="5"/>
  <c r="P269" i="5"/>
  <c r="P384" i="5"/>
  <c r="P291" i="5"/>
  <c r="P383" i="5"/>
  <c r="P337" i="5"/>
  <c r="P286" i="5"/>
  <c r="P296" i="5"/>
  <c r="P242" i="5"/>
  <c r="P113" i="5"/>
  <c r="P149" i="5"/>
  <c r="P53" i="5"/>
  <c r="P135" i="5"/>
  <c r="P39" i="5"/>
  <c r="P468" i="5"/>
  <c r="P537" i="5"/>
  <c r="P511" i="5"/>
  <c r="P481" i="5"/>
  <c r="P437" i="5"/>
  <c r="P467" i="5"/>
  <c r="P357" i="5"/>
  <c r="P358" i="5"/>
  <c r="P379" i="5"/>
  <c r="P273" i="5"/>
  <c r="P298" i="5"/>
  <c r="P209" i="5"/>
  <c r="P158" i="5"/>
  <c r="P49" i="5"/>
  <c r="P524" i="5"/>
  <c r="P448" i="5"/>
  <c r="P489" i="5"/>
  <c r="P352" i="5"/>
  <c r="P339" i="5"/>
  <c r="P314" i="5"/>
  <c r="P305" i="5"/>
  <c r="P228" i="5"/>
  <c r="P55" i="5"/>
  <c r="P326" i="5"/>
  <c r="P415" i="5"/>
  <c r="P532" i="5"/>
  <c r="P462" i="5"/>
  <c r="P245" i="5"/>
  <c r="P235" i="5"/>
  <c r="P460" i="5"/>
  <c r="P557" i="5"/>
  <c r="P285" i="5"/>
  <c r="P394" i="5"/>
  <c r="P356" i="5"/>
  <c r="P391" i="5"/>
  <c r="P503" i="5"/>
  <c r="P498" i="5"/>
  <c r="AC498" i="5" s="1"/>
  <c r="AS498" i="5" s="1"/>
  <c r="AU498" i="5" s="1"/>
  <c r="P470" i="5"/>
  <c r="P406" i="5"/>
  <c r="P292" i="5"/>
  <c r="P255" i="5"/>
  <c r="P153" i="5"/>
  <c r="P519" i="5"/>
  <c r="P500" i="5"/>
  <c r="P472" i="5"/>
  <c r="P490" i="5"/>
  <c r="P405" i="5"/>
  <c r="P264" i="5"/>
  <c r="P300" i="5"/>
  <c r="P130" i="5"/>
  <c r="P505" i="5"/>
  <c r="P487" i="5"/>
  <c r="P301" i="5"/>
  <c r="P193" i="5"/>
  <c r="B189" i="2"/>
  <c r="B252" i="2" s="1"/>
  <c r="S508" i="5"/>
  <c r="Y59" i="5"/>
  <c r="AA10" i="5"/>
  <c r="X7" i="5"/>
  <c r="Y7" i="5"/>
  <c r="AB7" i="5"/>
  <c r="AA7" i="5"/>
  <c r="Z134" i="4"/>
  <c r="Z71" i="4"/>
  <c r="Z125" i="4"/>
  <c r="Z103" i="4"/>
  <c r="Z93" i="4"/>
  <c r="Z51" i="4"/>
  <c r="Z119" i="4"/>
  <c r="Z115" i="4"/>
  <c r="Z80" i="4"/>
  <c r="Z63" i="4"/>
  <c r="Z28" i="4"/>
  <c r="Z121" i="4"/>
  <c r="Z12" i="4"/>
  <c r="Z27" i="4"/>
  <c r="Z43" i="4"/>
  <c r="Z151" i="4"/>
  <c r="Z127" i="4"/>
  <c r="Z14" i="4"/>
  <c r="Z144" i="4"/>
  <c r="Z11" i="4"/>
  <c r="Z23" i="4"/>
  <c r="Z70" i="4"/>
  <c r="Z36" i="4"/>
  <c r="Z53" i="4"/>
  <c r="Z8" i="4"/>
  <c r="Z35" i="4"/>
  <c r="Z22" i="4"/>
  <c r="Z38" i="4"/>
  <c r="Z78" i="4"/>
  <c r="Z148" i="4"/>
  <c r="Z44" i="4"/>
  <c r="Z141" i="4"/>
  <c r="Z48" i="4"/>
  <c r="Z42" i="4"/>
  <c r="Z101" i="4"/>
  <c r="Z73" i="4"/>
  <c r="Z138" i="4"/>
  <c r="Z86" i="4"/>
  <c r="Z77" i="4"/>
  <c r="X434" i="5"/>
  <c r="X223" i="5"/>
  <c r="X64" i="5"/>
  <c r="X551" i="5"/>
  <c r="Y486" i="5"/>
  <c r="X525" i="5"/>
  <c r="Y154" i="5"/>
  <c r="X515" i="5"/>
  <c r="Y206" i="5"/>
  <c r="Y514" i="5"/>
  <c r="Y266" i="5"/>
  <c r="Y29" i="5"/>
  <c r="Y87" i="5"/>
  <c r="Y252" i="5"/>
  <c r="Y415" i="5"/>
  <c r="X427" i="5"/>
  <c r="Y373" i="5"/>
  <c r="Y216" i="5"/>
  <c r="Y281" i="5"/>
  <c r="X475" i="5"/>
  <c r="X448" i="5"/>
  <c r="Y380" i="5"/>
  <c r="Y396" i="5"/>
  <c r="X560" i="5"/>
  <c r="X557" i="5"/>
  <c r="Y555" i="5"/>
  <c r="Y45" i="5"/>
  <c r="X58" i="5"/>
  <c r="X310" i="5"/>
  <c r="Y337" i="5"/>
  <c r="Y200" i="5"/>
  <c r="X455" i="5"/>
  <c r="X552" i="5"/>
  <c r="Y235" i="5"/>
  <c r="X548" i="5"/>
  <c r="X152" i="5"/>
  <c r="X44" i="5"/>
  <c r="X202" i="5"/>
  <c r="Y410" i="5"/>
  <c r="X540" i="5"/>
  <c r="X125" i="5"/>
  <c r="X160" i="5"/>
  <c r="Y255" i="5"/>
  <c r="Y307" i="5"/>
  <c r="Y318" i="5"/>
  <c r="X528" i="5"/>
  <c r="X547" i="5"/>
  <c r="Y143" i="5"/>
  <c r="X315" i="5"/>
  <c r="Y268" i="5"/>
  <c r="Y343" i="5"/>
  <c r="Y376" i="5"/>
  <c r="Y353" i="5"/>
  <c r="Y365" i="5"/>
  <c r="Y72" i="5"/>
  <c r="Y134" i="5"/>
  <c r="X329" i="5"/>
  <c r="X335" i="5"/>
  <c r="Y186" i="5"/>
  <c r="X546" i="5"/>
  <c r="X27" i="5"/>
  <c r="X508" i="5"/>
  <c r="X472" i="5"/>
  <c r="Y379" i="5"/>
  <c r="Y239" i="5"/>
  <c r="Y467" i="5"/>
  <c r="Y253" i="5"/>
  <c r="Y444" i="5"/>
  <c r="X541" i="5"/>
  <c r="X488" i="5"/>
  <c r="Y440" i="5"/>
  <c r="Y531" i="5"/>
  <c r="AB257" i="5"/>
  <c r="X320" i="5"/>
  <c r="Y107" i="5"/>
  <c r="X498" i="5"/>
  <c r="X484" i="5"/>
  <c r="X115" i="5"/>
  <c r="X301" i="5"/>
  <c r="Y190" i="5"/>
  <c r="X214" i="5"/>
  <c r="X375" i="5"/>
  <c r="X559" i="5"/>
  <c r="AB536" i="5"/>
  <c r="X398" i="5"/>
  <c r="Y339" i="5"/>
  <c r="X536" i="5"/>
  <c r="Y524" i="5"/>
  <c r="Y554" i="5"/>
  <c r="Y99" i="5"/>
  <c r="Y332" i="5"/>
  <c r="Y446" i="5"/>
  <c r="AA241" i="5"/>
  <c r="X132" i="5"/>
  <c r="X243" i="5"/>
  <c r="Y346" i="5"/>
  <c r="Y236" i="5"/>
  <c r="X462" i="5"/>
  <c r="Y181" i="5"/>
  <c r="AA495" i="5"/>
  <c r="X378" i="5"/>
  <c r="Y402" i="5"/>
  <c r="X102" i="5"/>
  <c r="Y158" i="5"/>
  <c r="Y97" i="5"/>
  <c r="X194" i="5"/>
  <c r="X231" i="5"/>
  <c r="Y251" i="5"/>
  <c r="X259" i="5"/>
  <c r="Y361" i="5"/>
  <c r="Y411" i="5"/>
  <c r="X438" i="5"/>
  <c r="Y523" i="5"/>
  <c r="Y500" i="5"/>
  <c r="Y530" i="5"/>
  <c r="Y70" i="5"/>
  <c r="X305" i="5"/>
  <c r="Y407" i="5"/>
  <c r="Y430" i="5"/>
  <c r="X491" i="5"/>
  <c r="X453" i="5"/>
  <c r="Y544" i="5"/>
  <c r="X533" i="5"/>
  <c r="X128" i="5"/>
  <c r="X248" i="5"/>
  <c r="X238" i="5"/>
  <c r="Y308" i="5"/>
  <c r="X328" i="5"/>
  <c r="Y357" i="5"/>
  <c r="Y217" i="5"/>
  <c r="Y456" i="5"/>
  <c r="Y492" i="5"/>
  <c r="AB475" i="5"/>
  <c r="Y421" i="5"/>
  <c r="Y503" i="5"/>
  <c r="X451" i="5"/>
  <c r="X537" i="5"/>
  <c r="X273" i="5"/>
  <c r="X404" i="5"/>
  <c r="Y558" i="5"/>
  <c r="Y385" i="5"/>
  <c r="AB96" i="5"/>
  <c r="Y126" i="5"/>
  <c r="Y277" i="5"/>
  <c r="Y284" i="5"/>
  <c r="Y485" i="5"/>
  <c r="X35" i="5"/>
  <c r="X177" i="5"/>
  <c r="X351" i="5"/>
  <c r="X285" i="5"/>
  <c r="X535" i="5"/>
  <c r="Y502" i="5"/>
  <c r="X534" i="5"/>
  <c r="AA199" i="5"/>
  <c r="X136" i="5"/>
  <c r="Y369" i="5"/>
  <c r="Y545" i="5"/>
  <c r="X474" i="5"/>
  <c r="AB211" i="5"/>
  <c r="AB547" i="5"/>
  <c r="Y41" i="5"/>
  <c r="Y196" i="5"/>
  <c r="X370" i="5"/>
  <c r="Y371" i="5"/>
  <c r="Y487" i="5"/>
  <c r="X441" i="5"/>
  <c r="X468" i="5"/>
  <c r="X549" i="5"/>
  <c r="Y386" i="5"/>
  <c r="X481" i="5"/>
  <c r="X123" i="5"/>
  <c r="Y429" i="5"/>
  <c r="X275" i="5"/>
  <c r="X499" i="5"/>
  <c r="X43" i="5"/>
  <c r="X40" i="5"/>
  <c r="X86" i="5"/>
  <c r="X137" i="5"/>
  <c r="Y246" i="5"/>
  <c r="Y211" i="5"/>
  <c r="Y213" i="5"/>
  <c r="Y345" i="5"/>
  <c r="Y395" i="5"/>
  <c r="X364" i="5"/>
  <c r="Y490" i="5"/>
  <c r="X447" i="5"/>
  <c r="X296" i="5"/>
  <c r="AB26" i="5"/>
  <c r="AA168" i="5"/>
  <c r="AA540" i="5"/>
  <c r="X387" i="5"/>
  <c r="X470" i="5"/>
  <c r="X509" i="5"/>
  <c r="X414" i="5"/>
  <c r="Y464" i="5"/>
  <c r="Y425" i="5"/>
  <c r="AB34" i="5"/>
  <c r="AA547" i="5"/>
  <c r="X96" i="5"/>
  <c r="X227" i="5"/>
  <c r="Y265" i="5"/>
  <c r="X292" i="5"/>
  <c r="Y450" i="5"/>
  <c r="X471" i="5"/>
  <c r="X261" i="5"/>
  <c r="Y418" i="5"/>
  <c r="Y518" i="5"/>
  <c r="X428" i="5"/>
  <c r="Y389" i="5"/>
  <c r="Y454" i="5"/>
  <c r="Y556" i="5"/>
  <c r="X360" i="5"/>
  <c r="X479" i="5"/>
  <c r="Y391" i="5"/>
  <c r="X495" i="5"/>
  <c r="Y76" i="5"/>
  <c r="X31" i="5"/>
  <c r="Y119" i="5"/>
  <c r="Y229" i="5"/>
  <c r="Y354" i="5"/>
  <c r="Y460" i="5"/>
  <c r="Y439" i="5"/>
  <c r="X195" i="5"/>
  <c r="X422" i="5"/>
  <c r="AB35" i="5"/>
  <c r="AA427" i="5"/>
  <c r="X226" i="5"/>
  <c r="X313" i="5"/>
  <c r="Y416" i="5"/>
  <c r="X420" i="5"/>
  <c r="Y423" i="5"/>
  <c r="Y527" i="5"/>
  <c r="X538" i="5"/>
  <c r="X19" i="5"/>
  <c r="AA475" i="5"/>
  <c r="X349" i="5"/>
  <c r="X449" i="5"/>
  <c r="Y436" i="5"/>
  <c r="Y493" i="5"/>
  <c r="Y452" i="5"/>
  <c r="X103" i="5"/>
  <c r="X496" i="5"/>
  <c r="Y417" i="5"/>
  <c r="X507" i="5"/>
  <c r="Y176" i="5"/>
  <c r="Y169" i="5"/>
  <c r="Y180" i="5"/>
  <c r="Y366" i="5"/>
  <c r="Y469" i="5"/>
  <c r="Y480" i="5"/>
  <c r="Y150" i="5"/>
  <c r="X207" i="5"/>
  <c r="X340" i="5"/>
  <c r="Y394" i="5"/>
  <c r="X553" i="5"/>
  <c r="Y397" i="5"/>
  <c r="X465" i="5"/>
  <c r="Y443" i="5"/>
  <c r="Y513" i="5"/>
  <c r="X532" i="5"/>
  <c r="Y147" i="5"/>
  <c r="Y267" i="5"/>
  <c r="Y506" i="5"/>
  <c r="AB19" i="5"/>
  <c r="X431" i="5"/>
  <c r="X435" i="5"/>
  <c r="X85" i="5"/>
  <c r="Y297" i="5"/>
  <c r="X69" i="5"/>
  <c r="X184" i="5"/>
  <c r="Y288" i="5"/>
  <c r="X390" i="5"/>
  <c r="Y466" i="5"/>
  <c r="Y388" i="5"/>
  <c r="X23" i="5"/>
  <c r="Y218" i="5"/>
  <c r="Y287" i="5"/>
  <c r="X289" i="5"/>
  <c r="Y298" i="5"/>
  <c r="X504" i="5"/>
  <c r="Y437" i="5"/>
  <c r="Y458" i="5"/>
  <c r="X458" i="5"/>
  <c r="Y476" i="5"/>
  <c r="X476" i="5"/>
  <c r="Y300" i="5"/>
  <c r="X300" i="5"/>
  <c r="X463" i="5"/>
  <c r="Y463" i="5"/>
  <c r="Y110" i="5"/>
  <c r="X110" i="5"/>
  <c r="X34" i="5"/>
  <c r="X401" i="5"/>
  <c r="Y401" i="5"/>
  <c r="X73" i="5"/>
  <c r="Y66" i="5"/>
  <c r="Y148" i="5"/>
  <c r="Y209" i="5"/>
  <c r="Y323" i="5"/>
  <c r="Y381" i="5"/>
  <c r="X512" i="5"/>
  <c r="X400" i="5"/>
  <c r="X516" i="5"/>
  <c r="X324" i="5"/>
  <c r="AA359" i="5"/>
  <c r="AB359" i="5"/>
  <c r="X49" i="5"/>
  <c r="Y92" i="5"/>
  <c r="X164" i="5"/>
  <c r="Y279" i="5"/>
  <c r="X333" i="5"/>
  <c r="Y412" i="5"/>
  <c r="Y459" i="5"/>
  <c r="Y526" i="5"/>
  <c r="X482" i="5"/>
  <c r="X355" i="5"/>
  <c r="Y494" i="5"/>
  <c r="X442" i="5"/>
  <c r="AB295" i="5"/>
  <c r="AA295" i="5"/>
  <c r="X543" i="5"/>
  <c r="Y543" i="5"/>
  <c r="X290" i="5"/>
  <c r="Y290" i="5"/>
  <c r="Y426" i="5"/>
  <c r="X426" i="5"/>
  <c r="X356" i="5"/>
  <c r="Y356" i="5"/>
  <c r="Y240" i="5"/>
  <c r="X240" i="5"/>
  <c r="Y517" i="5"/>
  <c r="X517" i="5"/>
  <c r="Y473" i="5"/>
  <c r="Y403" i="5"/>
  <c r="X403" i="5"/>
  <c r="Y139" i="5"/>
  <c r="X139" i="5"/>
  <c r="X519" i="5"/>
  <c r="Y519" i="5"/>
  <c r="Y529" i="5"/>
  <c r="X529" i="5"/>
  <c r="Y406" i="5"/>
  <c r="X406" i="5"/>
  <c r="Y319" i="5"/>
  <c r="X319" i="5"/>
  <c r="Y167" i="5"/>
  <c r="X167" i="5"/>
  <c r="Y522" i="5"/>
  <c r="X522" i="5"/>
  <c r="Y511" i="5"/>
  <c r="X511" i="5"/>
  <c r="X510" i="5"/>
  <c r="Y510" i="5"/>
  <c r="X409" i="5"/>
  <c r="Y409" i="5"/>
  <c r="X10" i="5"/>
  <c r="Y10" i="5"/>
  <c r="X283" i="5"/>
  <c r="Y405" i="5"/>
  <c r="Y520" i="5"/>
  <c r="X94" i="5"/>
  <c r="X203" i="5"/>
  <c r="X309" i="5"/>
  <c r="X501" i="5"/>
  <c r="AA43" i="5"/>
  <c r="AB317" i="5"/>
  <c r="AA317" i="5"/>
  <c r="Y201" i="5"/>
  <c r="X201" i="5"/>
  <c r="X149" i="5"/>
  <c r="Y149" i="5"/>
  <c r="AB496" i="5"/>
  <c r="AA244" i="5"/>
  <c r="AB244" i="5"/>
  <c r="Y489" i="5"/>
  <c r="X457" i="5"/>
  <c r="X325" i="5"/>
  <c r="Y269" i="5"/>
  <c r="Y461" i="5"/>
  <c r="Y539" i="5"/>
  <c r="Y521" i="5"/>
  <c r="Y22" i="5"/>
  <c r="Y189" i="5"/>
  <c r="X341" i="5"/>
  <c r="Y433" i="5"/>
  <c r="X372" i="5"/>
  <c r="Y293" i="5"/>
  <c r="X505" i="5"/>
  <c r="X542" i="5"/>
  <c r="AB335" i="5"/>
  <c r="AA364" i="5"/>
  <c r="AA473" i="5"/>
  <c r="AB473" i="5"/>
  <c r="AA489" i="5"/>
  <c r="AB516" i="5"/>
  <c r="AA516" i="5"/>
  <c r="AA542" i="5"/>
  <c r="AB542" i="5"/>
  <c r="AA71" i="5"/>
  <c r="AB71" i="5"/>
  <c r="AA266" i="5"/>
  <c r="AA405" i="5"/>
  <c r="AA557" i="5"/>
  <c r="AB557" i="5"/>
  <c r="X257" i="5"/>
  <c r="Y257" i="5"/>
  <c r="X80" i="5"/>
  <c r="Y80" i="5"/>
  <c r="Y322" i="5"/>
  <c r="X322" i="5"/>
  <c r="Y57" i="5"/>
  <c r="X57" i="5"/>
  <c r="AA470" i="5"/>
  <c r="AA249" i="5"/>
  <c r="AB232" i="5"/>
  <c r="AB554" i="5"/>
  <c r="Y230" i="5"/>
  <c r="X311" i="5"/>
  <c r="AA482" i="5"/>
  <c r="AB555" i="5"/>
  <c r="Y98" i="5"/>
  <c r="AB334" i="5"/>
  <c r="AA374" i="5"/>
  <c r="Y233" i="5"/>
  <c r="Y175" i="5"/>
  <c r="X263" i="5"/>
  <c r="X271" i="5"/>
  <c r="AA58" i="5"/>
  <c r="X210" i="5"/>
  <c r="AA491" i="5"/>
  <c r="X8" i="5"/>
  <c r="Y8" i="5"/>
  <c r="AB442" i="5"/>
  <c r="X306" i="5"/>
  <c r="Y347" i="5"/>
  <c r="AA42" i="5"/>
  <c r="AB160" i="5"/>
  <c r="AB378" i="5"/>
  <c r="X21" i="5"/>
  <c r="X256" i="5"/>
  <c r="X445" i="5"/>
  <c r="X363" i="5"/>
  <c r="Y383" i="5"/>
  <c r="X550" i="5"/>
  <c r="Y477" i="5"/>
  <c r="AB13" i="5"/>
  <c r="AA13" i="5"/>
  <c r="W9" i="5"/>
  <c r="AG9" i="5"/>
  <c r="T9" i="5"/>
  <c r="Z9" i="5"/>
  <c r="AM9" i="5"/>
  <c r="AJ9" i="5"/>
  <c r="X74" i="5"/>
  <c r="Y116" i="5"/>
  <c r="Y172" i="5"/>
  <c r="X225" i="5"/>
  <c r="X260" i="5"/>
  <c r="X302" i="5"/>
  <c r="X377" i="5"/>
  <c r="AB108" i="5"/>
  <c r="AA94" i="5"/>
  <c r="AA206" i="5"/>
  <c r="AB349" i="5"/>
  <c r="Y51" i="5"/>
  <c r="AB97" i="5"/>
  <c r="AA224" i="5"/>
  <c r="Y65" i="5"/>
  <c r="Y171" i="5"/>
  <c r="X367" i="5"/>
  <c r="X393" i="5"/>
  <c r="X497" i="5"/>
  <c r="X478" i="5"/>
  <c r="X483" i="5"/>
  <c r="Y424" i="5"/>
  <c r="X295" i="5"/>
  <c r="AB12" i="5"/>
  <c r="AA12" i="5"/>
  <c r="Y13" i="5"/>
  <c r="X13" i="5"/>
  <c r="AA161" i="5"/>
  <c r="AB279" i="5"/>
  <c r="AA472" i="5"/>
  <c r="AA69" i="5"/>
  <c r="AB105" i="5"/>
  <c r="AA169" i="5"/>
  <c r="AA406" i="5"/>
  <c r="AB258" i="5"/>
  <c r="AA521" i="5"/>
  <c r="Y384" i="5"/>
  <c r="AB308" i="5"/>
  <c r="AA8" i="5"/>
  <c r="AB8" i="5"/>
  <c r="Y12" i="5"/>
  <c r="X12" i="5"/>
  <c r="AR10" i="5"/>
  <c r="AQ10" i="5"/>
  <c r="AA259" i="5"/>
  <c r="AB69" i="5"/>
  <c r="AB110" i="5"/>
  <c r="AB384" i="5"/>
  <c r="AB521" i="5"/>
  <c r="AB560" i="5"/>
  <c r="AA308" i="5"/>
  <c r="AA554" i="5"/>
  <c r="X104" i="5"/>
  <c r="AB22" i="5"/>
  <c r="AA178" i="5"/>
  <c r="Y26" i="5"/>
  <c r="Y142" i="5"/>
  <c r="Y314" i="5"/>
  <c r="AB146" i="5"/>
  <c r="AB106" i="5"/>
  <c r="AA347" i="5"/>
  <c r="X122" i="5"/>
  <c r="X166" i="5"/>
  <c r="AB509" i="5"/>
  <c r="AB488" i="5"/>
  <c r="X108" i="5"/>
  <c r="Y28" i="5"/>
  <c r="X133" i="5"/>
  <c r="X312" i="5"/>
  <c r="Y299" i="5"/>
  <c r="AA550" i="5"/>
  <c r="AB251" i="5"/>
  <c r="X135" i="5"/>
  <c r="X151" i="5"/>
  <c r="Y245" i="5"/>
  <c r="Y264" i="5"/>
  <c r="AB58" i="5"/>
  <c r="AA397" i="5"/>
  <c r="AB470" i="5"/>
  <c r="AA488" i="5"/>
  <c r="X161" i="5"/>
  <c r="Y374" i="5"/>
  <c r="AB322" i="5"/>
  <c r="AA436" i="5"/>
  <c r="AA207" i="5"/>
  <c r="AA536" i="5"/>
  <c r="AA497" i="5"/>
  <c r="AA411" i="5"/>
  <c r="AA189" i="5"/>
  <c r="AB305" i="5"/>
  <c r="AA36" i="5"/>
  <c r="AB486" i="5"/>
  <c r="X222" i="5"/>
  <c r="X348" i="5"/>
  <c r="AB367" i="5"/>
  <c r="AA83" i="5"/>
  <c r="AB148" i="5"/>
  <c r="AA203" i="5"/>
  <c r="AB320" i="5"/>
  <c r="AB455" i="5"/>
  <c r="AA200" i="5"/>
  <c r="AB20" i="5"/>
  <c r="AB291" i="5"/>
  <c r="AA212" i="5"/>
  <c r="AA373" i="5"/>
  <c r="AA442" i="5"/>
  <c r="AB421" i="5"/>
  <c r="AA355" i="5"/>
  <c r="AA487" i="5"/>
  <c r="AA501" i="5"/>
  <c r="AA111" i="5"/>
  <c r="AA248" i="5"/>
  <c r="AB551" i="5"/>
  <c r="AA159" i="5"/>
  <c r="AA412" i="5"/>
  <c r="X304" i="5"/>
  <c r="AA30" i="5"/>
  <c r="AB100" i="5"/>
  <c r="AB250" i="5"/>
  <c r="AB375" i="5"/>
  <c r="AB61" i="5"/>
  <c r="AB94" i="5"/>
  <c r="AB478" i="5"/>
  <c r="AA541" i="5"/>
  <c r="Y37" i="5"/>
  <c r="Y68" i="5"/>
  <c r="Y82" i="5"/>
  <c r="Y205" i="5"/>
  <c r="X368" i="5"/>
  <c r="AA46" i="5"/>
  <c r="AA145" i="5"/>
  <c r="AA370" i="5"/>
  <c r="AA484" i="5"/>
  <c r="AB512" i="5"/>
  <c r="Y197" i="5"/>
  <c r="AB351" i="5"/>
  <c r="AA358" i="5"/>
  <c r="AA478" i="5"/>
  <c r="AB467" i="5"/>
  <c r="AA215" i="5"/>
  <c r="AA279" i="5"/>
  <c r="AA546" i="5"/>
  <c r="X25" i="5"/>
  <c r="Y55" i="5"/>
  <c r="AB206" i="5"/>
  <c r="AA351" i="5"/>
  <c r="AA421" i="5"/>
  <c r="AB355" i="5"/>
  <c r="AA467" i="5"/>
  <c r="AB487" i="5"/>
  <c r="AB472" i="5"/>
  <c r="X124" i="5"/>
  <c r="AA76" i="5"/>
  <c r="AA273" i="5"/>
  <c r="AA375" i="5"/>
  <c r="AB500" i="5"/>
  <c r="AA443" i="5"/>
  <c r="AA512" i="5"/>
  <c r="AB426" i="5"/>
  <c r="AA545" i="5"/>
  <c r="AA349" i="5"/>
  <c r="AB541" i="5"/>
  <c r="AB39" i="5"/>
  <c r="AB395" i="5"/>
  <c r="AB345" i="5"/>
  <c r="AB394" i="5"/>
  <c r="AB462" i="5"/>
  <c r="AB451" i="5"/>
  <c r="X156" i="5"/>
  <c r="X254" i="5"/>
  <c r="X291" i="5"/>
  <c r="AA152" i="5"/>
  <c r="AB207" i="5"/>
  <c r="AB235" i="5"/>
  <c r="AB323" i="5"/>
  <c r="AB363" i="5"/>
  <c r="AB390" i="5"/>
  <c r="AB406" i="5"/>
  <c r="AA391" i="5"/>
  <c r="AB405" i="5"/>
  <c r="AB427" i="5"/>
  <c r="AA560" i="5"/>
  <c r="Y131" i="5"/>
  <c r="AA476" i="5"/>
  <c r="AB497" i="5"/>
  <c r="AB530" i="5"/>
  <c r="AB31" i="5"/>
  <c r="AA140" i="5"/>
  <c r="AA167" i="5"/>
  <c r="AB403" i="5"/>
  <c r="AB520" i="5"/>
  <c r="AB447" i="5"/>
  <c r="AB260" i="5"/>
  <c r="AA493" i="5"/>
  <c r="AA324" i="5"/>
  <c r="AB175" i="5"/>
  <c r="AA175" i="5"/>
  <c r="AB107" i="5"/>
  <c r="AA107" i="5"/>
  <c r="AA72" i="5"/>
  <c r="AB72" i="5"/>
  <c r="AB33" i="5"/>
  <c r="AA33" i="5"/>
  <c r="AA85" i="5"/>
  <c r="AA457" i="5"/>
  <c r="AB457" i="5"/>
  <c r="AA410" i="5"/>
  <c r="AA209" i="5"/>
  <c r="AA65" i="5"/>
  <c r="AB454" i="5"/>
  <c r="AA131" i="5"/>
  <c r="AB298" i="5"/>
  <c r="AB466" i="5"/>
  <c r="AA466" i="5"/>
  <c r="AA342" i="5"/>
  <c r="AB342" i="5"/>
  <c r="AA350" i="5"/>
  <c r="AB350" i="5"/>
  <c r="AA448" i="5"/>
  <c r="AB448" i="5"/>
  <c r="X145" i="5"/>
  <c r="Y145" i="5"/>
  <c r="Y109" i="5"/>
  <c r="X109" i="5"/>
  <c r="X334" i="5"/>
  <c r="Y334" i="5"/>
  <c r="Y219" i="5"/>
  <c r="X219" i="5"/>
  <c r="X163" i="5"/>
  <c r="Y163" i="5"/>
  <c r="AB353" i="5"/>
  <c r="AA428" i="5"/>
  <c r="AA276" i="5"/>
  <c r="AB276" i="5"/>
  <c r="AA559" i="5"/>
  <c r="AB79" i="5"/>
  <c r="AB209" i="5"/>
  <c r="AB270" i="5"/>
  <c r="AB376" i="5"/>
  <c r="AB514" i="5"/>
  <c r="X146" i="5"/>
  <c r="X101" i="5"/>
  <c r="Y274" i="5"/>
  <c r="Y185" i="5"/>
  <c r="Y399" i="5"/>
  <c r="AA151" i="5"/>
  <c r="AA515" i="5"/>
  <c r="X60" i="5"/>
  <c r="X140" i="5"/>
  <c r="AB559" i="5"/>
  <c r="Y61" i="5"/>
  <c r="X316" i="5"/>
  <c r="AB365" i="5"/>
  <c r="AA121" i="5"/>
  <c r="AB121" i="5"/>
  <c r="AB218" i="5"/>
  <c r="AB45" i="5"/>
  <c r="AA283" i="5"/>
  <c r="AA336" i="5"/>
  <c r="AB336" i="5"/>
  <c r="AA449" i="5"/>
  <c r="AB449" i="5"/>
  <c r="AA354" i="5"/>
  <c r="AA524" i="5"/>
  <c r="AB524" i="5"/>
  <c r="AA533" i="5"/>
  <c r="AB494" i="5"/>
  <c r="AB103" i="5"/>
  <c r="AA29" i="5"/>
  <c r="AB247" i="5"/>
  <c r="AA247" i="5"/>
  <c r="AB205" i="5"/>
  <c r="AA205" i="5"/>
  <c r="AB461" i="5"/>
  <c r="AB433" i="5"/>
  <c r="AA433" i="5"/>
  <c r="AA523" i="5"/>
  <c r="AB523" i="5"/>
  <c r="AB328" i="5"/>
  <c r="Y392" i="5"/>
  <c r="X392" i="5"/>
  <c r="Y270" i="5"/>
  <c r="X270" i="5"/>
  <c r="Y262" i="5"/>
  <c r="X262" i="5"/>
  <c r="Y204" i="5"/>
  <c r="X204" i="5"/>
  <c r="Y174" i="5"/>
  <c r="X174" i="5"/>
  <c r="X144" i="5"/>
  <c r="Y144" i="5"/>
  <c r="X138" i="5"/>
  <c r="Y138" i="5"/>
  <c r="X56" i="5"/>
  <c r="Y56" i="5"/>
  <c r="Y338" i="5"/>
  <c r="X338" i="5"/>
  <c r="Y62" i="5"/>
  <c r="X62" i="5"/>
  <c r="X71" i="5"/>
  <c r="AA434" i="5"/>
  <c r="X130" i="5"/>
  <c r="Y130" i="5"/>
  <c r="AB64" i="5"/>
  <c r="AA64" i="5"/>
  <c r="AB372" i="5"/>
  <c r="AA372" i="5"/>
  <c r="AB85" i="5"/>
  <c r="AB186" i="5"/>
  <c r="AB233" i="5"/>
  <c r="AA188" i="5"/>
  <c r="AA223" i="5"/>
  <c r="AB283" i="5"/>
  <c r="AA360" i="5"/>
  <c r="AA376" i="5"/>
  <c r="AB498" i="5"/>
  <c r="Y71" i="5"/>
  <c r="Y84" i="5"/>
  <c r="X272" i="5"/>
  <c r="Y330" i="5"/>
  <c r="AB131" i="5"/>
  <c r="AB193" i="5"/>
  <c r="AA414" i="5"/>
  <c r="AB468" i="5"/>
  <c r="AA90" i="5"/>
  <c r="AB428" i="5"/>
  <c r="AB43" i="5"/>
  <c r="AA148" i="5"/>
  <c r="AB223" i="5"/>
  <c r="AB321" i="5"/>
  <c r="AB411" i="5"/>
  <c r="AB360" i="5"/>
  <c r="AA251" i="5"/>
  <c r="AA498" i="5"/>
  <c r="AA396" i="5"/>
  <c r="AB479" i="5"/>
  <c r="AB410" i="5"/>
  <c r="AA494" i="5"/>
  <c r="AA553" i="5"/>
  <c r="AB533" i="5"/>
  <c r="X46" i="5"/>
  <c r="Y90" i="5"/>
  <c r="X170" i="5"/>
  <c r="X212" i="5"/>
  <c r="AB312" i="5"/>
  <c r="AA423" i="5"/>
  <c r="AA461" i="5"/>
  <c r="X165" i="5"/>
  <c r="AB430" i="5"/>
  <c r="AA430" i="5"/>
  <c r="AA332" i="5"/>
  <c r="AB332" i="5"/>
  <c r="AB315" i="5"/>
  <c r="AB269" i="5"/>
  <c r="AA219" i="5"/>
  <c r="AA127" i="5"/>
  <c r="AB127" i="5"/>
  <c r="AA75" i="5"/>
  <c r="AB75" i="5"/>
  <c r="AA339" i="5"/>
  <c r="AA329" i="5"/>
  <c r="AB329" i="5"/>
  <c r="AA285" i="5"/>
  <c r="AB285" i="5"/>
  <c r="AA231" i="5"/>
  <c r="AB231" i="5"/>
  <c r="AA191" i="5"/>
  <c r="AB191" i="5"/>
  <c r="AB115" i="5"/>
  <c r="AA115" i="5"/>
  <c r="AB154" i="5"/>
  <c r="AA154" i="5"/>
  <c r="AA89" i="5"/>
  <c r="AB89" i="5"/>
  <c r="AA54" i="5"/>
  <c r="AB54" i="5"/>
  <c r="AB48" i="5"/>
  <c r="AA48" i="5"/>
  <c r="AB483" i="5"/>
  <c r="AA558" i="5"/>
  <c r="AB510" i="5"/>
  <c r="AA506" i="5"/>
  <c r="AB506" i="5"/>
  <c r="AA507" i="5"/>
  <c r="AB507" i="5"/>
  <c r="AB452" i="5"/>
  <c r="AA385" i="5"/>
  <c r="AA268" i="5"/>
  <c r="AB268" i="5"/>
  <c r="AB132" i="5"/>
  <c r="AB129" i="5"/>
  <c r="AA129" i="5"/>
  <c r="AA458" i="5"/>
  <c r="AB458" i="5"/>
  <c r="AA465" i="5"/>
  <c r="AB465" i="5"/>
  <c r="AB477" i="5"/>
  <c r="AA477" i="5"/>
  <c r="AA356" i="5"/>
  <c r="AB435" i="5"/>
  <c r="AA435" i="5"/>
  <c r="AA326" i="5"/>
  <c r="AB326" i="5"/>
  <c r="AA228" i="5"/>
  <c r="AB228" i="5"/>
  <c r="AA99" i="5"/>
  <c r="AB99" i="5"/>
  <c r="AB88" i="5"/>
  <c r="AA88" i="5"/>
  <c r="AA47" i="5"/>
  <c r="AB47" i="5"/>
  <c r="AB313" i="5"/>
  <c r="AA313" i="5"/>
  <c r="AA538" i="5"/>
  <c r="AB538" i="5"/>
  <c r="X342" i="5"/>
  <c r="Y342" i="5"/>
  <c r="X250" i="5"/>
  <c r="Y250" i="5"/>
  <c r="Y192" i="5"/>
  <c r="X192" i="5"/>
  <c r="Y228" i="5"/>
  <c r="X228" i="5"/>
  <c r="X173" i="5"/>
  <c r="Y173" i="5"/>
  <c r="Y153" i="5"/>
  <c r="X153" i="5"/>
  <c r="Y78" i="5"/>
  <c r="X78" i="5"/>
  <c r="Y413" i="5"/>
  <c r="X413" i="5"/>
  <c r="X336" i="5"/>
  <c r="Y336" i="5"/>
  <c r="X232" i="5"/>
  <c r="Y215" i="5"/>
  <c r="X215" i="5"/>
  <c r="X188" i="5"/>
  <c r="Y188" i="5"/>
  <c r="X155" i="5"/>
  <c r="Y155" i="5"/>
  <c r="X159" i="5"/>
  <c r="Y159" i="5"/>
  <c r="Y88" i="5"/>
  <c r="X88" i="5"/>
  <c r="Y52" i="5"/>
  <c r="X52" i="5"/>
  <c r="X20" i="5"/>
  <c r="Y20" i="5"/>
  <c r="AA382" i="5"/>
  <c r="AB382" i="5"/>
  <c r="Y39" i="5"/>
  <c r="Y95" i="5"/>
  <c r="X95" i="5"/>
  <c r="X179" i="5"/>
  <c r="Y179" i="5"/>
  <c r="AB296" i="5"/>
  <c r="AA480" i="5"/>
  <c r="AB480" i="5"/>
  <c r="AA534" i="5"/>
  <c r="AB534" i="5"/>
  <c r="AA132" i="5"/>
  <c r="AB289" i="5"/>
  <c r="AA510" i="5"/>
  <c r="X32" i="5"/>
  <c r="X117" i="5"/>
  <c r="Y237" i="5"/>
  <c r="Y232" i="5"/>
  <c r="Y221" i="5"/>
  <c r="Y258" i="5"/>
  <c r="X350" i="5"/>
  <c r="AB339" i="5"/>
  <c r="AB219" i="5"/>
  <c r="AB70" i="5"/>
  <c r="AA118" i="5"/>
  <c r="AB271" i="5"/>
  <c r="AA289" i="5"/>
  <c r="AB325" i="5"/>
  <c r="AB558" i="5"/>
  <c r="AA296" i="5"/>
  <c r="X36" i="5"/>
  <c r="Y157" i="5"/>
  <c r="AB379" i="5"/>
  <c r="AB282" i="5"/>
  <c r="AA282" i="5"/>
  <c r="AA262" i="5"/>
  <c r="AB227" i="5"/>
  <c r="AA112" i="5"/>
  <c r="AB112" i="5"/>
  <c r="AA116" i="5"/>
  <c r="AA50" i="5"/>
  <c r="AB50" i="5"/>
  <c r="AB21" i="5"/>
  <c r="AA21" i="5"/>
  <c r="AA471" i="5"/>
  <c r="AA517" i="5"/>
  <c r="AB517" i="5"/>
  <c r="AB340" i="5"/>
  <c r="AA340" i="5"/>
  <c r="AA441" i="5"/>
  <c r="AB444" i="5"/>
  <c r="AA380" i="5"/>
  <c r="AB380" i="5"/>
  <c r="AA239" i="5"/>
  <c r="AB239" i="5"/>
  <c r="AB177" i="5"/>
  <c r="AB539" i="5"/>
  <c r="AA539" i="5"/>
  <c r="AA327" i="5"/>
  <c r="AB327" i="5"/>
  <c r="AA341" i="5"/>
  <c r="AB420" i="5"/>
  <c r="AA420" i="5"/>
  <c r="AA408" i="5"/>
  <c r="AB408" i="5"/>
  <c r="AB337" i="5"/>
  <c r="AA281" i="5"/>
  <c r="AB281" i="5"/>
  <c r="AA190" i="5"/>
  <c r="AA53" i="5"/>
  <c r="AB53" i="5"/>
  <c r="AB150" i="5"/>
  <c r="AA401" i="5"/>
  <c r="AA464" i="5"/>
  <c r="AB464" i="5"/>
  <c r="X408" i="5"/>
  <c r="Y331" i="5"/>
  <c r="X331" i="5"/>
  <c r="Y278" i="5"/>
  <c r="X278" i="5"/>
  <c r="Y208" i="5"/>
  <c r="X208" i="5"/>
  <c r="X182" i="5"/>
  <c r="Y182" i="5"/>
  <c r="Y111" i="5"/>
  <c r="X111" i="5"/>
  <c r="Y89" i="5"/>
  <c r="X89" i="5"/>
  <c r="X67" i="5"/>
  <c r="Y67" i="5"/>
  <c r="Y282" i="5"/>
  <c r="X282" i="5"/>
  <c r="X286" i="5"/>
  <c r="Y286" i="5"/>
  <c r="X178" i="5"/>
  <c r="AA136" i="5"/>
  <c r="AA549" i="5"/>
  <c r="Y79" i="5"/>
  <c r="X79" i="5"/>
  <c r="X118" i="5"/>
  <c r="X241" i="5"/>
  <c r="Y241" i="5"/>
  <c r="AA381" i="5"/>
  <c r="AB381" i="5"/>
  <c r="AB229" i="5"/>
  <c r="AA424" i="5"/>
  <c r="AB424" i="5"/>
  <c r="AA70" i="5"/>
  <c r="AA303" i="5"/>
  <c r="AA394" i="5"/>
  <c r="Y75" i="5"/>
  <c r="Y93" i="5"/>
  <c r="Y352" i="5"/>
  <c r="AA177" i="5"/>
  <c r="AB385" i="5"/>
  <c r="AA452" i="5"/>
  <c r="AB441" i="5"/>
  <c r="AA153" i="5"/>
  <c r="AB190" i="5"/>
  <c r="AA229" i="5"/>
  <c r="X39" i="5"/>
  <c r="AB116" i="5"/>
  <c r="AA227" i="5"/>
  <c r="AB401" i="5"/>
  <c r="X24" i="5"/>
  <c r="X280" i="5"/>
  <c r="AA38" i="5"/>
  <c r="AB356" i="5"/>
  <c r="AA481" i="5"/>
  <c r="AA463" i="5"/>
  <c r="AB463" i="5"/>
  <c r="AA532" i="5"/>
  <c r="AB532" i="5"/>
  <c r="Y321" i="5"/>
  <c r="X327" i="5"/>
  <c r="Y193" i="5"/>
  <c r="X193" i="5"/>
  <c r="Y198" i="5"/>
  <c r="X198" i="5"/>
  <c r="X83" i="5"/>
  <c r="Y83" i="5"/>
  <c r="Y38" i="5"/>
  <c r="X38" i="5"/>
  <c r="AB128" i="5"/>
  <c r="AA186" i="5"/>
  <c r="AB187" i="5"/>
  <c r="AA496" i="5"/>
  <c r="Y46" i="5"/>
  <c r="AA272" i="5"/>
  <c r="AA353" i="5"/>
  <c r="Y81" i="5"/>
  <c r="AA504" i="5"/>
  <c r="Y326" i="5"/>
  <c r="X303" i="5"/>
  <c r="AB434" i="5"/>
  <c r="AA499" i="5"/>
  <c r="AA526" i="5"/>
  <c r="AA422" i="5"/>
  <c r="AA366" i="5"/>
  <c r="AA460" i="5"/>
  <c r="AB460" i="5"/>
  <c r="AB456" i="5"/>
  <c r="AA456" i="5"/>
  <c r="AB208" i="5"/>
  <c r="AB202" i="5"/>
  <c r="AB27" i="5"/>
  <c r="AA27" i="5"/>
  <c r="AB425" i="5"/>
  <c r="AA425" i="5"/>
  <c r="AB309" i="5"/>
  <c r="AB453" i="5"/>
  <c r="AA246" i="5"/>
  <c r="AA535" i="5"/>
  <c r="AA485" i="5"/>
  <c r="Y162" i="5"/>
  <c r="Y47" i="5"/>
  <c r="X317" i="5"/>
  <c r="Y48" i="5"/>
  <c r="Y112" i="5"/>
  <c r="AA543" i="5"/>
  <c r="AA44" i="5"/>
  <c r="AB182" i="5"/>
  <c r="AB501" i="5"/>
  <c r="AB76" i="5"/>
  <c r="AA162" i="5"/>
  <c r="AA413" i="5"/>
  <c r="AB543" i="5"/>
  <c r="Y53" i="5"/>
  <c r="X191" i="5"/>
  <c r="AA275" i="5"/>
  <c r="AB535" i="5"/>
  <c r="Y127" i="5"/>
  <c r="Y359" i="5"/>
  <c r="AA208" i="5"/>
  <c r="AB550" i="5"/>
  <c r="AA84" i="5"/>
  <c r="AA172" i="5"/>
  <c r="AB348" i="5"/>
  <c r="AB527" i="5"/>
  <c r="AA23" i="5"/>
  <c r="AB548" i="5"/>
  <c r="AB393" i="5"/>
  <c r="AA393" i="5"/>
  <c r="AA318" i="5"/>
  <c r="AB318" i="5"/>
  <c r="AB174" i="5"/>
  <c r="AA77" i="5"/>
  <c r="AB77" i="5"/>
  <c r="AB138" i="5"/>
  <c r="AA438" i="5"/>
  <c r="AB52" i="5"/>
  <c r="AB278" i="5"/>
  <c r="Y30" i="5"/>
  <c r="Y77" i="5"/>
  <c r="X382" i="5"/>
  <c r="AB169" i="5"/>
  <c r="X91" i="5"/>
  <c r="X112" i="5"/>
  <c r="AB324" i="5"/>
  <c r="AA365" i="5"/>
  <c r="AB415" i="5"/>
  <c r="X114" i="5"/>
  <c r="Y187" i="5"/>
  <c r="Y234" i="5"/>
  <c r="AA202" i="5"/>
  <c r="AA310" i="5"/>
  <c r="AA492" i="5"/>
  <c r="AA407" i="5"/>
  <c r="AB485" i="5"/>
  <c r="AA331" i="5"/>
  <c r="AA216" i="5"/>
  <c r="AA525" i="5"/>
  <c r="X362" i="5"/>
  <c r="Y362" i="5"/>
  <c r="Y358" i="5"/>
  <c r="X276" i="5"/>
  <c r="Y276" i="5"/>
  <c r="X242" i="5"/>
  <c r="Y242" i="5"/>
  <c r="Y244" i="5"/>
  <c r="Y183" i="5"/>
  <c r="X183" i="5"/>
  <c r="X100" i="5"/>
  <c r="Y100" i="5"/>
  <c r="X42" i="5"/>
  <c r="Y42" i="5"/>
  <c r="AA502" i="5"/>
  <c r="X50" i="5"/>
  <c r="Y168" i="5"/>
  <c r="AA120" i="5"/>
  <c r="AB216" i="5"/>
  <c r="Y33" i="5"/>
  <c r="AB502" i="5"/>
  <c r="Y249" i="5"/>
  <c r="AA357" i="5"/>
  <c r="AB343" i="5"/>
  <c r="AA265" i="5"/>
  <c r="AB293" i="5"/>
  <c r="AA293" i="5"/>
  <c r="AB256" i="5"/>
  <c r="AA256" i="5"/>
  <c r="AB196" i="5"/>
  <c r="AB141" i="5"/>
  <c r="AA135" i="5"/>
  <c r="AB135" i="5"/>
  <c r="AA93" i="5"/>
  <c r="AA55" i="5"/>
  <c r="AB214" i="5"/>
  <c r="AA113" i="5"/>
  <c r="AB147" i="5"/>
  <c r="AB362" i="5"/>
  <c r="AA362" i="5"/>
  <c r="AA519" i="5"/>
  <c r="AB537" i="5"/>
  <c r="AA537" i="5"/>
  <c r="AA400" i="5"/>
  <c r="AB400" i="5"/>
  <c r="AB344" i="5"/>
  <c r="AA344" i="5"/>
  <c r="AB392" i="5"/>
  <c r="AA392" i="5"/>
  <c r="AA284" i="5"/>
  <c r="AA194" i="5"/>
  <c r="AA87" i="5"/>
  <c r="AB73" i="5"/>
  <c r="AB144" i="5"/>
  <c r="AA261" i="5"/>
  <c r="AB399" i="5"/>
  <c r="AA513" i="5"/>
  <c r="Y344" i="5"/>
  <c r="X344" i="5"/>
  <c r="X294" i="5"/>
  <c r="Y294" i="5"/>
  <c r="X199" i="5"/>
  <c r="Y199" i="5"/>
  <c r="Y113" i="5"/>
  <c r="X113" i="5"/>
  <c r="X54" i="5"/>
  <c r="Y54" i="5"/>
  <c r="AA371" i="5"/>
  <c r="Y106" i="5"/>
  <c r="AA552" i="5"/>
  <c r="AB552" i="5"/>
  <c r="AB210" i="5"/>
  <c r="AB513" i="5"/>
  <c r="X168" i="5"/>
  <c r="AB371" i="5"/>
  <c r="X120" i="5"/>
  <c r="AA418" i="5"/>
  <c r="AB418" i="5"/>
  <c r="AB319" i="5"/>
  <c r="AA319" i="5"/>
  <c r="AA230" i="5"/>
  <c r="AB230" i="5"/>
  <c r="AA180" i="5"/>
  <c r="AB180" i="5"/>
  <c r="AB102" i="5"/>
  <c r="AB62" i="5"/>
  <c r="AA62" i="5"/>
  <c r="AB41" i="5"/>
  <c r="AA41" i="5"/>
  <c r="AB236" i="5"/>
  <c r="AB157" i="5"/>
  <c r="AA445" i="5"/>
  <c r="AA104" i="5"/>
  <c r="AA431" i="5"/>
  <c r="AB396" i="5"/>
  <c r="AA479" i="5"/>
  <c r="AB553" i="5"/>
  <c r="Y105" i="5"/>
  <c r="Y121" i="5"/>
  <c r="X247" i="5"/>
  <c r="X224" i="5"/>
  <c r="X129" i="5"/>
  <c r="X432" i="5"/>
  <c r="AA210" i="5"/>
  <c r="AB525" i="5"/>
  <c r="AB515" i="5"/>
  <c r="Y141" i="5"/>
  <c r="AB113" i="5"/>
  <c r="AA218" i="5"/>
  <c r="AA264" i="5"/>
  <c r="AA309" i="5"/>
  <c r="AA274" i="5"/>
  <c r="AB445" i="5"/>
  <c r="AB354" i="5"/>
  <c r="Y63" i="5"/>
  <c r="Y220" i="5"/>
  <c r="Y419" i="5"/>
  <c r="AA196" i="5"/>
  <c r="AB310" i="5"/>
  <c r="AB357" i="5"/>
  <c r="AA454" i="5"/>
  <c r="AB519" i="5"/>
  <c r="AB490" i="5"/>
  <c r="AA490" i="5"/>
  <c r="AB528" i="5"/>
  <c r="AA234" i="5"/>
  <c r="AB173" i="5"/>
  <c r="AB117" i="5"/>
  <c r="AA254" i="5"/>
  <c r="AA238" i="5"/>
  <c r="AB238" i="5"/>
  <c r="AA164" i="5"/>
  <c r="AB226" i="5"/>
  <c r="AA514" i="5"/>
  <c r="AB137" i="5"/>
  <c r="AA328" i="5"/>
  <c r="AB23" i="5"/>
  <c r="AA114" i="5"/>
  <c r="AB213" i="5"/>
  <c r="AA163" i="5"/>
  <c r="AB254" i="5"/>
  <c r="AB297" i="5"/>
  <c r="AB474" i="5"/>
  <c r="AA383" i="5"/>
  <c r="AA369" i="5"/>
  <c r="AA277" i="5"/>
  <c r="AB165" i="5"/>
  <c r="AA240" i="5"/>
  <c r="AB170" i="5"/>
  <c r="AB158" i="5"/>
  <c r="AB92" i="5"/>
  <c r="AA51" i="5"/>
  <c r="AA439" i="5"/>
  <c r="AA252" i="5"/>
  <c r="AA171" i="5"/>
  <c r="AA287" i="5"/>
  <c r="AA267" i="5"/>
  <c r="AA126" i="5"/>
  <c r="AA67" i="5"/>
  <c r="AB179" i="5"/>
  <c r="AA531" i="5"/>
  <c r="AA529" i="5"/>
  <c r="AA245" i="5"/>
  <c r="AA66" i="5"/>
  <c r="AA226" i="5"/>
  <c r="AB245" i="5"/>
  <c r="AB306" i="5"/>
  <c r="AA137" i="5"/>
  <c r="AB446" i="5"/>
  <c r="AA409" i="5"/>
  <c r="AB74" i="5"/>
  <c r="AB163" i="5"/>
  <c r="AB300" i="5"/>
  <c r="AA379" i="5"/>
  <c r="AA286" i="5"/>
  <c r="AA398" i="5"/>
  <c r="AB531" i="5"/>
  <c r="AA469" i="5"/>
  <c r="AB40" i="5"/>
  <c r="AA158" i="5"/>
  <c r="AB185" i="5"/>
  <c r="AA173" i="5"/>
  <c r="AA165" i="5"/>
  <c r="AA315" i="5"/>
  <c r="AB287" i="5"/>
  <c r="AB522" i="5"/>
  <c r="AA450" i="5"/>
  <c r="AB450" i="5"/>
  <c r="AA459" i="5"/>
  <c r="AB459" i="5"/>
  <c r="AA28" i="5"/>
  <c r="AA402" i="5"/>
  <c r="AB402" i="5"/>
  <c r="AB59" i="5"/>
  <c r="AB66" i="5"/>
  <c r="AB95" i="5"/>
  <c r="AA128" i="5"/>
  <c r="AA306" i="5"/>
  <c r="AB272" i="5"/>
  <c r="AA446" i="5"/>
  <c r="AB438" i="5"/>
  <c r="AB409" i="5"/>
  <c r="AB68" i="5"/>
  <c r="AB139" i="5"/>
  <c r="AA300" i="5"/>
  <c r="AA511" i="5"/>
  <c r="AA518" i="5"/>
  <c r="AA81" i="5"/>
  <c r="AA149" i="5"/>
  <c r="AB124" i="5"/>
  <c r="AA220" i="5"/>
  <c r="AA269" i="5"/>
  <c r="AB267" i="5"/>
  <c r="AA56" i="5"/>
  <c r="AB122" i="5"/>
  <c r="AB221" i="5"/>
  <c r="AA304" i="5"/>
  <c r="AB416" i="5"/>
  <c r="AB299" i="5"/>
  <c r="AA299" i="5"/>
  <c r="AB387" i="5"/>
  <c r="AB386" i="5"/>
  <c r="AA386" i="5"/>
  <c r="AA544" i="5"/>
  <c r="AA301" i="5"/>
  <c r="AB217" i="5"/>
  <c r="AA142" i="5"/>
  <c r="AB119" i="5"/>
  <c r="AB86" i="5"/>
  <c r="AB352" i="5"/>
  <c r="AA333" i="5"/>
  <c r="AB263" i="5"/>
  <c r="AB201" i="5"/>
  <c r="AB225" i="5"/>
  <c r="AB78" i="5"/>
  <c r="AB24" i="5"/>
  <c r="AB109" i="5"/>
  <c r="AB370" i="5"/>
  <c r="AA378" i="5"/>
  <c r="AA500" i="5"/>
  <c r="AB484" i="5"/>
  <c r="AB471" i="5"/>
  <c r="AA483" i="5"/>
  <c r="AB366" i="5"/>
  <c r="AB492" i="5"/>
  <c r="AB493" i="5"/>
  <c r="AB526" i="5"/>
  <c r="AB389" i="5"/>
  <c r="AB556" i="5"/>
  <c r="AA556" i="5"/>
  <c r="AA316" i="5"/>
  <c r="AB316" i="5"/>
  <c r="AA508" i="5"/>
  <c r="AB508" i="5"/>
  <c r="AA429" i="5"/>
  <c r="AB429" i="5"/>
  <c r="AB503" i="5"/>
  <c r="AA503" i="5"/>
  <c r="AA432" i="5"/>
  <c r="AB432" i="5"/>
  <c r="AB505" i="5"/>
  <c r="AA505" i="5"/>
  <c r="AA437" i="5"/>
  <c r="AB437" i="5"/>
  <c r="AA388" i="5"/>
  <c r="AB388" i="5"/>
  <c r="AA311" i="5"/>
  <c r="AB311" i="5"/>
  <c r="AA377" i="5"/>
  <c r="AB377" i="5"/>
  <c r="AA60" i="5"/>
  <c r="AA204" i="5"/>
  <c r="AB259" i="5"/>
  <c r="AA294" i="5"/>
  <c r="AA320" i="5"/>
  <c r="AA395" i="5"/>
  <c r="AA345" i="5"/>
  <c r="AA462" i="5"/>
  <c r="AB189" i="5"/>
  <c r="AA455" i="5"/>
  <c r="AA520" i="5"/>
  <c r="AA530" i="5"/>
  <c r="AB368" i="5"/>
  <c r="AA447" i="5"/>
  <c r="AA35" i="5"/>
  <c r="AA97" i="5"/>
  <c r="AB130" i="5"/>
  <c r="AA222" i="5"/>
  <c r="AA338" i="5"/>
  <c r="AB419" i="5"/>
  <c r="AA367" i="5"/>
  <c r="AA548" i="5"/>
  <c r="AA440" i="5"/>
  <c r="AB440" i="5"/>
  <c r="AB346" i="5"/>
  <c r="AA346" i="5"/>
  <c r="AA330" i="5"/>
  <c r="AB330" i="5"/>
  <c r="AA288" i="5"/>
  <c r="AB288" i="5"/>
  <c r="AB237" i="5"/>
  <c r="AA237" i="5"/>
  <c r="AA192" i="5"/>
  <c r="AB192" i="5"/>
  <c r="AB143" i="5"/>
  <c r="AA143" i="5"/>
  <c r="AB155" i="5"/>
  <c r="AA155" i="5"/>
  <c r="AB101" i="5"/>
  <c r="AA101" i="5"/>
  <c r="AB57" i="5"/>
  <c r="AA57" i="5"/>
  <c r="AA49" i="5"/>
  <c r="AB49" i="5"/>
  <c r="AB361" i="5"/>
  <c r="AB181" i="5"/>
  <c r="AB123" i="5"/>
  <c r="AA80" i="5"/>
  <c r="AA37" i="5"/>
  <c r="AA24" i="5"/>
  <c r="AA78" i="5"/>
  <c r="AB91" i="5"/>
  <c r="AB98" i="5"/>
  <c r="AB133" i="5"/>
  <c r="AA134" i="5"/>
  <c r="AA156" i="5"/>
  <c r="AA176" i="5"/>
  <c r="AA195" i="5"/>
  <c r="AA225" i="5"/>
  <c r="AA197" i="5"/>
  <c r="AA201" i="5"/>
  <c r="AB253" i="5"/>
  <c r="AB307" i="5"/>
  <c r="AB290" i="5"/>
  <c r="AA263" i="5"/>
  <c r="AB314" i="5"/>
  <c r="AB333" i="5"/>
  <c r="AA417" i="5"/>
  <c r="AA352" i="5"/>
  <c r="AA25" i="5"/>
  <c r="AA63" i="5"/>
  <c r="AB32" i="5"/>
  <c r="AA82" i="5"/>
  <c r="AA86" i="5"/>
  <c r="AA125" i="5"/>
  <c r="AA119" i="5"/>
  <c r="AB142" i="5"/>
  <c r="AA166" i="5"/>
  <c r="AA183" i="5"/>
  <c r="AA217" i="5"/>
  <c r="AA184" i="5"/>
  <c r="AB198" i="5"/>
  <c r="AB242" i="5"/>
  <c r="AB302" i="5"/>
  <c r="AB280" i="5"/>
  <c r="AA255" i="5"/>
  <c r="AB301" i="5"/>
  <c r="AA243" i="5"/>
  <c r="AB404" i="5"/>
  <c r="AB292" i="5"/>
  <c r="AB37" i="5"/>
  <c r="AB134" i="5"/>
  <c r="AB156" i="5"/>
  <c r="AB195" i="5"/>
  <c r="AA253" i="5"/>
  <c r="AA290" i="5"/>
  <c r="AB417" i="5"/>
  <c r="AB183" i="5"/>
  <c r="AA198" i="5"/>
  <c r="AC124" i="5" l="1"/>
  <c r="AD124" i="5" s="1"/>
  <c r="AC454" i="5"/>
  <c r="AS454" i="5" s="1"/>
  <c r="AU454" i="5" s="1"/>
  <c r="AC148" i="5"/>
  <c r="AE148" i="5" s="1"/>
  <c r="AC326" i="10"/>
  <c r="AV326" i="10" s="1"/>
  <c r="AC471" i="5"/>
  <c r="AS471" i="5" s="1"/>
  <c r="AT471" i="5" s="1"/>
  <c r="AC316" i="5"/>
  <c r="AD316" i="5" s="1"/>
  <c r="AC487" i="5"/>
  <c r="AD487" i="5" s="1"/>
  <c r="AC245" i="5"/>
  <c r="AC126" i="5"/>
  <c r="AS126" i="5" s="1"/>
  <c r="AC34" i="5"/>
  <c r="AD34" i="5" s="1"/>
  <c r="AC534" i="5"/>
  <c r="AD534" i="5" s="1"/>
  <c r="AC36" i="5"/>
  <c r="AD36" i="5" s="1"/>
  <c r="AC142" i="5"/>
  <c r="AS142" i="5" s="1"/>
  <c r="AC178" i="5"/>
  <c r="AS178" i="5" s="1"/>
  <c r="AU178" i="5" s="1"/>
  <c r="AC84" i="5"/>
  <c r="AE84" i="5" s="1"/>
  <c r="AC509" i="5"/>
  <c r="AD509" i="5" s="1"/>
  <c r="AC476" i="5"/>
  <c r="AD476" i="5" s="1"/>
  <c r="AC112" i="5"/>
  <c r="AE112" i="5" s="1"/>
  <c r="AC44" i="5"/>
  <c r="AE44" i="5" s="1"/>
  <c r="AC80" i="5"/>
  <c r="AE80" i="5" s="1"/>
  <c r="W8" i="4"/>
  <c r="X8" i="4" s="1"/>
  <c r="AC185" i="10"/>
  <c r="AC440" i="10"/>
  <c r="AE440" i="10" s="1"/>
  <c r="AC54" i="10"/>
  <c r="AC372" i="5"/>
  <c r="AS372" i="5" s="1"/>
  <c r="AT372" i="5" s="1"/>
  <c r="AC77" i="5"/>
  <c r="AD77" i="5" s="1"/>
  <c r="AC125" i="5"/>
  <c r="AE125" i="5" s="1"/>
  <c r="AC8" i="5"/>
  <c r="AS8" i="5" s="1"/>
  <c r="AU8" i="5" s="1"/>
  <c r="AC151" i="5"/>
  <c r="AS151" i="5" s="1"/>
  <c r="AU151" i="5" s="1"/>
  <c r="AC69" i="10"/>
  <c r="AD69" i="10" s="1"/>
  <c r="AC211" i="10"/>
  <c r="AV211" i="10" s="1"/>
  <c r="AC399" i="5"/>
  <c r="AE399" i="5" s="1"/>
  <c r="AC466" i="5"/>
  <c r="AD466" i="5" s="1"/>
  <c r="AC58" i="5"/>
  <c r="AE58" i="5" s="1"/>
  <c r="AC289" i="5"/>
  <c r="AD289" i="5" s="1"/>
  <c r="AC144" i="5"/>
  <c r="AS144" i="5" s="1"/>
  <c r="AU144" i="5" s="1"/>
  <c r="AC258" i="5"/>
  <c r="AS258" i="5" s="1"/>
  <c r="AU258" i="5" s="1"/>
  <c r="AC556" i="5"/>
  <c r="AE556" i="5" s="1"/>
  <c r="AC45" i="5"/>
  <c r="AE45" i="5" s="1"/>
  <c r="AC526" i="5"/>
  <c r="AE526" i="5" s="1"/>
  <c r="AC150" i="5"/>
  <c r="AE150" i="5" s="1"/>
  <c r="AC375" i="5"/>
  <c r="AD375" i="5" s="1"/>
  <c r="AC451" i="5"/>
  <c r="AS451" i="5" s="1"/>
  <c r="AT451" i="5" s="1"/>
  <c r="AC395" i="10"/>
  <c r="AC250" i="10"/>
  <c r="AE250" i="10" s="1"/>
  <c r="AC498" i="10"/>
  <c r="AV498" i="10" s="1"/>
  <c r="AC200" i="10"/>
  <c r="AD200" i="10" s="1"/>
  <c r="AC108" i="5"/>
  <c r="AS108" i="5" s="1"/>
  <c r="AU108" i="5" s="1"/>
  <c r="AC129" i="10"/>
  <c r="AD129" i="10" s="1"/>
  <c r="X116" i="4"/>
  <c r="X154" i="4"/>
  <c r="X113" i="4"/>
  <c r="X130" i="4"/>
  <c r="X97" i="4"/>
  <c r="X102" i="4"/>
  <c r="X110" i="4"/>
  <c r="X54" i="4"/>
  <c r="AC279" i="10"/>
  <c r="AE279" i="10" s="1"/>
  <c r="AC224" i="10"/>
  <c r="AC274" i="10"/>
  <c r="AC53" i="10"/>
  <c r="AE53" i="10" s="1"/>
  <c r="AC160" i="10"/>
  <c r="AD160" i="10" s="1"/>
  <c r="AC242" i="10"/>
  <c r="AE242" i="10" s="1"/>
  <c r="AC28" i="10"/>
  <c r="AE28" i="10" s="1"/>
  <c r="AC55" i="10"/>
  <c r="AV55" i="10" s="1"/>
  <c r="AX55" i="10" s="1"/>
  <c r="AC278" i="10"/>
  <c r="AD278" i="10" s="1"/>
  <c r="AC516" i="10"/>
  <c r="X81" i="4"/>
  <c r="X69" i="4"/>
  <c r="X62" i="4"/>
  <c r="X52" i="4"/>
  <c r="X112" i="4"/>
  <c r="X152" i="4"/>
  <c r="X91" i="4"/>
  <c r="X126" i="4"/>
  <c r="X145" i="4"/>
  <c r="X150" i="4"/>
  <c r="X64" i="4"/>
  <c r="X146" i="4"/>
  <c r="X67" i="4"/>
  <c r="X142" i="4"/>
  <c r="X123" i="4"/>
  <c r="X111" i="4"/>
  <c r="X137" i="4"/>
  <c r="X106" i="4"/>
  <c r="X65" i="4"/>
  <c r="X90" i="4"/>
  <c r="X104" i="4"/>
  <c r="X79" i="4"/>
  <c r="AC548" i="10"/>
  <c r="AE548" i="10" s="1"/>
  <c r="AC164" i="10"/>
  <c r="AE164" i="10" s="1"/>
  <c r="AC534" i="10"/>
  <c r="AE534" i="10" s="1"/>
  <c r="BN20" i="4"/>
  <c r="AI20" i="4"/>
  <c r="AI134" i="4"/>
  <c r="AI96" i="4"/>
  <c r="BN72" i="4"/>
  <c r="AI72" i="4"/>
  <c r="BN29" i="4"/>
  <c r="AI29" i="4"/>
  <c r="AI135" i="4"/>
  <c r="BN43" i="4"/>
  <c r="AI43" i="4"/>
  <c r="BN33" i="4"/>
  <c r="AI33" i="4"/>
  <c r="BN38" i="4"/>
  <c r="AI38" i="4"/>
  <c r="AI153" i="4"/>
  <c r="BN45" i="4"/>
  <c r="AI45" i="4"/>
  <c r="AI119" i="4"/>
  <c r="BN70" i="4"/>
  <c r="AI70" i="4"/>
  <c r="AI144" i="4"/>
  <c r="AI87" i="4"/>
  <c r="AI83" i="4"/>
  <c r="BN22" i="4"/>
  <c r="AI22" i="4"/>
  <c r="AI101" i="4"/>
  <c r="BN28" i="4"/>
  <c r="AI28" i="4"/>
  <c r="BN60" i="4"/>
  <c r="AI60" i="4"/>
  <c r="AI114" i="4"/>
  <c r="BN50" i="4"/>
  <c r="AI50" i="4"/>
  <c r="AI147" i="4"/>
  <c r="BN12" i="4"/>
  <c r="AI12" i="4"/>
  <c r="BN9" i="4"/>
  <c r="AI9" i="4"/>
  <c r="AI151" i="4"/>
  <c r="AI98" i="4"/>
  <c r="BN14" i="4"/>
  <c r="AI14" i="4"/>
  <c r="AI139" i="4"/>
  <c r="AI85" i="4"/>
  <c r="AI128" i="4"/>
  <c r="BN23" i="4"/>
  <c r="AI23" i="4"/>
  <c r="AI109" i="4"/>
  <c r="BN17" i="4"/>
  <c r="AI17" i="4"/>
  <c r="AI127" i="4"/>
  <c r="BN44" i="4"/>
  <c r="AI44" i="4"/>
  <c r="BN18" i="4"/>
  <c r="AI18" i="4"/>
  <c r="BN25" i="4"/>
  <c r="AI25" i="4"/>
  <c r="BN58" i="4"/>
  <c r="AI58" i="4"/>
  <c r="AI103" i="4"/>
  <c r="AI138" i="4"/>
  <c r="BN11" i="4"/>
  <c r="AI11" i="4"/>
  <c r="AI132" i="4"/>
  <c r="AI131" i="4"/>
  <c r="BN40" i="4"/>
  <c r="AI40" i="4"/>
  <c r="AI89" i="4"/>
  <c r="BN57" i="4"/>
  <c r="AI57" i="4"/>
  <c r="AI100" i="4"/>
  <c r="BN13" i="4"/>
  <c r="AI13" i="4"/>
  <c r="AI86" i="4"/>
  <c r="BN55" i="4"/>
  <c r="AI55" i="4"/>
  <c r="BN27" i="4"/>
  <c r="AI27" i="4"/>
  <c r="AI92" i="4"/>
  <c r="BN74" i="4"/>
  <c r="AI74" i="4"/>
  <c r="AI84" i="4"/>
  <c r="AI105" i="4"/>
  <c r="BN15" i="4"/>
  <c r="AI15" i="4"/>
  <c r="BN53" i="4"/>
  <c r="AI53" i="4"/>
  <c r="BN77" i="4"/>
  <c r="AI77" i="4"/>
  <c r="BN73" i="4"/>
  <c r="AI73" i="4"/>
  <c r="BN16" i="4"/>
  <c r="AI16" i="4"/>
  <c r="AI99" i="4"/>
  <c r="AI93" i="4"/>
  <c r="BN68" i="4"/>
  <c r="AI68" i="4"/>
  <c r="AI129" i="4"/>
  <c r="BN42" i="4"/>
  <c r="AI42" i="4"/>
  <c r="BN10" i="4"/>
  <c r="AI10" i="4"/>
  <c r="BN66" i="4"/>
  <c r="AI66" i="4"/>
  <c r="BN30" i="4"/>
  <c r="AI30" i="4"/>
  <c r="BN31" i="4"/>
  <c r="AI31" i="4"/>
  <c r="BN34" i="4"/>
  <c r="AI34" i="4"/>
  <c r="BN36" i="4"/>
  <c r="AI36" i="4"/>
  <c r="BN78" i="4"/>
  <c r="AI78" i="4"/>
  <c r="AI141" i="4"/>
  <c r="AI80" i="4"/>
  <c r="BN51" i="4"/>
  <c r="AI51" i="4"/>
  <c r="AI115" i="4"/>
  <c r="AI125" i="4"/>
  <c r="BN71" i="4"/>
  <c r="AI71" i="4"/>
  <c r="AI95" i="4"/>
  <c r="BN63" i="4"/>
  <c r="AI63" i="4"/>
  <c r="AI121" i="4"/>
  <c r="BN35" i="4"/>
  <c r="AI35" i="4"/>
  <c r="BN61" i="4"/>
  <c r="AI61" i="4"/>
  <c r="AI155" i="4"/>
  <c r="BN76" i="4"/>
  <c r="AI76" i="4"/>
  <c r="AI88" i="4"/>
  <c r="AI120" i="4"/>
  <c r="X47" i="4"/>
  <c r="Y62" i="4"/>
  <c r="X46" i="4"/>
  <c r="X37" i="4"/>
  <c r="Z102" i="4"/>
  <c r="Y112" i="4"/>
  <c r="Z112" i="4"/>
  <c r="AD7" i="4"/>
  <c r="AH7" i="4"/>
  <c r="W156" i="4"/>
  <c r="X156" i="4" s="1"/>
  <c r="AP107" i="4"/>
  <c r="AO107" i="4" s="1"/>
  <c r="AN107" i="4" s="1"/>
  <c r="W92" i="4"/>
  <c r="X92" i="4" s="1"/>
  <c r="BN8" i="4"/>
  <c r="W107" i="4"/>
  <c r="X107" i="4" s="1"/>
  <c r="Y67" i="4"/>
  <c r="W40" i="4"/>
  <c r="X40" i="4" s="1"/>
  <c r="Z153" i="4"/>
  <c r="AA153" i="4" s="1"/>
  <c r="Y37" i="4"/>
  <c r="AI37" i="4" s="1"/>
  <c r="Y133" i="4"/>
  <c r="W108" i="4"/>
  <c r="X108" i="4" s="1"/>
  <c r="Z92" i="4"/>
  <c r="AA92" i="4" s="1"/>
  <c r="Y59" i="4"/>
  <c r="AI59" i="4" s="1"/>
  <c r="W59" i="4"/>
  <c r="X59" i="4" s="1"/>
  <c r="Z111" i="4"/>
  <c r="Y152" i="4"/>
  <c r="AI152" i="4" s="1"/>
  <c r="W122" i="4"/>
  <c r="X122" i="4" s="1"/>
  <c r="Y111" i="4"/>
  <c r="BI51" i="4"/>
  <c r="BI50" i="4"/>
  <c r="BI12" i="4"/>
  <c r="BI9" i="4"/>
  <c r="BI55" i="4"/>
  <c r="BI96" i="4"/>
  <c r="BI72" i="4"/>
  <c r="BI23" i="4"/>
  <c r="BI127" i="4"/>
  <c r="BI71" i="4"/>
  <c r="W74" i="4"/>
  <c r="X74" i="4" s="1"/>
  <c r="BI35" i="4"/>
  <c r="BI68" i="4"/>
  <c r="BI147" i="4"/>
  <c r="BI151" i="4"/>
  <c r="BI115" i="4"/>
  <c r="BI63" i="4"/>
  <c r="BI61" i="4"/>
  <c r="BI86" i="4"/>
  <c r="BI98" i="4"/>
  <c r="BI139" i="4"/>
  <c r="BI85" i="4"/>
  <c r="BI135" i="4"/>
  <c r="BI101" i="4"/>
  <c r="BI58" i="4"/>
  <c r="BI28" i="4"/>
  <c r="BI45" i="4"/>
  <c r="BI92" i="4"/>
  <c r="BI10" i="4"/>
  <c r="BI77" i="4"/>
  <c r="BI95" i="4"/>
  <c r="BI74" i="4"/>
  <c r="Z74" i="4"/>
  <c r="AA74" i="4" s="1"/>
  <c r="BI31" i="4"/>
  <c r="BI34" i="4"/>
  <c r="BI78" i="4"/>
  <c r="BI128" i="4"/>
  <c r="BI16" i="4"/>
  <c r="BI18" i="4"/>
  <c r="BI25" i="4"/>
  <c r="BI11" i="4"/>
  <c r="BI60" i="4"/>
  <c r="BI114" i="4"/>
  <c r="BI57" i="4"/>
  <c r="BI100" i="4"/>
  <c r="BI129" i="4"/>
  <c r="BI84" i="4"/>
  <c r="Y91" i="4"/>
  <c r="Y122" i="4"/>
  <c r="AI122" i="4" s="1"/>
  <c r="Y140" i="4"/>
  <c r="Y150" i="4"/>
  <c r="Y126" i="4"/>
  <c r="W57" i="4"/>
  <c r="X57" i="4" s="1"/>
  <c r="W100" i="4"/>
  <c r="X100" i="4" s="1"/>
  <c r="W56" i="4"/>
  <c r="X56" i="4" s="1"/>
  <c r="W114" i="4"/>
  <c r="X114" i="4" s="1"/>
  <c r="Z100" i="4"/>
  <c r="AA100" i="4" s="1"/>
  <c r="Y97" i="4"/>
  <c r="Y142" i="4"/>
  <c r="W84" i="4"/>
  <c r="X84" i="4" s="1"/>
  <c r="W157" i="4"/>
  <c r="X157" i="4" s="1"/>
  <c r="W68" i="4"/>
  <c r="X68" i="4" s="1"/>
  <c r="Y41" i="4"/>
  <c r="Y102" i="4"/>
  <c r="AI102" i="4" s="1"/>
  <c r="Y56" i="4"/>
  <c r="W143" i="4"/>
  <c r="X143" i="4" s="1"/>
  <c r="W94" i="4"/>
  <c r="X94" i="4" s="1"/>
  <c r="W41" i="4"/>
  <c r="X41" i="4" s="1"/>
  <c r="Y94" i="4"/>
  <c r="W124" i="4"/>
  <c r="X124" i="4" s="1"/>
  <c r="W129" i="4"/>
  <c r="X129" i="4" s="1"/>
  <c r="W82" i="4"/>
  <c r="X82" i="4" s="1"/>
  <c r="W75" i="4"/>
  <c r="X75" i="4" s="1"/>
  <c r="Z129" i="4"/>
  <c r="AA129" i="4" s="1"/>
  <c r="Z126" i="4"/>
  <c r="Y154" i="4"/>
  <c r="Y75" i="4"/>
  <c r="W60" i="4"/>
  <c r="X60" i="4" s="1"/>
  <c r="W140" i="4"/>
  <c r="X140" i="4" s="1"/>
  <c r="W147" i="4"/>
  <c r="X147" i="4" s="1"/>
  <c r="Z147" i="4"/>
  <c r="AA147" i="4" s="1"/>
  <c r="Z60" i="4"/>
  <c r="AA60" i="4" s="1"/>
  <c r="Y69" i="4"/>
  <c r="Z88" i="4"/>
  <c r="AA88" i="4" s="1"/>
  <c r="Y108" i="4"/>
  <c r="Y39" i="4"/>
  <c r="W88" i="4"/>
  <c r="X88" i="4" s="1"/>
  <c r="W76" i="4"/>
  <c r="X76" i="4" s="1"/>
  <c r="W39" i="4"/>
  <c r="X39" i="4" s="1"/>
  <c r="AP120" i="4"/>
  <c r="AO120" i="4" s="1"/>
  <c r="Y123" i="4"/>
  <c r="W120" i="4"/>
  <c r="X120" i="4" s="1"/>
  <c r="W45" i="4"/>
  <c r="X45" i="4" s="1"/>
  <c r="W153" i="4"/>
  <c r="X153" i="4" s="1"/>
  <c r="W89" i="4"/>
  <c r="X89" i="4" s="1"/>
  <c r="W133" i="4"/>
  <c r="X133" i="4" s="1"/>
  <c r="Z132" i="4"/>
  <c r="AA132" i="4" s="1"/>
  <c r="Z50" i="4"/>
  <c r="AA50" i="4" s="1"/>
  <c r="Z61" i="4"/>
  <c r="AA61" i="4" s="1"/>
  <c r="Y52" i="4"/>
  <c r="W132" i="4"/>
  <c r="X132" i="4" s="1"/>
  <c r="W131" i="4"/>
  <c r="X131" i="4" s="1"/>
  <c r="W50" i="4"/>
  <c r="X50" i="4" s="1"/>
  <c r="Z52" i="4"/>
  <c r="Z131" i="4"/>
  <c r="AA131" i="4" s="1"/>
  <c r="Z145" i="4"/>
  <c r="Y116" i="4"/>
  <c r="Y145" i="4"/>
  <c r="W61" i="4"/>
  <c r="X61" i="4" s="1"/>
  <c r="Y130" i="4"/>
  <c r="W155" i="4"/>
  <c r="X155" i="4" s="1"/>
  <c r="Z90" i="4"/>
  <c r="Y90" i="4"/>
  <c r="AA11" i="4"/>
  <c r="AA38" i="4"/>
  <c r="AA35" i="4"/>
  <c r="X30" i="4"/>
  <c r="X20" i="4"/>
  <c r="X10" i="4"/>
  <c r="X15" i="4"/>
  <c r="X26" i="4"/>
  <c r="X18" i="4"/>
  <c r="X24" i="4"/>
  <c r="X22" i="4"/>
  <c r="AP70" i="4"/>
  <c r="AP151" i="4"/>
  <c r="AP98" i="4"/>
  <c r="AO98" i="4" s="1"/>
  <c r="AP77" i="4"/>
  <c r="AP60" i="4"/>
  <c r="AO60" i="4" s="1"/>
  <c r="AP45" i="4"/>
  <c r="AP109" i="4"/>
  <c r="AP115" i="4"/>
  <c r="AP71" i="4"/>
  <c r="AO71" i="4" s="1"/>
  <c r="AP103" i="4"/>
  <c r="AP28" i="4"/>
  <c r="AO28" i="4" s="1"/>
  <c r="AP12" i="4"/>
  <c r="AP86" i="4"/>
  <c r="AO86" i="4" s="1"/>
  <c r="AP134" i="4"/>
  <c r="AP34" i="4"/>
  <c r="AP131" i="4"/>
  <c r="AP141" i="4"/>
  <c r="AP88" i="4"/>
  <c r="AP68" i="4"/>
  <c r="AO68" i="4" s="1"/>
  <c r="AP125" i="4"/>
  <c r="AP63" i="4"/>
  <c r="AP119" i="4"/>
  <c r="AP13" i="4"/>
  <c r="AP10" i="4"/>
  <c r="AO10" i="4" s="1"/>
  <c r="AP15" i="4"/>
  <c r="AP74" i="4"/>
  <c r="AO74" i="4" s="1"/>
  <c r="AP57" i="4"/>
  <c r="AP55" i="4"/>
  <c r="AP96" i="4"/>
  <c r="AP114" i="4"/>
  <c r="AP155" i="4"/>
  <c r="AP85" i="4"/>
  <c r="AP72" i="4"/>
  <c r="AP83" i="4"/>
  <c r="AO83" i="4" s="1"/>
  <c r="AP135" i="4"/>
  <c r="AP132" i="4"/>
  <c r="AP17" i="4"/>
  <c r="AP93" i="4"/>
  <c r="AP33" i="4"/>
  <c r="AP25" i="4"/>
  <c r="AP38" i="4"/>
  <c r="AP11" i="4"/>
  <c r="AP105" i="4"/>
  <c r="AP66" i="4"/>
  <c r="AP84" i="4"/>
  <c r="AP14" i="4"/>
  <c r="AO14" i="4" s="1"/>
  <c r="AP36" i="4"/>
  <c r="AO36" i="4" s="1"/>
  <c r="AP89" i="4"/>
  <c r="AP127" i="4"/>
  <c r="AP44" i="4"/>
  <c r="AP76" i="4"/>
  <c r="AP42" i="4"/>
  <c r="AP50" i="4"/>
  <c r="AP30" i="4"/>
  <c r="AP31" i="4"/>
  <c r="AP153" i="4"/>
  <c r="AP87" i="4"/>
  <c r="AO87" i="4" s="1"/>
  <c r="AP73" i="4"/>
  <c r="AP92" i="4"/>
  <c r="AP80" i="4"/>
  <c r="AP22" i="4"/>
  <c r="AO22" i="4" s="1"/>
  <c r="AP100" i="4"/>
  <c r="AP95" i="4"/>
  <c r="AO95" i="4" s="1"/>
  <c r="AP138" i="4"/>
  <c r="AP40" i="4"/>
  <c r="AO40" i="4" s="1"/>
  <c r="AP20" i="4"/>
  <c r="AP9" i="4"/>
  <c r="AP144" i="4"/>
  <c r="AP53" i="4"/>
  <c r="AP139" i="4"/>
  <c r="AP27" i="4"/>
  <c r="AP78" i="4"/>
  <c r="AO78" i="4" s="1"/>
  <c r="AP128" i="4"/>
  <c r="AP29" i="4"/>
  <c r="AP23" i="4"/>
  <c r="AP16" i="4"/>
  <c r="AP51" i="4"/>
  <c r="AP129" i="4"/>
  <c r="AP99" i="4"/>
  <c r="AO99" i="4" s="1"/>
  <c r="AP43" i="4"/>
  <c r="AP61" i="4"/>
  <c r="AP147" i="4"/>
  <c r="AP18" i="4"/>
  <c r="AO18" i="4" s="1"/>
  <c r="AP101" i="4"/>
  <c r="AP58" i="4"/>
  <c r="AP35" i="4"/>
  <c r="X21" i="4"/>
  <c r="X12" i="4"/>
  <c r="X9" i="4"/>
  <c r="X33" i="4"/>
  <c r="AA28" i="4"/>
  <c r="X17" i="4"/>
  <c r="X19" i="4"/>
  <c r="X32" i="4"/>
  <c r="X31" i="4"/>
  <c r="X34" i="4"/>
  <c r="X27" i="4"/>
  <c r="AP8" i="4"/>
  <c r="AA103" i="4"/>
  <c r="AA138" i="4"/>
  <c r="X16" i="4"/>
  <c r="X35" i="4"/>
  <c r="X28" i="4"/>
  <c r="X11" i="4"/>
  <c r="AA121" i="4"/>
  <c r="AA63" i="4"/>
  <c r="AA23" i="4"/>
  <c r="AA93" i="4"/>
  <c r="AA115" i="4"/>
  <c r="AA18" i="4"/>
  <c r="AA101" i="4"/>
  <c r="AA125" i="4"/>
  <c r="AA22" i="4"/>
  <c r="AA71" i="4"/>
  <c r="AA44" i="4"/>
  <c r="AA127" i="4"/>
  <c r="AA80" i="4"/>
  <c r="AA43" i="4"/>
  <c r="AA51" i="4"/>
  <c r="Z114" i="4"/>
  <c r="AA114" i="4" s="1"/>
  <c r="Z15" i="4"/>
  <c r="AA15" i="4" s="1"/>
  <c r="Z96" i="4"/>
  <c r="AA96" i="4" s="1"/>
  <c r="Z20" i="4"/>
  <c r="AA20" i="4" s="1"/>
  <c r="Z40" i="4"/>
  <c r="AA40" i="4" s="1"/>
  <c r="Z128" i="4"/>
  <c r="AA128" i="4" s="1"/>
  <c r="Z84" i="4"/>
  <c r="AA84" i="4" s="1"/>
  <c r="Z98" i="4"/>
  <c r="AA98" i="4" s="1"/>
  <c r="Z13" i="4"/>
  <c r="AA13" i="4" s="1"/>
  <c r="Z85" i="4"/>
  <c r="AA85" i="4" s="1"/>
  <c r="Z30" i="4"/>
  <c r="AA30" i="4" s="1"/>
  <c r="Z67" i="4"/>
  <c r="Z66" i="4"/>
  <c r="AA66" i="4" s="1"/>
  <c r="Z97" i="4"/>
  <c r="Y146" i="4"/>
  <c r="Z146" i="4"/>
  <c r="AA12" i="4"/>
  <c r="Y149" i="4"/>
  <c r="Y143" i="4"/>
  <c r="Z9" i="4"/>
  <c r="AA9" i="4" s="1"/>
  <c r="Z149" i="4"/>
  <c r="Z19" i="4"/>
  <c r="Y19" i="4"/>
  <c r="Z65" i="4"/>
  <c r="Y65" i="4"/>
  <c r="Y124" i="4"/>
  <c r="Y156" i="4"/>
  <c r="Y148" i="4"/>
  <c r="Y104" i="4"/>
  <c r="Y157" i="4"/>
  <c r="Y54" i="4"/>
  <c r="Y82" i="4"/>
  <c r="Y117" i="4"/>
  <c r="AA134" i="4"/>
  <c r="Z137" i="4"/>
  <c r="Y137" i="4"/>
  <c r="Z118" i="4"/>
  <c r="Y118" i="4"/>
  <c r="Z113" i="4"/>
  <c r="Y113" i="4"/>
  <c r="Z26" i="4"/>
  <c r="Y26" i="4"/>
  <c r="Z24" i="4"/>
  <c r="Y24" i="4"/>
  <c r="Y48" i="4"/>
  <c r="Y110" i="4"/>
  <c r="Z110" i="4"/>
  <c r="Y49" i="4"/>
  <c r="Y79" i="4"/>
  <c r="Y81" i="4"/>
  <c r="Z81" i="4"/>
  <c r="Z123" i="4"/>
  <c r="AA8" i="4"/>
  <c r="AB8" i="4" s="1"/>
  <c r="AH8" i="4" s="1"/>
  <c r="AA119" i="4"/>
  <c r="AA42" i="4"/>
  <c r="AA70" i="4"/>
  <c r="AA86" i="4"/>
  <c r="AA151" i="4"/>
  <c r="AA144" i="4"/>
  <c r="AA14" i="4"/>
  <c r="AA36" i="4"/>
  <c r="Z136" i="4"/>
  <c r="Y136" i="4"/>
  <c r="Z21" i="4"/>
  <c r="Y21" i="4"/>
  <c r="Z64" i="4"/>
  <c r="Y64" i="4"/>
  <c r="Z106" i="4"/>
  <c r="Y106" i="4"/>
  <c r="Y46" i="4"/>
  <c r="Z32" i="4"/>
  <c r="Y32" i="4"/>
  <c r="Z47" i="4"/>
  <c r="Y47" i="4"/>
  <c r="AA53" i="4"/>
  <c r="AA77" i="4"/>
  <c r="AA27" i="4"/>
  <c r="AA78" i="4"/>
  <c r="AA73" i="4"/>
  <c r="AA141" i="4"/>
  <c r="R116" i="10"/>
  <c r="S403" i="10"/>
  <c r="S185" i="10"/>
  <c r="AC403" i="10"/>
  <c r="AD403" i="10" s="1"/>
  <c r="S300" i="10"/>
  <c r="AC300" i="10"/>
  <c r="AE300" i="10" s="1"/>
  <c r="S92" i="10"/>
  <c r="AC92" i="10"/>
  <c r="AV92" i="10" s="1"/>
  <c r="S486" i="10"/>
  <c r="S174" i="10"/>
  <c r="AC556" i="10"/>
  <c r="AE556" i="10" s="1"/>
  <c r="S365" i="10"/>
  <c r="AC365" i="10"/>
  <c r="AE365" i="10" s="1"/>
  <c r="AC353" i="10"/>
  <c r="AE353" i="10" s="1"/>
  <c r="R462" i="10"/>
  <c r="R353" i="10"/>
  <c r="S377" i="10"/>
  <c r="AC283" i="10"/>
  <c r="AV283" i="10" s="1"/>
  <c r="AW283" i="10" s="1"/>
  <c r="R82" i="10"/>
  <c r="AC141" i="10"/>
  <c r="AD141" i="10" s="1"/>
  <c r="R535" i="10"/>
  <c r="R490" i="10"/>
  <c r="AC288" i="10"/>
  <c r="AD288" i="10" s="1"/>
  <c r="AC165" i="10"/>
  <c r="AE165" i="10" s="1"/>
  <c r="R422" i="10"/>
  <c r="R164" i="10"/>
  <c r="AC557" i="10"/>
  <c r="AD557" i="10" s="1"/>
  <c r="AC520" i="10"/>
  <c r="AV520" i="10" s="1"/>
  <c r="AC51" i="10"/>
  <c r="AD51" i="10" s="1"/>
  <c r="S165" i="10"/>
  <c r="R251" i="10"/>
  <c r="R73" i="10"/>
  <c r="AC132" i="10"/>
  <c r="AE132" i="10" s="1"/>
  <c r="AC464" i="10"/>
  <c r="AE464" i="10" s="1"/>
  <c r="AC137" i="10"/>
  <c r="AV137" i="10" s="1"/>
  <c r="AW137" i="10" s="1"/>
  <c r="AC378" i="10"/>
  <c r="AE378" i="10" s="1"/>
  <c r="AC458" i="10"/>
  <c r="AD458" i="10" s="1"/>
  <c r="AC499" i="10"/>
  <c r="AD499" i="10" s="1"/>
  <c r="S113" i="10"/>
  <c r="S297" i="10"/>
  <c r="S222" i="10"/>
  <c r="AC315" i="10"/>
  <c r="AE315" i="10" s="1"/>
  <c r="AC118" i="10"/>
  <c r="AD118" i="10" s="1"/>
  <c r="AC251" i="10"/>
  <c r="AV251" i="10" s="1"/>
  <c r="AW251" i="10" s="1"/>
  <c r="S478" i="10"/>
  <c r="R548" i="10"/>
  <c r="R127" i="10"/>
  <c r="S180" i="10"/>
  <c r="R413" i="10"/>
  <c r="AC411" i="10"/>
  <c r="AE411" i="10" s="1"/>
  <c r="AC249" i="10"/>
  <c r="AV249" i="10" s="1"/>
  <c r="AC377" i="10"/>
  <c r="AE377" i="10" s="1"/>
  <c r="AC174" i="10"/>
  <c r="AV174" i="10" s="1"/>
  <c r="AW174" i="10" s="1"/>
  <c r="R20" i="10"/>
  <c r="AC558" i="10"/>
  <c r="AD558" i="10" s="1"/>
  <c r="AC48" i="10"/>
  <c r="AE48" i="10" s="1"/>
  <c r="W11" i="10"/>
  <c r="X11" i="10" s="1"/>
  <c r="AC530" i="10"/>
  <c r="AD530" i="10" s="1"/>
  <c r="AC317" i="10"/>
  <c r="AV317" i="10" s="1"/>
  <c r="AC116" i="10"/>
  <c r="AE116" i="10" s="1"/>
  <c r="AC72" i="10"/>
  <c r="AD72" i="10" s="1"/>
  <c r="S250" i="10"/>
  <c r="AC56" i="10"/>
  <c r="AV56" i="10" s="1"/>
  <c r="S77" i="10"/>
  <c r="AC197" i="10"/>
  <c r="AD197" i="10" s="1"/>
  <c r="AC33" i="10"/>
  <c r="AE33" i="10" s="1"/>
  <c r="R437" i="10"/>
  <c r="AC102" i="10"/>
  <c r="AE102" i="10" s="1"/>
  <c r="AC215" i="10"/>
  <c r="AE215" i="10" s="1"/>
  <c r="S556" i="10"/>
  <c r="S475" i="10"/>
  <c r="AC209" i="10"/>
  <c r="AE209" i="10" s="1"/>
  <c r="AC446" i="5"/>
  <c r="AS446" i="5" s="1"/>
  <c r="AU446" i="5" s="1"/>
  <c r="S215" i="10"/>
  <c r="R157" i="10"/>
  <c r="S471" i="10"/>
  <c r="AC348" i="10"/>
  <c r="AV348" i="10" s="1"/>
  <c r="AC34" i="10"/>
  <c r="AV34" i="10" s="1"/>
  <c r="AC127" i="10"/>
  <c r="AV127" i="10" s="1"/>
  <c r="AC544" i="10"/>
  <c r="AE544" i="10" s="1"/>
  <c r="AC100" i="10"/>
  <c r="AE100" i="10" s="1"/>
  <c r="S393" i="10"/>
  <c r="AC488" i="10"/>
  <c r="AV488" i="10" s="1"/>
  <c r="AC89" i="10"/>
  <c r="AD89" i="10" s="1"/>
  <c r="AC373" i="10"/>
  <c r="AD373" i="10" s="1"/>
  <c r="AC41" i="10"/>
  <c r="AV41" i="10" s="1"/>
  <c r="AC172" i="10"/>
  <c r="AV172" i="10" s="1"/>
  <c r="AC314" i="10"/>
  <c r="AE314" i="10" s="1"/>
  <c r="AC203" i="10"/>
  <c r="AD203" i="10" s="1"/>
  <c r="AC382" i="10"/>
  <c r="AD382" i="10" s="1"/>
  <c r="AC380" i="10"/>
  <c r="AV380" i="10" s="1"/>
  <c r="AC290" i="10"/>
  <c r="AD290" i="10" s="1"/>
  <c r="AC432" i="10"/>
  <c r="AE432" i="10" s="1"/>
  <c r="AC13" i="10"/>
  <c r="AV13" i="10" s="1"/>
  <c r="AW13" i="10" s="1"/>
  <c r="AC502" i="10"/>
  <c r="AE502" i="10" s="1"/>
  <c r="AC202" i="10"/>
  <c r="AD202" i="10" s="1"/>
  <c r="S259" i="10"/>
  <c r="R68" i="10"/>
  <c r="R197" i="10"/>
  <c r="AC170" i="10"/>
  <c r="AV170" i="10" s="1"/>
  <c r="AC444" i="10"/>
  <c r="AE444" i="10" s="1"/>
  <c r="AC514" i="10"/>
  <c r="AV514" i="10" s="1"/>
  <c r="R432" i="10"/>
  <c r="S382" i="10"/>
  <c r="R361" i="10"/>
  <c r="AC259" i="10"/>
  <c r="AV259" i="10" s="1"/>
  <c r="S56" i="10"/>
  <c r="R129" i="10"/>
  <c r="R543" i="10"/>
  <c r="S444" i="10"/>
  <c r="R54" i="10"/>
  <c r="S69" i="10"/>
  <c r="S93" i="10"/>
  <c r="AC456" i="10"/>
  <c r="AV456" i="10" s="1"/>
  <c r="S299" i="10"/>
  <c r="S244" i="10"/>
  <c r="R56" i="10"/>
  <c r="R202" i="10"/>
  <c r="AC468" i="10"/>
  <c r="AE468" i="10" s="1"/>
  <c r="AC121" i="10"/>
  <c r="AD121" i="10" s="1"/>
  <c r="AC428" i="10"/>
  <c r="AV428" i="10" s="1"/>
  <c r="AC473" i="10"/>
  <c r="AD473" i="10" s="1"/>
  <c r="AC320" i="10"/>
  <c r="AE320" i="10" s="1"/>
  <c r="S544" i="10"/>
  <c r="S326" i="10"/>
  <c r="S100" i="10"/>
  <c r="S440" i="10"/>
  <c r="AC272" i="10"/>
  <c r="AD272" i="10" s="1"/>
  <c r="AC157" i="10"/>
  <c r="AV157" i="10" s="1"/>
  <c r="S33" i="10"/>
  <c r="R301" i="10"/>
  <c r="S348" i="10"/>
  <c r="R122" i="10"/>
  <c r="R272" i="10"/>
  <c r="S465" i="10"/>
  <c r="R85" i="10"/>
  <c r="S522" i="10"/>
  <c r="R325" i="10"/>
  <c r="AC301" i="10"/>
  <c r="AD301" i="10" s="1"/>
  <c r="AC441" i="10"/>
  <c r="AD441" i="10" s="1"/>
  <c r="AC522" i="10"/>
  <c r="AE522" i="10" s="1"/>
  <c r="AC77" i="10"/>
  <c r="AV77" i="10" s="1"/>
  <c r="AC536" i="10"/>
  <c r="AD536" i="10" s="1"/>
  <c r="AC543" i="10"/>
  <c r="AV543" i="10" s="1"/>
  <c r="AC465" i="10"/>
  <c r="AE465" i="10" s="1"/>
  <c r="AC261" i="10"/>
  <c r="AE261" i="10" s="1"/>
  <c r="AC122" i="10"/>
  <c r="AV122" i="10" s="1"/>
  <c r="R556" i="10"/>
  <c r="AC471" i="10"/>
  <c r="AD471" i="10" s="1"/>
  <c r="AC437" i="10"/>
  <c r="AV437" i="10" s="1"/>
  <c r="AC85" i="10"/>
  <c r="AD85" i="10" s="1"/>
  <c r="AC393" i="10"/>
  <c r="AE393" i="10" s="1"/>
  <c r="AC475" i="10"/>
  <c r="AD475" i="10" s="1"/>
  <c r="AC325" i="10"/>
  <c r="AD325" i="10" s="1"/>
  <c r="R358" i="10"/>
  <c r="S358" i="10"/>
  <c r="R388" i="10"/>
  <c r="AC388" i="10"/>
  <c r="AE388" i="10" s="1"/>
  <c r="S206" i="10"/>
  <c r="R206" i="10"/>
  <c r="AC501" i="10"/>
  <c r="AE501" i="10" s="1"/>
  <c r="R501" i="10"/>
  <c r="S173" i="10"/>
  <c r="R173" i="10"/>
  <c r="AC38" i="10"/>
  <c r="AE38" i="10" s="1"/>
  <c r="S38" i="10"/>
  <c r="AC405" i="10"/>
  <c r="AE405" i="10" s="1"/>
  <c r="S405" i="10"/>
  <c r="AC90" i="10"/>
  <c r="AD90" i="10" s="1"/>
  <c r="R90" i="10"/>
  <c r="S416" i="10"/>
  <c r="R416" i="10"/>
  <c r="S337" i="10"/>
  <c r="R337" i="10"/>
  <c r="AC139" i="10"/>
  <c r="AD139" i="10" s="1"/>
  <c r="S139" i="10"/>
  <c r="R139" i="10"/>
  <c r="AC47" i="10"/>
  <c r="AD47" i="10" s="1"/>
  <c r="R47" i="10"/>
  <c r="R96" i="10"/>
  <c r="S96" i="10"/>
  <c r="AC295" i="10"/>
  <c r="AV295" i="10" s="1"/>
  <c r="R295" i="10"/>
  <c r="R463" i="10"/>
  <c r="S463" i="10"/>
  <c r="AC8" i="10"/>
  <c r="AE8" i="10" s="1"/>
  <c r="R8" i="10"/>
  <c r="AC43" i="10"/>
  <c r="AD43" i="10" s="1"/>
  <c r="R43" i="10"/>
  <c r="AC153" i="10"/>
  <c r="AV153" i="10" s="1"/>
  <c r="R153" i="10"/>
  <c r="R258" i="10"/>
  <c r="AC258" i="10"/>
  <c r="AE258" i="10" s="1"/>
  <c r="S290" i="10"/>
  <c r="R290" i="10"/>
  <c r="AC399" i="10"/>
  <c r="AV399" i="10" s="1"/>
  <c r="AX399" i="10" s="1"/>
  <c r="R399" i="10"/>
  <c r="S512" i="10"/>
  <c r="R512" i="10"/>
  <c r="S469" i="10"/>
  <c r="R469" i="10"/>
  <c r="S452" i="10"/>
  <c r="R452" i="10"/>
  <c r="AC452" i="10"/>
  <c r="AE452" i="10" s="1"/>
  <c r="R387" i="10"/>
  <c r="S387" i="10"/>
  <c r="S39" i="10"/>
  <c r="R39" i="10"/>
  <c r="AC168" i="10"/>
  <c r="AV168" i="10" s="1"/>
  <c r="S168" i="10"/>
  <c r="R72" i="10"/>
  <c r="S72" i="10"/>
  <c r="R115" i="10"/>
  <c r="AC115" i="10"/>
  <c r="AV115" i="10" s="1"/>
  <c r="R286" i="10"/>
  <c r="S286" i="10"/>
  <c r="AC330" i="10"/>
  <c r="AE330" i="10" s="1"/>
  <c r="R330" i="10"/>
  <c r="AC323" i="10"/>
  <c r="AE323" i="10" s="1"/>
  <c r="S323" i="10"/>
  <c r="R323" i="10"/>
  <c r="R391" i="10"/>
  <c r="S391" i="10"/>
  <c r="S436" i="10"/>
  <c r="AC436" i="10"/>
  <c r="AE436" i="10" s="1"/>
  <c r="S492" i="10"/>
  <c r="R492" i="10"/>
  <c r="R466" i="10"/>
  <c r="S466" i="10"/>
  <c r="S507" i="10"/>
  <c r="R507" i="10"/>
  <c r="S500" i="10"/>
  <c r="R500" i="10"/>
  <c r="AC225" i="10"/>
  <c r="AD225" i="10" s="1"/>
  <c r="S225" i="10"/>
  <c r="R225" i="10"/>
  <c r="S37" i="10"/>
  <c r="R37" i="10"/>
  <c r="R312" i="10"/>
  <c r="S312" i="10"/>
  <c r="S430" i="10"/>
  <c r="R430" i="10"/>
  <c r="AC492" i="10"/>
  <c r="AE492" i="10" s="1"/>
  <c r="S219" i="10"/>
  <c r="S47" i="10"/>
  <c r="S501" i="10"/>
  <c r="R425" i="10"/>
  <c r="S533" i="10"/>
  <c r="R167" i="10"/>
  <c r="S8" i="10"/>
  <c r="S115" i="10"/>
  <c r="AC551" i="10"/>
  <c r="AV551" i="10" s="1"/>
  <c r="AC219" i="10"/>
  <c r="AE219" i="10" s="1"/>
  <c r="S560" i="10"/>
  <c r="S90" i="10"/>
  <c r="AC387" i="10"/>
  <c r="AV387" i="10" s="1"/>
  <c r="AC125" i="10"/>
  <c r="AV125" i="10" s="1"/>
  <c r="S399" i="10"/>
  <c r="AC37" i="10"/>
  <c r="AV37" i="10" s="1"/>
  <c r="AX37" i="10" s="1"/>
  <c r="AC367" i="10"/>
  <c r="AV367" i="10" s="1"/>
  <c r="AW367" i="10" s="1"/>
  <c r="R356" i="10"/>
  <c r="R502" i="10"/>
  <c r="AC420" i="10"/>
  <c r="AV420" i="10" s="1"/>
  <c r="AC356" i="10"/>
  <c r="AD356" i="10" s="1"/>
  <c r="S455" i="10"/>
  <c r="R319" i="10"/>
  <c r="S291" i="10"/>
  <c r="S50" i="10"/>
  <c r="R366" i="10"/>
  <c r="S126" i="10"/>
  <c r="S380" i="10"/>
  <c r="AC478" i="10"/>
  <c r="AV478" i="10" s="1"/>
  <c r="S502" i="10"/>
  <c r="R509" i="10"/>
  <c r="S110" i="10"/>
  <c r="S513" i="10"/>
  <c r="S510" i="10"/>
  <c r="R182" i="10"/>
  <c r="R13" i="10"/>
  <c r="AC244" i="10"/>
  <c r="AD244" i="10" s="1"/>
  <c r="AC36" i="10"/>
  <c r="AD36" i="10" s="1"/>
  <c r="AC358" i="10"/>
  <c r="AV358" i="10" s="1"/>
  <c r="AX358" i="10" s="1"/>
  <c r="AC78" i="10"/>
  <c r="AV78" i="10" s="1"/>
  <c r="AC124" i="10"/>
  <c r="AV124" i="10" s="1"/>
  <c r="AC513" i="10"/>
  <c r="AD513" i="10" s="1"/>
  <c r="AC297" i="10"/>
  <c r="AV297" i="10" s="1"/>
  <c r="AC126" i="10"/>
  <c r="AD126" i="10" s="1"/>
  <c r="AC113" i="10"/>
  <c r="AV113" i="10" s="1"/>
  <c r="S372" i="10"/>
  <c r="AC182" i="10"/>
  <c r="AE182" i="10" s="1"/>
  <c r="AC434" i="10"/>
  <c r="AE434" i="10" s="1"/>
  <c r="AC361" i="10"/>
  <c r="AE361" i="10" s="1"/>
  <c r="AC425" i="10"/>
  <c r="AD425" i="10" s="1"/>
  <c r="AC507" i="10"/>
  <c r="AD507" i="10" s="1"/>
  <c r="AC205" i="10"/>
  <c r="AD205" i="10" s="1"/>
  <c r="AC222" i="10"/>
  <c r="AD222" i="10" s="1"/>
  <c r="AC285" i="10"/>
  <c r="AV285" i="10" s="1"/>
  <c r="AW285" i="10" s="1"/>
  <c r="AC342" i="10"/>
  <c r="AE342" i="10" s="1"/>
  <c r="AC443" i="10"/>
  <c r="AV443" i="10" s="1"/>
  <c r="AC455" i="10"/>
  <c r="AE455" i="10" s="1"/>
  <c r="AC552" i="10"/>
  <c r="AE552" i="10" s="1"/>
  <c r="AC218" i="10"/>
  <c r="AE218" i="10" s="1"/>
  <c r="AC275" i="10"/>
  <c r="AD275" i="10" s="1"/>
  <c r="AC93" i="10"/>
  <c r="AD93" i="10" s="1"/>
  <c r="AC490" i="10"/>
  <c r="AE490" i="10" s="1"/>
  <c r="AC291" i="10"/>
  <c r="AE291" i="10" s="1"/>
  <c r="AC104" i="10"/>
  <c r="AD104" i="10" s="1"/>
  <c r="AC188" i="10"/>
  <c r="AE188" i="10" s="1"/>
  <c r="AC248" i="10"/>
  <c r="AD248" i="10" s="1"/>
  <c r="AC413" i="10"/>
  <c r="AD413" i="10" s="1"/>
  <c r="AC512" i="10"/>
  <c r="AE512" i="10" s="1"/>
  <c r="AC110" i="10"/>
  <c r="AE110" i="10" s="1"/>
  <c r="AC500" i="10"/>
  <c r="AE500" i="10" s="1"/>
  <c r="S88" i="10"/>
  <c r="AC88" i="10"/>
  <c r="AD88" i="10" s="1"/>
  <c r="AC503" i="10"/>
  <c r="AV503" i="10" s="1"/>
  <c r="R503" i="10"/>
  <c r="S503" i="10"/>
  <c r="S364" i="10"/>
  <c r="AC364" i="10"/>
  <c r="AV364" i="10" s="1"/>
  <c r="S304" i="10"/>
  <c r="AC304" i="10"/>
  <c r="AD304" i="10" s="1"/>
  <c r="S335" i="10"/>
  <c r="R335" i="10"/>
  <c r="S426" i="10"/>
  <c r="R426" i="10"/>
  <c r="R278" i="10"/>
  <c r="R364" i="10"/>
  <c r="R497" i="10"/>
  <c r="S497" i="10"/>
  <c r="R487" i="10"/>
  <c r="S487" i="10"/>
  <c r="S124" i="10"/>
  <c r="R124" i="10"/>
  <c r="S26" i="10"/>
  <c r="AC26" i="10"/>
  <c r="AD26" i="10" s="1"/>
  <c r="R411" i="10"/>
  <c r="S411" i="10"/>
  <c r="R305" i="10"/>
  <c r="AC305" i="10"/>
  <c r="AV305" i="10" s="1"/>
  <c r="S305" i="10"/>
  <c r="AC176" i="10"/>
  <c r="AE176" i="10" s="1"/>
  <c r="R176" i="10"/>
  <c r="S338" i="10"/>
  <c r="R338" i="10"/>
  <c r="S331" i="10"/>
  <c r="R331" i="10"/>
  <c r="S433" i="10"/>
  <c r="R433" i="10"/>
  <c r="S474" i="10"/>
  <c r="R474" i="10"/>
  <c r="S549" i="10"/>
  <c r="R549" i="10"/>
  <c r="S494" i="10"/>
  <c r="R494" i="10"/>
  <c r="S170" i="10"/>
  <c r="R170" i="10"/>
  <c r="AC491" i="10"/>
  <c r="AE491" i="10" s="1"/>
  <c r="R491" i="10"/>
  <c r="S35" i="10"/>
  <c r="AC35" i="10"/>
  <c r="AV35" i="10" s="1"/>
  <c r="R35" i="10"/>
  <c r="S443" i="10"/>
  <c r="R443" i="10"/>
  <c r="AC254" i="10"/>
  <c r="AE254" i="10" s="1"/>
  <c r="AC462" i="10"/>
  <c r="AE462" i="10" s="1"/>
  <c r="S253" i="10"/>
  <c r="R253" i="10"/>
  <c r="S552" i="10"/>
  <c r="R552" i="10"/>
  <c r="S58" i="10"/>
  <c r="R58" i="10"/>
  <c r="AC252" i="5"/>
  <c r="AS252" i="5" s="1"/>
  <c r="AT252" i="5" s="1"/>
  <c r="AC466" i="10"/>
  <c r="AE466" i="10" s="1"/>
  <c r="AC338" i="10"/>
  <c r="AE338" i="10" s="1"/>
  <c r="AC331" i="10"/>
  <c r="AD331" i="10" s="1"/>
  <c r="S306" i="10"/>
  <c r="S330" i="10"/>
  <c r="R254" i="10"/>
  <c r="R145" i="10"/>
  <c r="R104" i="10"/>
  <c r="R41" i="10"/>
  <c r="R293" i="10"/>
  <c r="S316" i="10"/>
  <c r="R151" i="10"/>
  <c r="R405" i="10"/>
  <c r="R447" i="10"/>
  <c r="S162" i="10"/>
  <c r="S547" i="10"/>
  <c r="S367" i="10"/>
  <c r="R283" i="10"/>
  <c r="S111" i="10"/>
  <c r="R141" i="10"/>
  <c r="R36" i="10"/>
  <c r="R125" i="10"/>
  <c r="R385" i="10"/>
  <c r="S209" i="10"/>
  <c r="R551" i="10"/>
  <c r="R343" i="10"/>
  <c r="S295" i="10"/>
  <c r="S43" i="10"/>
  <c r="R420" i="10"/>
  <c r="AC442" i="10"/>
  <c r="AV442" i="10" s="1"/>
  <c r="AC316" i="10"/>
  <c r="AE316" i="10" s="1"/>
  <c r="S434" i="10"/>
  <c r="R227" i="10"/>
  <c r="S153" i="10"/>
  <c r="R304" i="10"/>
  <c r="S401" i="10"/>
  <c r="S317" i="10"/>
  <c r="R526" i="10"/>
  <c r="R521" i="10"/>
  <c r="R78" i="10"/>
  <c r="R558" i="10"/>
  <c r="R280" i="10"/>
  <c r="AC371" i="10"/>
  <c r="AV371" i="10" s="1"/>
  <c r="S371" i="10"/>
  <c r="R76" i="10"/>
  <c r="S76" i="10"/>
  <c r="S223" i="10"/>
  <c r="R223" i="10"/>
  <c r="S508" i="10"/>
  <c r="R508" i="10"/>
  <c r="R340" i="10"/>
  <c r="S340" i="10"/>
  <c r="AC340" i="10"/>
  <c r="AD340" i="10" s="1"/>
  <c r="AC280" i="10"/>
  <c r="AV280" i="10" s="1"/>
  <c r="AC526" i="10"/>
  <c r="AV526" i="10" s="1"/>
  <c r="S390" i="10"/>
  <c r="R390" i="10"/>
  <c r="AC79" i="10"/>
  <c r="AV79" i="10" s="1"/>
  <c r="S79" i="10"/>
  <c r="S186" i="10"/>
  <c r="R186" i="10"/>
  <c r="R208" i="10"/>
  <c r="AC208" i="10"/>
  <c r="AD208" i="10" s="1"/>
  <c r="S208" i="10"/>
  <c r="AC105" i="10"/>
  <c r="AE105" i="10" s="1"/>
  <c r="R188" i="10"/>
  <c r="S188" i="10"/>
  <c r="S263" i="10"/>
  <c r="R263" i="10"/>
  <c r="S485" i="10"/>
  <c r="R485" i="10"/>
  <c r="S181" i="10"/>
  <c r="R181" i="10"/>
  <c r="AC181" i="10"/>
  <c r="AE181" i="10" s="1"/>
  <c r="S117" i="10"/>
  <c r="R117" i="10"/>
  <c r="AC112" i="10"/>
  <c r="AD112" i="10" s="1"/>
  <c r="R112" i="10"/>
  <c r="R80" i="10"/>
  <c r="S80" i="10"/>
  <c r="AC123" i="10"/>
  <c r="AE123" i="10" s="1"/>
  <c r="S123" i="10"/>
  <c r="R123" i="10"/>
  <c r="AC229" i="10"/>
  <c r="AV229" i="10" s="1"/>
  <c r="R229" i="10"/>
  <c r="S249" i="10"/>
  <c r="R249" i="10"/>
  <c r="R102" i="10"/>
  <c r="S102" i="10"/>
  <c r="AC469" i="10"/>
  <c r="AV469" i="10" s="1"/>
  <c r="AW469" i="10" s="1"/>
  <c r="S342" i="10"/>
  <c r="R342" i="10"/>
  <c r="R534" i="10"/>
  <c r="S534" i="10"/>
  <c r="R412" i="10"/>
  <c r="AC412" i="10"/>
  <c r="AE412" i="10" s="1"/>
  <c r="AC227" i="10"/>
  <c r="AE227" i="10" s="1"/>
  <c r="AC111" i="10"/>
  <c r="AV111" i="10" s="1"/>
  <c r="AC433" i="10"/>
  <c r="AE433" i="10" s="1"/>
  <c r="S514" i="10"/>
  <c r="R514" i="10"/>
  <c r="AC497" i="10"/>
  <c r="AD497" i="10" s="1"/>
  <c r="AC486" i="10"/>
  <c r="AE486" i="10" s="1"/>
  <c r="AC381" i="10"/>
  <c r="AE381" i="10" s="1"/>
  <c r="AC410" i="10"/>
  <c r="AE410" i="10" s="1"/>
  <c r="AC322" i="10"/>
  <c r="AV322" i="10" s="1"/>
  <c r="AC309" i="10"/>
  <c r="AV309" i="10" s="1"/>
  <c r="AC186" i="10"/>
  <c r="AD186" i="10" s="1"/>
  <c r="AC117" i="10"/>
  <c r="AV117" i="10" s="1"/>
  <c r="R370" i="10"/>
  <c r="S232" i="10"/>
  <c r="S105" i="10"/>
  <c r="R435" i="10"/>
  <c r="R468" i="10"/>
  <c r="R38" i="10"/>
  <c r="S369" i="10"/>
  <c r="R190" i="10"/>
  <c r="AC138" i="10"/>
  <c r="AD138" i="10" s="1"/>
  <c r="S275" i="10"/>
  <c r="R79" i="10"/>
  <c r="R228" i="10"/>
  <c r="S491" i="10"/>
  <c r="R209" i="10"/>
  <c r="S218" i="10"/>
  <c r="R204" i="10"/>
  <c r="R545" i="10"/>
  <c r="R239" i="10"/>
  <c r="R67" i="10"/>
  <c r="R257" i="10"/>
  <c r="S248" i="10"/>
  <c r="AC73" i="10"/>
  <c r="AD73" i="10" s="1"/>
  <c r="S258" i="10"/>
  <c r="R240" i="10"/>
  <c r="S118" i="10"/>
  <c r="S285" i="10"/>
  <c r="R320" i="10"/>
  <c r="R210" i="10"/>
  <c r="S138" i="10"/>
  <c r="R516" i="10"/>
  <c r="AC233" i="10"/>
  <c r="AV233" i="10" s="1"/>
  <c r="AC228" i="10"/>
  <c r="AD228" i="10" s="1"/>
  <c r="AC422" i="10"/>
  <c r="AE422" i="10" s="1"/>
  <c r="AC510" i="10"/>
  <c r="AV510" i="10" s="1"/>
  <c r="AC253" i="10"/>
  <c r="AE253" i="10" s="1"/>
  <c r="AC319" i="10"/>
  <c r="AD319" i="10" s="1"/>
  <c r="AC509" i="10"/>
  <c r="AD509" i="10" s="1"/>
  <c r="AC351" i="10"/>
  <c r="AD351" i="10" s="1"/>
  <c r="AC241" i="10"/>
  <c r="AE241" i="10" s="1"/>
  <c r="AC194" i="10"/>
  <c r="AV194" i="10" s="1"/>
  <c r="AC221" i="10"/>
  <c r="AE221" i="10" s="1"/>
  <c r="AC59" i="10"/>
  <c r="AE59" i="10" s="1"/>
  <c r="AC236" i="10"/>
  <c r="AD236" i="10" s="1"/>
  <c r="AC318" i="10"/>
  <c r="AE318" i="10" s="1"/>
  <c r="AC363" i="10"/>
  <c r="AD363" i="10" s="1"/>
  <c r="AC540" i="10"/>
  <c r="AE540" i="10" s="1"/>
  <c r="AC143" i="10"/>
  <c r="AE143" i="10" s="1"/>
  <c r="AC296" i="10"/>
  <c r="AD296" i="10" s="1"/>
  <c r="AC538" i="10"/>
  <c r="AD538" i="10" s="1"/>
  <c r="AC276" i="10"/>
  <c r="AD276" i="10" s="1"/>
  <c r="AC136" i="10"/>
  <c r="AE136" i="10" s="1"/>
  <c r="AC63" i="10"/>
  <c r="AE63" i="10" s="1"/>
  <c r="AC302" i="10"/>
  <c r="AE302" i="10" s="1"/>
  <c r="AC362" i="10"/>
  <c r="AE362" i="10" s="1"/>
  <c r="AC423" i="10"/>
  <c r="AE423" i="10" s="1"/>
  <c r="AC406" i="10"/>
  <c r="AD406" i="10" s="1"/>
  <c r="AC383" i="10"/>
  <c r="AV383" i="10" s="1"/>
  <c r="AC293" i="10"/>
  <c r="AD293" i="10" s="1"/>
  <c r="AC337" i="10"/>
  <c r="AV337" i="10" s="1"/>
  <c r="AC286" i="10"/>
  <c r="AE286" i="10" s="1"/>
  <c r="AC350" i="10"/>
  <c r="AD350" i="10" s="1"/>
  <c r="AC416" i="10"/>
  <c r="AV416" i="10" s="1"/>
  <c r="AC391" i="10"/>
  <c r="AV391" i="10" s="1"/>
  <c r="AC463" i="10"/>
  <c r="AE463" i="10" s="1"/>
  <c r="AC547" i="10"/>
  <c r="AV547" i="10" s="1"/>
  <c r="AC263" i="10"/>
  <c r="AE263" i="10" s="1"/>
  <c r="AC45" i="10"/>
  <c r="AV45" i="10" s="1"/>
  <c r="AC145" i="10"/>
  <c r="AE145" i="10" s="1"/>
  <c r="AC61" i="10"/>
  <c r="AD61" i="10" s="1"/>
  <c r="AC58" i="10"/>
  <c r="AD58" i="10" s="1"/>
  <c r="AC82" i="10"/>
  <c r="AD82" i="10" s="1"/>
  <c r="AC167" i="10"/>
  <c r="AE167" i="10" s="1"/>
  <c r="AC80" i="10"/>
  <c r="AE80" i="10" s="1"/>
  <c r="AC284" i="10"/>
  <c r="AD284" i="10" s="1"/>
  <c r="AC206" i="10"/>
  <c r="AV206" i="10" s="1"/>
  <c r="AX206" i="10" s="1"/>
  <c r="AC335" i="10"/>
  <c r="AD335" i="10" s="1"/>
  <c r="AC385" i="10"/>
  <c r="AV385" i="10" s="1"/>
  <c r="AW385" i="10" s="1"/>
  <c r="AC487" i="10"/>
  <c r="AE487" i="10" s="1"/>
  <c r="AC533" i="10"/>
  <c r="AE533" i="10" s="1"/>
  <c r="AC195" i="10"/>
  <c r="AD195" i="10" s="1"/>
  <c r="R62" i="10"/>
  <c r="R524" i="10"/>
  <c r="R446" i="10"/>
  <c r="R314" i="10"/>
  <c r="R99" i="10"/>
  <c r="R55" i="10"/>
  <c r="R245" i="10"/>
  <c r="S213" i="10"/>
  <c r="AC152" i="10"/>
  <c r="AV152" i="10" s="1"/>
  <c r="R175" i="10"/>
  <c r="AC107" i="10"/>
  <c r="AV107" i="10" s="1"/>
  <c r="S541" i="10"/>
  <c r="S418" i="10"/>
  <c r="S322" i="10"/>
  <c r="R108" i="10"/>
  <c r="S439" i="10"/>
  <c r="R537" i="10"/>
  <c r="R410" i="10"/>
  <c r="R203" i="10"/>
  <c r="R152" i="10"/>
  <c r="R121" i="10"/>
  <c r="S154" i="10"/>
  <c r="R296" i="10"/>
  <c r="S318" i="10"/>
  <c r="AC389" i="10"/>
  <c r="AD389" i="10" s="1"/>
  <c r="S458" i="10"/>
  <c r="S378" i="10"/>
  <c r="S107" i="10"/>
  <c r="R408" i="10"/>
  <c r="S554" i="10"/>
  <c r="AC343" i="10"/>
  <c r="AV343" i="10" s="1"/>
  <c r="AC334" i="10"/>
  <c r="AE334" i="10" s="1"/>
  <c r="AC446" i="10"/>
  <c r="AE446" i="10" s="1"/>
  <c r="AC494" i="10"/>
  <c r="AD494" i="10" s="1"/>
  <c r="AC535" i="10"/>
  <c r="AV535" i="10" s="1"/>
  <c r="AC173" i="10"/>
  <c r="AV173" i="10" s="1"/>
  <c r="AC151" i="10"/>
  <c r="AE151" i="10" s="1"/>
  <c r="AC204" i="10"/>
  <c r="AV204" i="10" s="1"/>
  <c r="AC310" i="10"/>
  <c r="AV310" i="10" s="1"/>
  <c r="AX310" i="10" s="1"/>
  <c r="AC485" i="10"/>
  <c r="AE485" i="10" s="1"/>
  <c r="AC560" i="10"/>
  <c r="AD560" i="10" s="1"/>
  <c r="AS7" i="5"/>
  <c r="AU7" i="5" s="1"/>
  <c r="R419" i="10"/>
  <c r="AC419" i="10"/>
  <c r="AD419" i="10" s="1"/>
  <c r="S419" i="10"/>
  <c r="AC60" i="10"/>
  <c r="AD60" i="10" s="1"/>
  <c r="R60" i="10"/>
  <c r="S321" i="10"/>
  <c r="R321" i="10"/>
  <c r="AC135" i="10"/>
  <c r="AE135" i="10" s="1"/>
  <c r="R135" i="10"/>
  <c r="S135" i="10"/>
  <c r="R163" i="10"/>
  <c r="AC163" i="10"/>
  <c r="AE163" i="10" s="1"/>
  <c r="R193" i="10"/>
  <c r="S193" i="10"/>
  <c r="AC193" i="10"/>
  <c r="AD193" i="10" s="1"/>
  <c r="AC238" i="10"/>
  <c r="AE238" i="10" s="1"/>
  <c r="S238" i="10"/>
  <c r="R479" i="10"/>
  <c r="S479" i="10"/>
  <c r="AC479" i="10"/>
  <c r="AD479" i="10" s="1"/>
  <c r="S288" i="10"/>
  <c r="R288" i="10"/>
  <c r="AC515" i="10"/>
  <c r="AD515" i="10" s="1"/>
  <c r="R515" i="10"/>
  <c r="S515" i="10"/>
  <c r="S527" i="10"/>
  <c r="AC527" i="10"/>
  <c r="AV527" i="10" s="1"/>
  <c r="R352" i="10"/>
  <c r="AC352" i="10"/>
  <c r="AD352" i="10" s="1"/>
  <c r="S268" i="10"/>
  <c r="R268" i="10"/>
  <c r="R21" i="10"/>
  <c r="AC21" i="10"/>
  <c r="AD21" i="10" s="1"/>
  <c r="S140" i="10"/>
  <c r="R140" i="10"/>
  <c r="S65" i="10"/>
  <c r="R65" i="10"/>
  <c r="AC65" i="10"/>
  <c r="AV65" i="10" s="1"/>
  <c r="AC183" i="10"/>
  <c r="AE183" i="10" s="1"/>
  <c r="S183" i="10"/>
  <c r="R183" i="10"/>
  <c r="S303" i="10"/>
  <c r="R303" i="10"/>
  <c r="R379" i="10"/>
  <c r="S379" i="10"/>
  <c r="AC379" i="10"/>
  <c r="AD379" i="10" s="1"/>
  <c r="R427" i="10"/>
  <c r="S427" i="10"/>
  <c r="AC427" i="10"/>
  <c r="AV427" i="10" s="1"/>
  <c r="R441" i="10"/>
  <c r="S441" i="10"/>
  <c r="S289" i="10"/>
  <c r="AC289" i="10"/>
  <c r="AE289" i="10" s="1"/>
  <c r="R101" i="10"/>
  <c r="AC101" i="10"/>
  <c r="AE101" i="10" s="1"/>
  <c r="R29" i="10"/>
  <c r="AC29" i="10"/>
  <c r="AD29" i="10" s="1"/>
  <c r="S192" i="10"/>
  <c r="R192" i="10"/>
  <c r="S75" i="10"/>
  <c r="R75" i="10"/>
  <c r="AC75" i="10"/>
  <c r="AD75" i="10" s="1"/>
  <c r="AC266" i="10"/>
  <c r="AE266" i="10" s="1"/>
  <c r="S266" i="10"/>
  <c r="R354" i="10"/>
  <c r="AC354" i="10"/>
  <c r="AE354" i="10" s="1"/>
  <c r="R347" i="10"/>
  <c r="AC347" i="10"/>
  <c r="AD347" i="10" s="1"/>
  <c r="S347" i="10"/>
  <c r="S386" i="10"/>
  <c r="R386" i="10"/>
  <c r="AC386" i="10"/>
  <c r="AV386" i="10" s="1"/>
  <c r="AC489" i="10"/>
  <c r="AE489" i="10" s="1"/>
  <c r="R489" i="10"/>
  <c r="R12" i="10"/>
  <c r="S12" i="10"/>
  <c r="S166" i="10"/>
  <c r="R166" i="10"/>
  <c r="S189" i="10"/>
  <c r="AC189" i="10"/>
  <c r="AV189" i="10" s="1"/>
  <c r="AW189" i="10" s="1"/>
  <c r="R189" i="10"/>
  <c r="S198" i="10"/>
  <c r="AC198" i="10"/>
  <c r="AV198" i="10" s="1"/>
  <c r="AC169" i="10"/>
  <c r="AV169" i="10" s="1"/>
  <c r="S169" i="10"/>
  <c r="AC332" i="10"/>
  <c r="AD332" i="10" s="1"/>
  <c r="R332" i="10"/>
  <c r="AC109" i="10"/>
  <c r="AD109" i="10" s="1"/>
  <c r="R109" i="10"/>
  <c r="AC184" i="10"/>
  <c r="AE184" i="10" s="1"/>
  <c r="R184" i="10"/>
  <c r="AC161" i="10"/>
  <c r="AE161" i="10" s="1"/>
  <c r="R161" i="10"/>
  <c r="S161" i="10"/>
  <c r="AC346" i="10"/>
  <c r="AE346" i="10" s="1"/>
  <c r="S346" i="10"/>
  <c r="R346" i="10"/>
  <c r="AC339" i="10"/>
  <c r="AD339" i="10" s="1"/>
  <c r="S339" i="10"/>
  <c r="R339" i="10"/>
  <c r="S477" i="10"/>
  <c r="AC477" i="10"/>
  <c r="AE477" i="10" s="1"/>
  <c r="R482" i="10"/>
  <c r="S482" i="10"/>
  <c r="AC559" i="10"/>
  <c r="AE559" i="10" s="1"/>
  <c r="R559" i="10"/>
  <c r="S481" i="10"/>
  <c r="AC481" i="10"/>
  <c r="AD481" i="10" s="1"/>
  <c r="AC148" i="10"/>
  <c r="AD148" i="10" s="1"/>
  <c r="R148" i="10"/>
  <c r="S400" i="10"/>
  <c r="R400" i="10"/>
  <c r="R200" i="10"/>
  <c r="S200" i="10"/>
  <c r="R196" i="10"/>
  <c r="S196" i="10"/>
  <c r="R130" i="10"/>
  <c r="S130" i="10"/>
  <c r="R553" i="10"/>
  <c r="S553" i="10"/>
  <c r="AC553" i="10"/>
  <c r="AV553" i="10" s="1"/>
  <c r="AC292" i="10"/>
  <c r="AE292" i="10" s="1"/>
  <c r="AC277" i="10"/>
  <c r="AV277" i="10" s="1"/>
  <c r="AC546" i="10"/>
  <c r="AD546" i="10" s="1"/>
  <c r="AC12" i="10"/>
  <c r="AV12" i="10" s="1"/>
  <c r="AW12" i="10" s="1"/>
  <c r="AC128" i="10"/>
  <c r="AD128" i="10" s="1"/>
  <c r="AC192" i="10"/>
  <c r="AV192" i="10" s="1"/>
  <c r="AX192" i="10" s="1"/>
  <c r="AC376" i="10"/>
  <c r="AV376" i="10" s="1"/>
  <c r="AC415" i="10"/>
  <c r="AD415" i="10" s="1"/>
  <c r="AC133" i="10"/>
  <c r="AE133" i="10" s="1"/>
  <c r="S489" i="10"/>
  <c r="S354" i="10"/>
  <c r="S163" i="10"/>
  <c r="AC372" i="10"/>
  <c r="AD372" i="10" s="1"/>
  <c r="AC303" i="10"/>
  <c r="AV303" i="10" s="1"/>
  <c r="S184" i="10"/>
  <c r="R527" i="10"/>
  <c r="S60" i="10"/>
  <c r="S109" i="10"/>
  <c r="S376" i="10"/>
  <c r="S531" i="10"/>
  <c r="S529" i="10"/>
  <c r="R529" i="10"/>
  <c r="AC529" i="10"/>
  <c r="AV529" i="10" s="1"/>
  <c r="R34" i="10"/>
  <c r="S34" i="10"/>
  <c r="R233" i="10"/>
  <c r="S233" i="10"/>
  <c r="R546" i="10"/>
  <c r="S546" i="10"/>
  <c r="S498" i="10"/>
  <c r="R498" i="10"/>
  <c r="R550" i="10"/>
  <c r="S550" i="10"/>
  <c r="AC550" i="10"/>
  <c r="AV550" i="10" s="1"/>
  <c r="AC333" i="10"/>
  <c r="AV333" i="10" s="1"/>
  <c r="S333" i="10"/>
  <c r="R333" i="10"/>
  <c r="R142" i="10"/>
  <c r="AC142" i="10"/>
  <c r="AV142" i="10" s="1"/>
  <c r="S142" i="10"/>
  <c r="AC360" i="10"/>
  <c r="AD360" i="10" s="1"/>
  <c r="S360" i="10"/>
  <c r="AC32" i="10"/>
  <c r="AE32" i="10" s="1"/>
  <c r="S32" i="10"/>
  <c r="S384" i="10"/>
  <c r="AC384" i="10"/>
  <c r="AV384" i="10" s="1"/>
  <c r="R384" i="10"/>
  <c r="R57" i="10"/>
  <c r="S57" i="10"/>
  <c r="AC57" i="10"/>
  <c r="AD57" i="10" s="1"/>
  <c r="R46" i="10"/>
  <c r="AC46" i="10"/>
  <c r="AV46" i="10" s="1"/>
  <c r="R220" i="10"/>
  <c r="S220" i="10"/>
  <c r="S87" i="10"/>
  <c r="R87" i="10"/>
  <c r="R271" i="10"/>
  <c r="AC271" i="10"/>
  <c r="AD271" i="10" s="1"/>
  <c r="S398" i="10"/>
  <c r="R398" i="10"/>
  <c r="AC496" i="10"/>
  <c r="AE496" i="10" s="1"/>
  <c r="S496" i="10"/>
  <c r="R496" i="10"/>
  <c r="R329" i="10"/>
  <c r="S329" i="10"/>
  <c r="S292" i="10"/>
  <c r="R292" i="10"/>
  <c r="AC66" i="10"/>
  <c r="AV66" i="10" s="1"/>
  <c r="R66" i="10"/>
  <c r="S66" i="10"/>
  <c r="R128" i="10"/>
  <c r="S128" i="10"/>
  <c r="S48" i="10"/>
  <c r="R48" i="10"/>
  <c r="S171" i="10"/>
  <c r="R171" i="10"/>
  <c r="AC171" i="10"/>
  <c r="AE171" i="10" s="1"/>
  <c r="S298" i="10"/>
  <c r="AC298" i="10"/>
  <c r="AD298" i="10" s="1"/>
  <c r="R243" i="10"/>
  <c r="AC243" i="10"/>
  <c r="AE243" i="10" s="1"/>
  <c r="S243" i="10"/>
  <c r="R415" i="10"/>
  <c r="S415" i="10"/>
  <c r="R467" i="10"/>
  <c r="AC467" i="10"/>
  <c r="AE467" i="10" s="1"/>
  <c r="S467" i="10"/>
  <c r="AC525" i="10"/>
  <c r="AD525" i="10" s="1"/>
  <c r="S525" i="10"/>
  <c r="R217" i="10"/>
  <c r="AC217" i="10"/>
  <c r="AE217" i="10" s="1"/>
  <c r="S217" i="10"/>
  <c r="S506" i="10"/>
  <c r="R506" i="10"/>
  <c r="AC506" i="10"/>
  <c r="AV506" i="10" s="1"/>
  <c r="AC421" i="10"/>
  <c r="AV421" i="10" s="1"/>
  <c r="R421" i="10"/>
  <c r="AC106" i="10"/>
  <c r="AE106" i="10" s="1"/>
  <c r="R106" i="10"/>
  <c r="AC424" i="10"/>
  <c r="AE424" i="10" s="1"/>
  <c r="S424" i="10"/>
  <c r="AC345" i="10"/>
  <c r="AE345" i="10" s="1"/>
  <c r="S345" i="10"/>
  <c r="AC155" i="10"/>
  <c r="AE155" i="10" s="1"/>
  <c r="R155" i="10"/>
  <c r="S49" i="10"/>
  <c r="AC49" i="10"/>
  <c r="AE49" i="10" s="1"/>
  <c r="AC120" i="10"/>
  <c r="AE120" i="10" s="1"/>
  <c r="S120" i="10"/>
  <c r="R120" i="10"/>
  <c r="R24" i="10"/>
  <c r="AC24" i="10"/>
  <c r="AD24" i="10" s="1"/>
  <c r="S131" i="10"/>
  <c r="R131" i="10"/>
  <c r="AC131" i="10"/>
  <c r="AV131" i="10" s="1"/>
  <c r="AC294" i="10"/>
  <c r="AD294" i="10" s="1"/>
  <c r="R294" i="10"/>
  <c r="R235" i="10"/>
  <c r="S235" i="10"/>
  <c r="AC235" i="10"/>
  <c r="AD235" i="10" s="1"/>
  <c r="R407" i="10"/>
  <c r="S407" i="10"/>
  <c r="S459" i="10"/>
  <c r="AC459" i="10"/>
  <c r="AE459" i="10" s="1"/>
  <c r="S517" i="10"/>
  <c r="AC517" i="10"/>
  <c r="AV517" i="10" s="1"/>
  <c r="AX517" i="10" s="1"/>
  <c r="S449" i="10"/>
  <c r="AC449" i="10"/>
  <c r="AV449" i="10" s="1"/>
  <c r="R449" i="10"/>
  <c r="R191" i="10"/>
  <c r="AC191" i="10"/>
  <c r="AD191" i="10" s="1"/>
  <c r="S191" i="10"/>
  <c r="R252" i="10"/>
  <c r="AC252" i="10"/>
  <c r="AD252" i="10" s="1"/>
  <c r="AC349" i="10"/>
  <c r="AE349" i="10" s="1"/>
  <c r="S349" i="10"/>
  <c r="R349" i="10"/>
  <c r="AC321" i="10"/>
  <c r="AV321" i="10" s="1"/>
  <c r="AC400" i="10"/>
  <c r="AE400" i="10" s="1"/>
  <c r="AC299" i="10"/>
  <c r="AE299" i="10" s="1"/>
  <c r="AC130" i="10"/>
  <c r="AE130" i="10" s="1"/>
  <c r="AC68" i="10"/>
  <c r="AD68" i="10" s="1"/>
  <c r="AC268" i="10"/>
  <c r="AE268" i="10" s="1"/>
  <c r="AC398" i="10"/>
  <c r="AV398" i="10" s="1"/>
  <c r="R459" i="10"/>
  <c r="R477" i="10"/>
  <c r="S294" i="10"/>
  <c r="R262" i="10"/>
  <c r="S277" i="10"/>
  <c r="R32" i="10"/>
  <c r="R133" i="10"/>
  <c r="R98" i="10"/>
  <c r="R238" i="10"/>
  <c r="S148" i="10"/>
  <c r="S155" i="10"/>
  <c r="S332" i="10"/>
  <c r="R198" i="10"/>
  <c r="AC140" i="10"/>
  <c r="AD140" i="10" s="1"/>
  <c r="AC50" i="10"/>
  <c r="AD50" i="10" s="1"/>
  <c r="S559" i="10"/>
  <c r="R517" i="10"/>
  <c r="AC407" i="10"/>
  <c r="AD407" i="10" s="1"/>
  <c r="R49" i="10"/>
  <c r="R345" i="10"/>
  <c r="R169" i="10"/>
  <c r="S252" i="10"/>
  <c r="AC87" i="10"/>
  <c r="AV87" i="10" s="1"/>
  <c r="R359" i="10"/>
  <c r="S101" i="10"/>
  <c r="R114" i="10"/>
  <c r="AC114" i="10"/>
  <c r="AE114" i="10" s="1"/>
  <c r="S30" i="10"/>
  <c r="AC30" i="10"/>
  <c r="AV30" i="10" s="1"/>
  <c r="S7" i="10"/>
  <c r="AC7" i="10"/>
  <c r="AD7" i="10" s="1"/>
  <c r="S178" i="10"/>
  <c r="AC178" i="10"/>
  <c r="AD178" i="10" s="1"/>
  <c r="AC451" i="10"/>
  <c r="AE451" i="10" s="1"/>
  <c r="AC482" i="10"/>
  <c r="AV482" i="10" s="1"/>
  <c r="AC220" i="10"/>
  <c r="AD220" i="10" s="1"/>
  <c r="AC531" i="10"/>
  <c r="AV531" i="10" s="1"/>
  <c r="AC374" i="5"/>
  <c r="AE374" i="5" s="1"/>
  <c r="S557" i="10"/>
  <c r="AC396" i="10"/>
  <c r="AE396" i="10" s="1"/>
  <c r="AC52" i="10"/>
  <c r="AV52" i="10" s="1"/>
  <c r="R207" i="10"/>
  <c r="AC518" i="10"/>
  <c r="AD518" i="10" s="1"/>
  <c r="S256" i="10"/>
  <c r="AC256" i="10"/>
  <c r="AD256" i="10" s="1"/>
  <c r="AC214" i="10"/>
  <c r="AD214" i="10" s="1"/>
  <c r="R95" i="10"/>
  <c r="AC95" i="10"/>
  <c r="AV95" i="10" s="1"/>
  <c r="AC166" i="10"/>
  <c r="AD166" i="10" s="1"/>
  <c r="AC359" i="10"/>
  <c r="AE359" i="10" s="1"/>
  <c r="AC103" i="10"/>
  <c r="AE103" i="10" s="1"/>
  <c r="AC262" i="10"/>
  <c r="AV262" i="10" s="1"/>
  <c r="AX262" i="10" s="1"/>
  <c r="AC81" i="10"/>
  <c r="AE81" i="10" s="1"/>
  <c r="R221" i="10"/>
  <c r="R484" i="10"/>
  <c r="S313" i="10"/>
  <c r="AC196" i="10"/>
  <c r="AD196" i="10" s="1"/>
  <c r="AC366" i="10"/>
  <c r="AV366" i="10" s="1"/>
  <c r="AC390" i="10"/>
  <c r="AV390" i="10" s="1"/>
  <c r="AC67" i="10"/>
  <c r="AE67" i="10" s="1"/>
  <c r="AC98" i="10"/>
  <c r="AV98" i="10" s="1"/>
  <c r="AX98" i="10" s="1"/>
  <c r="AC239" i="10"/>
  <c r="AE239" i="10" s="1"/>
  <c r="AC329" i="10"/>
  <c r="AE329" i="10" s="1"/>
  <c r="AC25" i="10"/>
  <c r="AV25" i="10" s="1"/>
  <c r="AC369" i="10"/>
  <c r="AE369" i="10" s="1"/>
  <c r="AC549" i="10"/>
  <c r="AE549" i="10" s="1"/>
  <c r="AC39" i="10"/>
  <c r="AV39" i="10" s="1"/>
  <c r="AC312" i="10"/>
  <c r="AV312" i="10" s="1"/>
  <c r="AC44" i="10"/>
  <c r="AE44" i="10" s="1"/>
  <c r="AC414" i="10"/>
  <c r="AD414" i="10" s="1"/>
  <c r="AC555" i="10"/>
  <c r="AD555" i="10" s="1"/>
  <c r="S536" i="10"/>
  <c r="R394" i="10"/>
  <c r="R351" i="10"/>
  <c r="S456" i="10"/>
  <c r="R44" i="10"/>
  <c r="R241" i="10"/>
  <c r="AC445" i="10"/>
  <c r="AV445" i="10" s="1"/>
  <c r="AC476" i="10"/>
  <c r="AV476" i="10" s="1"/>
  <c r="AC324" i="10"/>
  <c r="AE324" i="10" s="1"/>
  <c r="AC265" i="10"/>
  <c r="AD265" i="10" s="1"/>
  <c r="R453" i="10"/>
  <c r="R423" i="10"/>
  <c r="R362" i="10"/>
  <c r="R246" i="10"/>
  <c r="S63" i="10"/>
  <c r="S94" i="10"/>
  <c r="R381" i="10"/>
  <c r="S397" i="10"/>
  <c r="R373" i="10"/>
  <c r="R89" i="10"/>
  <c r="R519" i="10"/>
  <c r="S429" i="10"/>
  <c r="AC175" i="10"/>
  <c r="AV175" i="10" s="1"/>
  <c r="AC154" i="10"/>
  <c r="AD154" i="10" s="1"/>
  <c r="R518" i="10"/>
  <c r="S53" i="10"/>
  <c r="R276" i="10"/>
  <c r="R538" i="10"/>
  <c r="S450" i="10"/>
  <c r="R334" i="10"/>
  <c r="S279" i="10"/>
  <c r="R236" i="10"/>
  <c r="AC210" i="10"/>
  <c r="AE210" i="10" s="1"/>
  <c r="S511" i="10"/>
  <c r="S431" i="10"/>
  <c r="S211" i="10"/>
  <c r="S274" i="10"/>
  <c r="S84" i="10"/>
  <c r="R61" i="10"/>
  <c r="R234" i="10"/>
  <c r="AC374" i="10"/>
  <c r="AV374" i="10" s="1"/>
  <c r="R555" i="10"/>
  <c r="AC435" i="10"/>
  <c r="AD435" i="10" s="1"/>
  <c r="T11" i="10"/>
  <c r="U11" i="10" s="1"/>
  <c r="AC461" i="10"/>
  <c r="AD461" i="10" s="1"/>
  <c r="AC328" i="10"/>
  <c r="AD328" i="10" s="1"/>
  <c r="AC480" i="10"/>
  <c r="AV480" i="10" s="1"/>
  <c r="AX480" i="10" s="1"/>
  <c r="AC22" i="10"/>
  <c r="AV22" i="10" s="1"/>
  <c r="S302" i="10"/>
  <c r="S177" i="10"/>
  <c r="AC70" i="10"/>
  <c r="AD70" i="10" s="1"/>
  <c r="AC23" i="10"/>
  <c r="AD23" i="10" s="1"/>
  <c r="R540" i="10"/>
  <c r="R363" i="10"/>
  <c r="R307" i="10"/>
  <c r="R224" i="10"/>
  <c r="AC483" i="10"/>
  <c r="AE483" i="10" s="1"/>
  <c r="S414" i="10"/>
  <c r="R311" i="10"/>
  <c r="AC344" i="10"/>
  <c r="AE344" i="10" s="1"/>
  <c r="AC144" i="10"/>
  <c r="AE144" i="10" s="1"/>
  <c r="AC269" i="10"/>
  <c r="AD269" i="10" s="1"/>
  <c r="AC313" i="10"/>
  <c r="AE313" i="10" s="1"/>
  <c r="AC392" i="10"/>
  <c r="AE392" i="10" s="1"/>
  <c r="AC431" i="10"/>
  <c r="AE431" i="10" s="1"/>
  <c r="AC539" i="10"/>
  <c r="AD539" i="10" s="1"/>
  <c r="R83" i="10"/>
  <c r="AC177" i="10"/>
  <c r="AV177" i="10" s="1"/>
  <c r="AC542" i="10"/>
  <c r="AV542" i="10" s="1"/>
  <c r="AC495" i="10"/>
  <c r="AD495" i="10" s="1"/>
  <c r="AC450" i="10"/>
  <c r="AE450" i="10" s="1"/>
  <c r="AC439" i="10"/>
  <c r="AE439" i="10" s="1"/>
  <c r="AC76" i="10"/>
  <c r="AV76" i="10" s="1"/>
  <c r="AC158" i="10"/>
  <c r="AD158" i="10" s="1"/>
  <c r="S23" i="10"/>
  <c r="R261" i="10"/>
  <c r="R464" i="10"/>
  <c r="S194" i="10"/>
  <c r="S70" i="10"/>
  <c r="S409" i="10"/>
  <c r="S22" i="10"/>
  <c r="R406" i="10"/>
  <c r="R132" i="10"/>
  <c r="R30" i="10"/>
  <c r="S214" i="10"/>
  <c r="S143" i="10"/>
  <c r="R327" i="10"/>
  <c r="AC418" i="10"/>
  <c r="AV418" i="10" s="1"/>
  <c r="AC273" i="10"/>
  <c r="AV273" i="10" s="1"/>
  <c r="AC86" i="10"/>
  <c r="AD86" i="10" s="1"/>
  <c r="AC247" i="10"/>
  <c r="AV247" i="10" s="1"/>
  <c r="R499" i="10"/>
  <c r="S473" i="10"/>
  <c r="S315" i="10"/>
  <c r="S282" i="10"/>
  <c r="S137" i="10"/>
  <c r="S160" i="10"/>
  <c r="R178" i="10"/>
  <c r="S395" i="10"/>
  <c r="AC162" i="10"/>
  <c r="AV162" i="10" s="1"/>
  <c r="AX162" i="10" s="1"/>
  <c r="AC96" i="10"/>
  <c r="AE96" i="10" s="1"/>
  <c r="AC474" i="10"/>
  <c r="AE474" i="10" s="1"/>
  <c r="AC401" i="10"/>
  <c r="AV401" i="10" s="1"/>
  <c r="AX401" i="10" s="1"/>
  <c r="AC430" i="10"/>
  <c r="AV430" i="10" s="1"/>
  <c r="AW430" i="10" s="1"/>
  <c r="AC511" i="10"/>
  <c r="AD511" i="10" s="1"/>
  <c r="AC341" i="10"/>
  <c r="AE341" i="10" s="1"/>
  <c r="AC97" i="10"/>
  <c r="AE97" i="10" s="1"/>
  <c r="S528" i="10"/>
  <c r="S423" i="10"/>
  <c r="S355" i="10"/>
  <c r="R302" i="10"/>
  <c r="S270" i="10"/>
  <c r="R63" i="10"/>
  <c r="R216" i="10"/>
  <c r="R150" i="10"/>
  <c r="S221" i="10"/>
  <c r="S461" i="10"/>
  <c r="R194" i="10"/>
  <c r="R308" i="10"/>
  <c r="R344" i="10"/>
  <c r="S451" i="10"/>
  <c r="AC493" i="10"/>
  <c r="AV493" i="10" s="1"/>
  <c r="AC368" i="10"/>
  <c r="AV368" i="10" s="1"/>
  <c r="AC260" i="10"/>
  <c r="AD260" i="10" s="1"/>
  <c r="AC207" i="10"/>
  <c r="AV207" i="10" s="1"/>
  <c r="AC62" i="10"/>
  <c r="AV62" i="10" s="1"/>
  <c r="S518" i="10"/>
  <c r="R488" i="10"/>
  <c r="S95" i="10"/>
  <c r="R212" i="10"/>
  <c r="R53" i="10"/>
  <c r="S276" i="10"/>
  <c r="R214" i="10"/>
  <c r="S538" i="10"/>
  <c r="S296" i="10"/>
  <c r="R456" i="10"/>
  <c r="R143" i="10"/>
  <c r="S374" i="10"/>
  <c r="R318" i="10"/>
  <c r="R279" i="10"/>
  <c r="S236" i="10"/>
  <c r="S156" i="10"/>
  <c r="R336" i="10"/>
  <c r="S74" i="10"/>
  <c r="S241" i="10"/>
  <c r="S64" i="10"/>
  <c r="R357" i="10"/>
  <c r="S539" i="10"/>
  <c r="AC484" i="10"/>
  <c r="AV484" i="10" s="1"/>
  <c r="AC355" i="10"/>
  <c r="AV355" i="10" s="1"/>
  <c r="AC84" i="10"/>
  <c r="AD84" i="10" s="1"/>
  <c r="AC40" i="10"/>
  <c r="AD40" i="10" s="1"/>
  <c r="S445" i="10"/>
  <c r="S363" i="10"/>
  <c r="R383" i="10"/>
  <c r="R274" i="10"/>
  <c r="S187" i="10"/>
  <c r="S224" i="10"/>
  <c r="S144" i="10"/>
  <c r="S480" i="10"/>
  <c r="R493" i="10"/>
  <c r="R448" i="10"/>
  <c r="AC504" i="10"/>
  <c r="AE504" i="10" s="1"/>
  <c r="AC454" i="10"/>
  <c r="AE454" i="10" s="1"/>
  <c r="AC408" i="10"/>
  <c r="AV408" i="10" s="1"/>
  <c r="AC119" i="10"/>
  <c r="AE119" i="10" s="1"/>
  <c r="S247" i="10"/>
  <c r="R149" i="10"/>
  <c r="S172" i="10"/>
  <c r="R40" i="10"/>
  <c r="S273" i="10"/>
  <c r="R417" i="10"/>
  <c r="AC199" i="10"/>
  <c r="AD199" i="10" s="1"/>
  <c r="AC528" i="10"/>
  <c r="AD528" i="10" s="1"/>
  <c r="AC394" i="10"/>
  <c r="AE394" i="10" s="1"/>
  <c r="AC308" i="10"/>
  <c r="AE308" i="10" s="1"/>
  <c r="AC234" i="10"/>
  <c r="AE234" i="10" s="1"/>
  <c r="AC216" i="10"/>
  <c r="AD216" i="10" s="1"/>
  <c r="AC179" i="10"/>
  <c r="AE179" i="10" s="1"/>
  <c r="AC375" i="10"/>
  <c r="AD375" i="10" s="1"/>
  <c r="AC83" i="10"/>
  <c r="AE83" i="10" s="1"/>
  <c r="AC64" i="10"/>
  <c r="AE64" i="10" s="1"/>
  <c r="R495" i="10"/>
  <c r="S375" i="10"/>
  <c r="S362" i="10"/>
  <c r="R179" i="10"/>
  <c r="R136" i="10"/>
  <c r="R226" i="10"/>
  <c r="R520" i="10"/>
  <c r="S505" i="10"/>
  <c r="R396" i="10"/>
  <c r="R557" i="10"/>
  <c r="AC270" i="10"/>
  <c r="AE270" i="10" s="1"/>
  <c r="AC336" i="10"/>
  <c r="AD336" i="10" s="1"/>
  <c r="AC311" i="10"/>
  <c r="AD311" i="10" s="1"/>
  <c r="AC307" i="10"/>
  <c r="AV307" i="10" s="1"/>
  <c r="AC42" i="10"/>
  <c r="AE42" i="10" s="1"/>
  <c r="S406" i="10"/>
  <c r="S351" i="10"/>
  <c r="R199" i="10"/>
  <c r="R267" i="10"/>
  <c r="R81" i="10"/>
  <c r="R281" i="10"/>
  <c r="R392" i="10"/>
  <c r="S42" i="10"/>
  <c r="R368" i="10"/>
  <c r="S158" i="10"/>
  <c r="R341" i="10"/>
  <c r="S114" i="10"/>
  <c r="S542" i="10"/>
  <c r="R504" i="10"/>
  <c r="R454" i="10"/>
  <c r="R103" i="10"/>
  <c r="R59" i="10"/>
  <c r="R52" i="10"/>
  <c r="S260" i="10"/>
  <c r="S483" i="10"/>
  <c r="S328" i="10"/>
  <c r="AC505" i="10"/>
  <c r="AE505" i="10" s="1"/>
  <c r="AC226" i="10"/>
  <c r="AD226" i="10" s="1"/>
  <c r="AC187" i="10"/>
  <c r="AE187" i="10" s="1"/>
  <c r="AC150" i="10"/>
  <c r="AE150" i="10" s="1"/>
  <c r="AC91" i="10"/>
  <c r="AE91" i="10" s="1"/>
  <c r="S540" i="10"/>
  <c r="R402" i="10"/>
  <c r="R195" i="10"/>
  <c r="R91" i="10"/>
  <c r="R51" i="10"/>
  <c r="R97" i="10"/>
  <c r="R269" i="10"/>
  <c r="R7" i="10"/>
  <c r="AC146" i="10"/>
  <c r="AD146" i="10" s="1"/>
  <c r="AC281" i="10"/>
  <c r="AD281" i="10" s="1"/>
  <c r="AC156" i="10"/>
  <c r="AE156" i="10" s="1"/>
  <c r="S136" i="10"/>
  <c r="S520" i="10"/>
  <c r="AC448" i="10"/>
  <c r="AV448" i="10" s="1"/>
  <c r="AC212" i="10"/>
  <c r="AD212" i="10" s="1"/>
  <c r="AC267" i="10"/>
  <c r="AE267" i="10" s="1"/>
  <c r="S59" i="10"/>
  <c r="AC402" i="10"/>
  <c r="AV402" i="10" s="1"/>
  <c r="S51" i="10"/>
  <c r="AC417" i="10"/>
  <c r="AV417" i="10" s="1"/>
  <c r="AE7" i="5"/>
  <c r="AC537" i="10"/>
  <c r="AV537" i="10" s="1"/>
  <c r="AC397" i="10"/>
  <c r="AE397" i="10" s="1"/>
  <c r="AC404" i="10"/>
  <c r="AD404" i="10" s="1"/>
  <c r="AC232" i="10"/>
  <c r="AD232" i="10" s="1"/>
  <c r="AC94" i="10"/>
  <c r="AV94" i="10" s="1"/>
  <c r="AC149" i="10"/>
  <c r="AD149" i="10" s="1"/>
  <c r="AC20" i="10"/>
  <c r="AV20" i="10" s="1"/>
  <c r="AC524" i="10"/>
  <c r="AD524" i="10" s="1"/>
  <c r="AC523" i="10"/>
  <c r="AE523" i="10" s="1"/>
  <c r="AC508" i="10"/>
  <c r="AD508" i="10" s="1"/>
  <c r="AC409" i="10"/>
  <c r="AE409" i="10" s="1"/>
  <c r="AC230" i="10"/>
  <c r="AV230" i="10" s="1"/>
  <c r="AC213" i="10"/>
  <c r="AD213" i="10" s="1"/>
  <c r="S442" i="10"/>
  <c r="S310" i="10"/>
  <c r="R88" i="10"/>
  <c r="S19" i="10"/>
  <c r="S28" i="10"/>
  <c r="S242" i="10"/>
  <c r="S265" i="10"/>
  <c r="R237" i="10"/>
  <c r="S457" i="10"/>
  <c r="R530" i="10"/>
  <c r="R532" i="10"/>
  <c r="R71" i="10"/>
  <c r="R324" i="10"/>
  <c r="S476" i="10"/>
  <c r="R86" i="10"/>
  <c r="R264" i="10"/>
  <c r="S309" i="10"/>
  <c r="S404" i="10"/>
  <c r="R27" i="10"/>
  <c r="S45" i="10"/>
  <c r="S460" i="10"/>
  <c r="S428" i="10"/>
  <c r="S438" i="10"/>
  <c r="S255" i="10"/>
  <c r="S119" i="10"/>
  <c r="S31" i="10"/>
  <c r="R134" i="10"/>
  <c r="R146" i="10"/>
  <c r="AC521" i="10"/>
  <c r="AD521" i="10" s="1"/>
  <c r="AC457" i="10"/>
  <c r="AD457" i="10" s="1"/>
  <c r="AC447" i="10"/>
  <c r="AE447" i="10" s="1"/>
  <c r="AC282" i="10"/>
  <c r="AV282" i="10" s="1"/>
  <c r="AC240" i="10"/>
  <c r="AD240" i="10" s="1"/>
  <c r="R541" i="10"/>
  <c r="S499" i="10"/>
  <c r="R458" i="10"/>
  <c r="R473" i="10"/>
  <c r="R378" i="10"/>
  <c r="R315" i="10"/>
  <c r="R211" i="10"/>
  <c r="R250" i="10"/>
  <c r="R137" i="10"/>
  <c r="R160" i="10"/>
  <c r="S320" i="10"/>
  <c r="AC470" i="10"/>
  <c r="AD470" i="10" s="1"/>
  <c r="AC190" i="10"/>
  <c r="AE190" i="10" s="1"/>
  <c r="AC223" i="10"/>
  <c r="AE223" i="10" s="1"/>
  <c r="S470" i="10"/>
  <c r="S350" i="10"/>
  <c r="S287" i="10"/>
  <c r="S205" i="10"/>
  <c r="R389" i="10"/>
  <c r="S25" i="10"/>
  <c r="S388" i="10"/>
  <c r="AC237" i="10"/>
  <c r="AD237" i="10" s="1"/>
  <c r="AC246" i="10"/>
  <c r="AE246" i="10" s="1"/>
  <c r="AG11" i="10"/>
  <c r="AH11" i="10" s="1"/>
  <c r="AM11" i="10"/>
  <c r="AN11" i="10" s="1"/>
  <c r="AC545" i="10"/>
  <c r="AE545" i="10" s="1"/>
  <c r="AC519" i="10"/>
  <c r="AD519" i="10" s="1"/>
  <c r="AC453" i="10"/>
  <c r="AD453" i="10" s="1"/>
  <c r="AC429" i="10"/>
  <c r="AD429" i="10" s="1"/>
  <c r="AC306" i="10"/>
  <c r="AV306" i="10" s="1"/>
  <c r="AC357" i="10"/>
  <c r="AD357" i="10" s="1"/>
  <c r="AC370" i="10"/>
  <c r="AV370" i="10" s="1"/>
  <c r="AC264" i="10"/>
  <c r="AE264" i="10" s="1"/>
  <c r="AC147" i="10"/>
  <c r="AE147" i="10" s="1"/>
  <c r="AC99" i="10"/>
  <c r="AV99" i="10" s="1"/>
  <c r="S203" i="10"/>
  <c r="S314" i="10"/>
  <c r="S278" i="10"/>
  <c r="S55" i="10"/>
  <c r="S41" i="10"/>
  <c r="S121" i="10"/>
  <c r="S245" i="10"/>
  <c r="S464" i="10"/>
  <c r="S373" i="10"/>
  <c r="S468" i="10"/>
  <c r="S89" i="10"/>
  <c r="AC532" i="10"/>
  <c r="AV532" i="10" s="1"/>
  <c r="AC472" i="10"/>
  <c r="AV472" i="10" s="1"/>
  <c r="AC327" i="10"/>
  <c r="AE327" i="10" s="1"/>
  <c r="AC159" i="10"/>
  <c r="AE159" i="10" s="1"/>
  <c r="AC74" i="10"/>
  <c r="AD74" i="10" s="1"/>
  <c r="AC255" i="10"/>
  <c r="AD255" i="10" s="1"/>
  <c r="S488" i="10"/>
  <c r="R371" i="10"/>
  <c r="S132" i="10"/>
  <c r="S257" i="10"/>
  <c r="AC554" i="10"/>
  <c r="AE554" i="10" s="1"/>
  <c r="AC438" i="10"/>
  <c r="AE438" i="10" s="1"/>
  <c r="AC134" i="10"/>
  <c r="AV134" i="10" s="1"/>
  <c r="AC71" i="10"/>
  <c r="AD71" i="10" s="1"/>
  <c r="S284" i="10"/>
  <c r="R201" i="10"/>
  <c r="R230" i="10"/>
  <c r="R523" i="10"/>
  <c r="R147" i="10"/>
  <c r="R472" i="10"/>
  <c r="R159" i="10"/>
  <c r="R395" i="10"/>
  <c r="R172" i="10"/>
  <c r="S108" i="10"/>
  <c r="AC19" i="10"/>
  <c r="AD19" i="10" s="1"/>
  <c r="AJ11" i="10"/>
  <c r="AK11" i="10" s="1"/>
  <c r="Z11" i="10"/>
  <c r="S10" i="10"/>
  <c r="AC460" i="10"/>
  <c r="AD460" i="10" s="1"/>
  <c r="AC27" i="10"/>
  <c r="AD27" i="10" s="1"/>
  <c r="AC201" i="10"/>
  <c r="AE201" i="10" s="1"/>
  <c r="AC287" i="10"/>
  <c r="AE287" i="10" s="1"/>
  <c r="AC31" i="10"/>
  <c r="AE31" i="10" s="1"/>
  <c r="R28" i="10"/>
  <c r="R242" i="10"/>
  <c r="R428" i="10"/>
  <c r="S146" i="10"/>
  <c r="AP11" i="10"/>
  <c r="AQ11" i="10" s="1"/>
  <c r="AC10" i="10"/>
  <c r="AV10" i="10" s="1"/>
  <c r="H82" i="1"/>
  <c r="S274" i="5"/>
  <c r="AC52" i="5"/>
  <c r="AE52" i="5" s="1"/>
  <c r="AC274" i="5"/>
  <c r="AD274" i="5" s="1"/>
  <c r="AC115" i="5"/>
  <c r="AE115" i="5" s="1"/>
  <c r="S205" i="5"/>
  <c r="AC288" i="5"/>
  <c r="AD288" i="5" s="1"/>
  <c r="R481" i="5"/>
  <c r="AC481" i="5"/>
  <c r="AE481" i="5" s="1"/>
  <c r="S422" i="5"/>
  <c r="AC205" i="5"/>
  <c r="AE205" i="5" s="1"/>
  <c r="S52" i="5"/>
  <c r="S287" i="5"/>
  <c r="R115" i="5"/>
  <c r="S288" i="5"/>
  <c r="R374" i="5"/>
  <c r="R33" i="5"/>
  <c r="R470" i="5"/>
  <c r="AC397" i="5"/>
  <c r="AD397" i="5" s="1"/>
  <c r="S397" i="5"/>
  <c r="S366" i="5"/>
  <c r="AC470" i="5"/>
  <c r="AD470" i="5" s="1"/>
  <c r="R306" i="5"/>
  <c r="S229" i="5"/>
  <c r="S479" i="5"/>
  <c r="S214" i="5"/>
  <c r="AC216" i="5"/>
  <c r="AS216" i="5" s="1"/>
  <c r="AT216" i="5" s="1"/>
  <c r="AE55" i="10"/>
  <c r="AC204" i="5"/>
  <c r="AE204" i="5" s="1"/>
  <c r="AC229" i="5"/>
  <c r="AD229" i="5" s="1"/>
  <c r="R509" i="5"/>
  <c r="AC422" i="5"/>
  <c r="AS422" i="5" s="1"/>
  <c r="AT422" i="5" s="1"/>
  <c r="S408" i="5"/>
  <c r="R434" i="5"/>
  <c r="S19" i="5"/>
  <c r="S216" i="5"/>
  <c r="AM11" i="5"/>
  <c r="AO11" i="5" s="1"/>
  <c r="S204" i="5"/>
  <c r="AC440" i="5"/>
  <c r="AD440" i="5" s="1"/>
  <c r="AC540" i="5"/>
  <c r="AE540" i="5" s="1"/>
  <c r="R347" i="5"/>
  <c r="AC306" i="5"/>
  <c r="AE306" i="5" s="1"/>
  <c r="AC160" i="5"/>
  <c r="AS160" i="5" s="1"/>
  <c r="AU160" i="5" s="1"/>
  <c r="AC363" i="5"/>
  <c r="AD363" i="5" s="1"/>
  <c r="S504" i="5"/>
  <c r="R416" i="5"/>
  <c r="R461" i="5"/>
  <c r="S515" i="5"/>
  <c r="R363" i="5"/>
  <c r="S160" i="5"/>
  <c r="AC366" i="5"/>
  <c r="AS366" i="5" s="1"/>
  <c r="AU366" i="5" s="1"/>
  <c r="S240" i="5"/>
  <c r="R117" i="5"/>
  <c r="S273" i="5"/>
  <c r="R305" i="5"/>
  <c r="R194" i="5"/>
  <c r="AC117" i="5"/>
  <c r="AS117" i="5" s="1"/>
  <c r="AU117" i="5" s="1"/>
  <c r="S437" i="5"/>
  <c r="R22" i="5"/>
  <c r="R189" i="5"/>
  <c r="AC19" i="5"/>
  <c r="AE19" i="5" s="1"/>
  <c r="AC347" i="5"/>
  <c r="AE347" i="5" s="1"/>
  <c r="AC287" i="5"/>
  <c r="AD287" i="5" s="1"/>
  <c r="AC189" i="5"/>
  <c r="AD189" i="5" s="1"/>
  <c r="AC240" i="5"/>
  <c r="AD240" i="5" s="1"/>
  <c r="AC515" i="5"/>
  <c r="AD515" i="5" s="1"/>
  <c r="AC434" i="5"/>
  <c r="AS434" i="5" s="1"/>
  <c r="AT434" i="5" s="1"/>
  <c r="AC9" i="10"/>
  <c r="AD9" i="10" s="1"/>
  <c r="R9" i="10"/>
  <c r="S9" i="10"/>
  <c r="AC492" i="5"/>
  <c r="AE492" i="5" s="1"/>
  <c r="AH9" i="10"/>
  <c r="AI9" i="10"/>
  <c r="AO9" i="10"/>
  <c r="AN9" i="10"/>
  <c r="AS9" i="10"/>
  <c r="R188" i="5"/>
  <c r="R446" i="5"/>
  <c r="R540" i="5"/>
  <c r="AC483" i="5"/>
  <c r="AE483" i="5" s="1"/>
  <c r="AQ9" i="10"/>
  <c r="AR9" i="10"/>
  <c r="AA9" i="10"/>
  <c r="AB9" i="10"/>
  <c r="U9" i="10"/>
  <c r="V9" i="10"/>
  <c r="AC33" i="5"/>
  <c r="AS33" i="5" s="1"/>
  <c r="AT33" i="5" s="1"/>
  <c r="S11" i="10"/>
  <c r="R11" i="10"/>
  <c r="S440" i="5"/>
  <c r="AC437" i="5"/>
  <c r="AD437" i="5" s="1"/>
  <c r="AC22" i="5"/>
  <c r="AE22" i="5" s="1"/>
  <c r="AC266" i="5"/>
  <c r="AE266" i="5" s="1"/>
  <c r="AC504" i="5"/>
  <c r="AS504" i="5" s="1"/>
  <c r="AT504" i="5" s="1"/>
  <c r="Y9" i="10"/>
  <c r="X9" i="10"/>
  <c r="AK9" i="10"/>
  <c r="AL9" i="10"/>
  <c r="AD55" i="10"/>
  <c r="AV28" i="10"/>
  <c r="AX28" i="10" s="1"/>
  <c r="AD28" i="10"/>
  <c r="AE326" i="10"/>
  <c r="S95" i="5"/>
  <c r="S30" i="5"/>
  <c r="S498" i="5"/>
  <c r="S203" i="5"/>
  <c r="R107" i="5"/>
  <c r="R89" i="5"/>
  <c r="R73" i="5"/>
  <c r="S147" i="5"/>
  <c r="R37" i="5"/>
  <c r="AC193" i="5"/>
  <c r="AE193" i="5" s="1"/>
  <c r="AC73" i="5"/>
  <c r="AE73" i="5" s="1"/>
  <c r="AC203" i="5"/>
  <c r="AD203" i="5" s="1"/>
  <c r="AC30" i="5"/>
  <c r="AD30" i="5" s="1"/>
  <c r="AC107" i="5"/>
  <c r="AE107" i="5" s="1"/>
  <c r="AC147" i="5"/>
  <c r="AS147" i="5" s="1"/>
  <c r="AU147" i="5" s="1"/>
  <c r="R281" i="5"/>
  <c r="R530" i="5"/>
  <c r="S492" i="5"/>
  <c r="R355" i="5"/>
  <c r="S266" i="5"/>
  <c r="S193" i="5"/>
  <c r="AC281" i="5"/>
  <c r="AS281" i="5" s="1"/>
  <c r="AU281" i="5" s="1"/>
  <c r="AC89" i="5"/>
  <c r="AD89" i="5" s="1"/>
  <c r="AC530" i="5"/>
  <c r="AD530" i="5" s="1"/>
  <c r="AC95" i="5"/>
  <c r="AE95" i="5" s="1"/>
  <c r="AD326" i="10"/>
  <c r="R65" i="5"/>
  <c r="R346" i="5"/>
  <c r="R483" i="5"/>
  <c r="R146" i="5"/>
  <c r="S519" i="5"/>
  <c r="S190" i="5"/>
  <c r="T11" i="5"/>
  <c r="U11" i="5" s="1"/>
  <c r="R175" i="5"/>
  <c r="S169" i="5"/>
  <c r="R252" i="5"/>
  <c r="AC188" i="5"/>
  <c r="AS188" i="5" s="1"/>
  <c r="AU188" i="5" s="1"/>
  <c r="AC138" i="5"/>
  <c r="AD138" i="5" s="1"/>
  <c r="R138" i="5"/>
  <c r="R432" i="5"/>
  <c r="S525" i="5"/>
  <c r="S329" i="5"/>
  <c r="R42" i="5"/>
  <c r="AC519" i="5"/>
  <c r="AD519" i="5" s="1"/>
  <c r="AC279" i="5"/>
  <c r="AS279" i="5" s="1"/>
  <c r="AU279" i="5" s="1"/>
  <c r="AC194" i="5"/>
  <c r="AE194" i="5" s="1"/>
  <c r="AC342" i="5"/>
  <c r="AD342" i="5" s="1"/>
  <c r="AC213" i="5"/>
  <c r="AS213" i="5" s="1"/>
  <c r="AU213" i="5" s="1"/>
  <c r="AC346" i="5"/>
  <c r="AE346" i="5" s="1"/>
  <c r="AC329" i="5"/>
  <c r="AE329" i="5" s="1"/>
  <c r="AC525" i="5"/>
  <c r="AE525" i="5" s="1"/>
  <c r="AC408" i="5"/>
  <c r="AS408" i="5" s="1"/>
  <c r="AU408" i="5" s="1"/>
  <c r="AC190" i="5"/>
  <c r="AD190" i="5" s="1"/>
  <c r="AE426" i="10"/>
  <c r="AV426" i="10"/>
  <c r="AD426" i="10"/>
  <c r="AV257" i="10"/>
  <c r="AD257" i="10"/>
  <c r="AE257" i="10"/>
  <c r="R403" i="5"/>
  <c r="R90" i="5"/>
  <c r="AC403" i="5"/>
  <c r="AD403" i="5" s="1"/>
  <c r="AC90" i="5"/>
  <c r="AE90" i="5" s="1"/>
  <c r="AV185" i="10"/>
  <c r="AE185" i="10"/>
  <c r="AD185" i="10"/>
  <c r="AE231" i="10"/>
  <c r="AD231" i="10"/>
  <c r="AV231" i="10"/>
  <c r="AE129" i="10"/>
  <c r="AD180" i="10"/>
  <c r="AE180" i="10"/>
  <c r="AV180" i="10"/>
  <c r="AD516" i="10"/>
  <c r="AV516" i="10"/>
  <c r="AE516" i="10"/>
  <c r="AE274" i="10"/>
  <c r="AV274" i="10"/>
  <c r="AD274" i="10"/>
  <c r="R388" i="5"/>
  <c r="S411" i="5"/>
  <c r="AD164" i="10"/>
  <c r="S162" i="5"/>
  <c r="S319" i="5"/>
  <c r="R157" i="5"/>
  <c r="S70" i="5"/>
  <c r="AC305" i="5"/>
  <c r="AS305" i="5" s="1"/>
  <c r="AU305" i="5" s="1"/>
  <c r="AC65" i="5"/>
  <c r="AD65" i="5" s="1"/>
  <c r="AC411" i="5"/>
  <c r="AE411" i="5" s="1"/>
  <c r="AD395" i="10"/>
  <c r="AE395" i="10"/>
  <c r="AV395" i="10"/>
  <c r="AE108" i="10"/>
  <c r="AD108" i="10"/>
  <c r="AV108" i="10"/>
  <c r="AE541" i="10"/>
  <c r="AV541" i="10"/>
  <c r="AD541" i="10"/>
  <c r="AV245" i="10"/>
  <c r="AD245" i="10"/>
  <c r="AE245" i="10"/>
  <c r="AD224" i="10"/>
  <c r="AV224" i="10"/>
  <c r="AE224" i="10"/>
  <c r="AD279" i="10"/>
  <c r="AV54" i="10"/>
  <c r="AD54" i="10"/>
  <c r="AE54" i="10"/>
  <c r="AX326" i="10"/>
  <c r="AW326" i="10"/>
  <c r="AC388" i="5"/>
  <c r="AD388" i="5" s="1"/>
  <c r="S394" i="5"/>
  <c r="S100" i="5"/>
  <c r="R399" i="5"/>
  <c r="AC400" i="5"/>
  <c r="AE400" i="5" s="1"/>
  <c r="S207" i="5"/>
  <c r="R400" i="5"/>
  <c r="AC100" i="5"/>
  <c r="AS100" i="5" s="1"/>
  <c r="AT100" i="5" s="1"/>
  <c r="AC207" i="5"/>
  <c r="AS207" i="5" s="1"/>
  <c r="AU207" i="5" s="1"/>
  <c r="AC355" i="5"/>
  <c r="AD355" i="5" s="1"/>
  <c r="S421" i="5"/>
  <c r="AC421" i="5"/>
  <c r="AE421" i="5" s="1"/>
  <c r="R541" i="5"/>
  <c r="R296" i="5"/>
  <c r="R477" i="5"/>
  <c r="S86" i="5"/>
  <c r="S61" i="5"/>
  <c r="S279" i="5"/>
  <c r="R445" i="5"/>
  <c r="R300" i="5"/>
  <c r="R369" i="5"/>
  <c r="S60" i="5"/>
  <c r="R213" i="5"/>
  <c r="R176" i="5"/>
  <c r="R113" i="5"/>
  <c r="S236" i="5"/>
  <c r="R342" i="5"/>
  <c r="AC176" i="5"/>
  <c r="AE176" i="5" s="1"/>
  <c r="AC70" i="5"/>
  <c r="AS70" i="5" s="1"/>
  <c r="AT70" i="5" s="1"/>
  <c r="AC94" i="5"/>
  <c r="AE94" i="5" s="1"/>
  <c r="AC42" i="5"/>
  <c r="AE42" i="5" s="1"/>
  <c r="AC60" i="5"/>
  <c r="AS60" i="5" s="1"/>
  <c r="S522" i="5"/>
  <c r="R126" i="5"/>
  <c r="AC522" i="5"/>
  <c r="AD522" i="5" s="1"/>
  <c r="S383" i="5"/>
  <c r="AC394" i="5"/>
  <c r="AD394" i="5" s="1"/>
  <c r="AC239" i="5"/>
  <c r="AE239" i="5" s="1"/>
  <c r="AC393" i="5"/>
  <c r="AS393" i="5" s="1"/>
  <c r="AU393" i="5" s="1"/>
  <c r="S148" i="5"/>
  <c r="R170" i="5"/>
  <c r="S83" i="5"/>
  <c r="R549" i="5"/>
  <c r="R239" i="5"/>
  <c r="AC383" i="5"/>
  <c r="AE383" i="5" s="1"/>
  <c r="AC410" i="5"/>
  <c r="AE410" i="5" s="1"/>
  <c r="AC83" i="5"/>
  <c r="AD83" i="5" s="1"/>
  <c r="AC170" i="5"/>
  <c r="AE170" i="5" s="1"/>
  <c r="R257" i="5"/>
  <c r="S447" i="5"/>
  <c r="R410" i="5"/>
  <c r="R393" i="5"/>
  <c r="R36" i="5"/>
  <c r="AC549" i="5"/>
  <c r="AE549" i="5" s="1"/>
  <c r="R337" i="5"/>
  <c r="R47" i="5"/>
  <c r="S520" i="5"/>
  <c r="S350" i="5"/>
  <c r="S496" i="5"/>
  <c r="S351" i="5"/>
  <c r="AC292" i="5"/>
  <c r="AD292" i="5" s="1"/>
  <c r="AC337" i="5"/>
  <c r="AS337" i="5" s="1"/>
  <c r="AT337" i="5" s="1"/>
  <c r="AC196" i="5"/>
  <c r="AE196" i="5" s="1"/>
  <c r="AC86" i="5"/>
  <c r="AD86" i="5" s="1"/>
  <c r="AC541" i="5"/>
  <c r="AS541" i="5" s="1"/>
  <c r="AT541" i="5" s="1"/>
  <c r="S292" i="5"/>
  <c r="R373" i="5"/>
  <c r="S94" i="5"/>
  <c r="AC296" i="5"/>
  <c r="AE296" i="5" s="1"/>
  <c r="AC47" i="5"/>
  <c r="AE47" i="5" s="1"/>
  <c r="AC351" i="5"/>
  <c r="AD351" i="5" s="1"/>
  <c r="AC257" i="5"/>
  <c r="AD257" i="5" s="1"/>
  <c r="AC520" i="5"/>
  <c r="AS520" i="5" s="1"/>
  <c r="AT520" i="5" s="1"/>
  <c r="S201" i="5"/>
  <c r="R536" i="5"/>
  <c r="AC496" i="5"/>
  <c r="AD496" i="5" s="1"/>
  <c r="AC536" i="5"/>
  <c r="AD536" i="5" s="1"/>
  <c r="AC201" i="5"/>
  <c r="AS201" i="5" s="1"/>
  <c r="AT201" i="5" s="1"/>
  <c r="S109" i="5"/>
  <c r="S227" i="5"/>
  <c r="S311" i="5"/>
  <c r="AC311" i="5"/>
  <c r="AS311" i="5" s="1"/>
  <c r="AU311" i="5" s="1"/>
  <c r="AC109" i="5"/>
  <c r="AS109" i="5" s="1"/>
  <c r="AU109" i="5" s="1"/>
  <c r="AC373" i="5"/>
  <c r="AS373" i="5" s="1"/>
  <c r="AU373" i="5" s="1"/>
  <c r="AC227" i="5"/>
  <c r="AS227" i="5" s="1"/>
  <c r="AU227" i="5" s="1"/>
  <c r="R246" i="5"/>
  <c r="AC246" i="5"/>
  <c r="AE246" i="5" s="1"/>
  <c r="AC482" i="5"/>
  <c r="AE482" i="5" s="1"/>
  <c r="S265" i="5"/>
  <c r="R512" i="5"/>
  <c r="AC66" i="5"/>
  <c r="AS66" i="5" s="1"/>
  <c r="AU66" i="5" s="1"/>
  <c r="R423" i="5"/>
  <c r="S66" i="5"/>
  <c r="R183" i="5"/>
  <c r="S277" i="5"/>
  <c r="AC423" i="5"/>
  <c r="AD423" i="5" s="1"/>
  <c r="AC183" i="5"/>
  <c r="AS183" i="5" s="1"/>
  <c r="AU183" i="5" s="1"/>
  <c r="AC335" i="5"/>
  <c r="AE335" i="5" s="1"/>
  <c r="S487" i="5"/>
  <c r="S245" i="5"/>
  <c r="S458" i="5"/>
  <c r="AC460" i="5"/>
  <c r="AD460" i="5" s="1"/>
  <c r="R500" i="5"/>
  <c r="Z11" i="5"/>
  <c r="AA11" i="5" s="1"/>
  <c r="S368" i="5"/>
  <c r="R560" i="5"/>
  <c r="R268" i="5"/>
  <c r="R154" i="5"/>
  <c r="R28" i="5"/>
  <c r="S152" i="5"/>
  <c r="S465" i="5"/>
  <c r="S452" i="5"/>
  <c r="R468" i="5"/>
  <c r="S102" i="5"/>
  <c r="S127" i="5"/>
  <c r="S166" i="5"/>
  <c r="S99" i="5"/>
  <c r="AC500" i="5"/>
  <c r="AE500" i="5" s="1"/>
  <c r="AC503" i="5"/>
  <c r="AE503" i="5" s="1"/>
  <c r="AC326" i="5"/>
  <c r="AE326" i="5" s="1"/>
  <c r="AC113" i="5"/>
  <c r="AS113" i="5" s="1"/>
  <c r="AT113" i="5" s="1"/>
  <c r="AC553" i="5"/>
  <c r="AS553" i="5" s="1"/>
  <c r="AT553" i="5" s="1"/>
  <c r="AC102" i="5"/>
  <c r="AD102" i="5" s="1"/>
  <c r="AC162" i="5"/>
  <c r="AS162" i="5" s="1"/>
  <c r="AT162" i="5" s="1"/>
  <c r="AC278" i="5"/>
  <c r="AE278" i="5" s="1"/>
  <c r="AC459" i="5"/>
  <c r="AD459" i="5" s="1"/>
  <c r="AC324" i="5"/>
  <c r="AE324" i="5" s="1"/>
  <c r="AC256" i="5"/>
  <c r="AS256" i="5" s="1"/>
  <c r="AU256" i="5" s="1"/>
  <c r="AC191" i="5"/>
  <c r="AE191" i="5" s="1"/>
  <c r="AC452" i="5"/>
  <c r="AD452" i="5" s="1"/>
  <c r="AC244" i="5"/>
  <c r="AE244" i="5" s="1"/>
  <c r="AI11" i="5"/>
  <c r="R156" i="5"/>
  <c r="S427" i="5"/>
  <c r="S405" i="5"/>
  <c r="R324" i="5"/>
  <c r="S545" i="5"/>
  <c r="R77" i="5"/>
  <c r="R241" i="5"/>
  <c r="S69" i="5"/>
  <c r="R414" i="5"/>
  <c r="S552" i="5"/>
  <c r="R330" i="5"/>
  <c r="S68" i="5"/>
  <c r="R225" i="5"/>
  <c r="AC143" i="5"/>
  <c r="AD143" i="5" s="1"/>
  <c r="AC35" i="5"/>
  <c r="AD35" i="5" s="1"/>
  <c r="AC61" i="5"/>
  <c r="AS61" i="5" s="1"/>
  <c r="AU61" i="5" s="1"/>
  <c r="AC368" i="5"/>
  <c r="AE368" i="5" s="1"/>
  <c r="AC54" i="5"/>
  <c r="AS54" i="5" s="1"/>
  <c r="AU54" i="5" s="1"/>
  <c r="AC136" i="5"/>
  <c r="AS136" i="5" s="1"/>
  <c r="AU136" i="5" s="1"/>
  <c r="AC360" i="5"/>
  <c r="AS360" i="5" s="1"/>
  <c r="AT360" i="5" s="1"/>
  <c r="AC268" i="5"/>
  <c r="AE268" i="5" s="1"/>
  <c r="AC461" i="5"/>
  <c r="AS461" i="5" s="1"/>
  <c r="AC417" i="5"/>
  <c r="AE417" i="5" s="1"/>
  <c r="AC529" i="5"/>
  <c r="AS529" i="5" s="1"/>
  <c r="AC545" i="5"/>
  <c r="AD545" i="5" s="1"/>
  <c r="AC416" i="5"/>
  <c r="AE416" i="5" s="1"/>
  <c r="AC154" i="5"/>
  <c r="AE154" i="5" s="1"/>
  <c r="AC127" i="5"/>
  <c r="AE127" i="5" s="1"/>
  <c r="R426" i="5"/>
  <c r="AJ11" i="5"/>
  <c r="S67" i="5"/>
  <c r="S453" i="5"/>
  <c r="R514" i="5"/>
  <c r="S417" i="5"/>
  <c r="R529" i="5"/>
  <c r="S35" i="5"/>
  <c r="R27" i="5"/>
  <c r="R235" i="5"/>
  <c r="R105" i="5"/>
  <c r="S360" i="5"/>
  <c r="R244" i="5"/>
  <c r="AC273" i="5"/>
  <c r="AE273" i="5" s="1"/>
  <c r="AC177" i="5"/>
  <c r="AS177" i="5" s="1"/>
  <c r="AC253" i="5"/>
  <c r="AS253" i="5" s="1"/>
  <c r="AT253" i="5" s="1"/>
  <c r="R395" i="5"/>
  <c r="AC330" i="5"/>
  <c r="AD330" i="5" s="1"/>
  <c r="AC426" i="5"/>
  <c r="AD426" i="5" s="1"/>
  <c r="AC215" i="5"/>
  <c r="AS215" i="5" s="1"/>
  <c r="AU215" i="5" s="1"/>
  <c r="AC395" i="5"/>
  <c r="AS395" i="5" s="1"/>
  <c r="AT395" i="5" s="1"/>
  <c r="AC169" i="5"/>
  <c r="AS169" i="5" s="1"/>
  <c r="AT169" i="5" s="1"/>
  <c r="S58" i="5"/>
  <c r="R97" i="5"/>
  <c r="S460" i="5"/>
  <c r="R144" i="5"/>
  <c r="S450" i="5"/>
  <c r="S466" i="5"/>
  <c r="R335" i="5"/>
  <c r="AC81" i="5"/>
  <c r="AS81" i="5" s="1"/>
  <c r="AT81" i="5" s="1"/>
  <c r="S362" i="5"/>
  <c r="S81" i="5"/>
  <c r="R196" i="5"/>
  <c r="AC450" i="5"/>
  <c r="AS450" i="5" s="1"/>
  <c r="AU450" i="5" s="1"/>
  <c r="AC97" i="5"/>
  <c r="AD97" i="5" s="1"/>
  <c r="S29" i="5"/>
  <c r="R180" i="5"/>
  <c r="S482" i="5"/>
  <c r="S354" i="5"/>
  <c r="R200" i="5"/>
  <c r="AC200" i="5"/>
  <c r="AS200" i="5" s="1"/>
  <c r="AU200" i="5" s="1"/>
  <c r="AC429" i="5"/>
  <c r="AD429" i="5" s="1"/>
  <c r="S341" i="5"/>
  <c r="S533" i="5"/>
  <c r="S528" i="5"/>
  <c r="S444" i="5"/>
  <c r="W11" i="5"/>
  <c r="X11" i="5" s="1"/>
  <c r="R322" i="5"/>
  <c r="S206" i="5"/>
  <c r="S256" i="5"/>
  <c r="S339" i="5"/>
  <c r="R459" i="5"/>
  <c r="S370" i="5"/>
  <c r="S179" i="5"/>
  <c r="S125" i="5"/>
  <c r="R289" i="5"/>
  <c r="S371" i="5"/>
  <c r="R497" i="5"/>
  <c r="R74" i="5"/>
  <c r="R297" i="5"/>
  <c r="R143" i="5"/>
  <c r="R263" i="5"/>
  <c r="R547" i="5"/>
  <c r="S293" i="5"/>
  <c r="R120" i="5"/>
  <c r="R462" i="5"/>
  <c r="AC300" i="5"/>
  <c r="AE300" i="5" s="1"/>
  <c r="AC472" i="5"/>
  <c r="AD472" i="5" s="1"/>
  <c r="AC235" i="5"/>
  <c r="AD235" i="5" s="1"/>
  <c r="AC552" i="5"/>
  <c r="AD552" i="5" s="1"/>
  <c r="AC341" i="5"/>
  <c r="AS341" i="5" s="1"/>
  <c r="AU341" i="5" s="1"/>
  <c r="AC99" i="5"/>
  <c r="AD99" i="5" s="1"/>
  <c r="AC544" i="5"/>
  <c r="AD544" i="5" s="1"/>
  <c r="AC560" i="5"/>
  <c r="AD560" i="5" s="1"/>
  <c r="AC69" i="5"/>
  <c r="AS69" i="5" s="1"/>
  <c r="AT69" i="5" s="1"/>
  <c r="AC370" i="5"/>
  <c r="AD370" i="5" s="1"/>
  <c r="AC75" i="5"/>
  <c r="AD75" i="5" s="1"/>
  <c r="AC68" i="5"/>
  <c r="AD68" i="5" s="1"/>
  <c r="AC371" i="5"/>
  <c r="AE371" i="5" s="1"/>
  <c r="AC221" i="5"/>
  <c r="AE221" i="5" s="1"/>
  <c r="AC547" i="5"/>
  <c r="AD547" i="5" s="1"/>
  <c r="AC263" i="5"/>
  <c r="AE263" i="5" s="1"/>
  <c r="AC206" i="5"/>
  <c r="AS206" i="5" s="1"/>
  <c r="AT206" i="5" s="1"/>
  <c r="AC387" i="5"/>
  <c r="AD387" i="5" s="1"/>
  <c r="S503" i="5"/>
  <c r="R378" i="5"/>
  <c r="S231" i="5"/>
  <c r="Q11" i="5"/>
  <c r="R11" i="5" s="1"/>
  <c r="R124" i="5"/>
  <c r="R82" i="5"/>
  <c r="R136" i="5"/>
  <c r="R54" i="5"/>
  <c r="S8" i="5"/>
  <c r="R221" i="5"/>
  <c r="R372" i="5"/>
  <c r="R544" i="5"/>
  <c r="R326" i="5"/>
  <c r="S59" i="5"/>
  <c r="S472" i="5"/>
  <c r="R387" i="5"/>
  <c r="S253" i="5"/>
  <c r="S75" i="5"/>
  <c r="R513" i="5"/>
  <c r="S177" i="5"/>
  <c r="R215" i="5"/>
  <c r="R391" i="5"/>
  <c r="S20" i="5"/>
  <c r="R553" i="5"/>
  <c r="R278" i="5"/>
  <c r="AC405" i="5"/>
  <c r="AE405" i="5" s="1"/>
  <c r="AC391" i="5"/>
  <c r="AD391" i="5" s="1"/>
  <c r="AC462" i="5"/>
  <c r="AS462" i="5" s="1"/>
  <c r="AT462" i="5" s="1"/>
  <c r="AC339" i="5"/>
  <c r="AS339" i="5" s="1"/>
  <c r="AU339" i="5" s="1"/>
  <c r="AC357" i="5"/>
  <c r="AS357" i="5" s="1"/>
  <c r="AU357" i="5" s="1"/>
  <c r="AC369" i="5"/>
  <c r="AE369" i="5" s="1"/>
  <c r="AC27" i="5"/>
  <c r="AS27" i="5" s="1"/>
  <c r="AT27" i="5" s="1"/>
  <c r="AC156" i="5"/>
  <c r="AE156" i="5" s="1"/>
  <c r="AC465" i="5"/>
  <c r="AS465" i="5" s="1"/>
  <c r="AC241" i="5"/>
  <c r="AS241" i="5" s="1"/>
  <c r="AU241" i="5" s="1"/>
  <c r="S357" i="5"/>
  <c r="AC444" i="5"/>
  <c r="AE444" i="5" s="1"/>
  <c r="AC175" i="5"/>
  <c r="AE175" i="5" s="1"/>
  <c r="AC293" i="5"/>
  <c r="AD293" i="5" s="1"/>
  <c r="AC432" i="5"/>
  <c r="AE432" i="5" s="1"/>
  <c r="AC480" i="5"/>
  <c r="AS480" i="5" s="1"/>
  <c r="AU480" i="5" s="1"/>
  <c r="AC199" i="5"/>
  <c r="AE199" i="5" s="1"/>
  <c r="AC533" i="5"/>
  <c r="AD533" i="5" s="1"/>
  <c r="AC157" i="5"/>
  <c r="AS157" i="5" s="1"/>
  <c r="AU157" i="5" s="1"/>
  <c r="AC319" i="5"/>
  <c r="AS319" i="5" s="1"/>
  <c r="AU319" i="5" s="1"/>
  <c r="AC166" i="5"/>
  <c r="AD166" i="5" s="1"/>
  <c r="AC378" i="5"/>
  <c r="AD378" i="5" s="1"/>
  <c r="AC67" i="5"/>
  <c r="AE67" i="5" s="1"/>
  <c r="AC514" i="5"/>
  <c r="AE514" i="5" s="1"/>
  <c r="AC105" i="5"/>
  <c r="AS105" i="5" s="1"/>
  <c r="AT105" i="5" s="1"/>
  <c r="AC477" i="5"/>
  <c r="AE477" i="5" s="1"/>
  <c r="R219" i="5"/>
  <c r="R381" i="5"/>
  <c r="S486" i="5"/>
  <c r="AC449" i="5"/>
  <c r="AE449" i="5" s="1"/>
  <c r="AC554" i="5"/>
  <c r="AE554" i="5" s="1"/>
  <c r="AC212" i="5"/>
  <c r="AD212" i="5" s="1"/>
  <c r="AC407" i="5"/>
  <c r="AE407" i="5" s="1"/>
  <c r="AC76" i="5"/>
  <c r="AD76" i="5" s="1"/>
  <c r="AC382" i="5"/>
  <c r="AE382" i="5" s="1"/>
  <c r="AC518" i="5"/>
  <c r="AE518" i="5" s="1"/>
  <c r="AC29" i="5"/>
  <c r="AD29" i="5" s="1"/>
  <c r="R260" i="5"/>
  <c r="R142" i="5"/>
  <c r="AC380" i="5"/>
  <c r="AE380" i="5" s="1"/>
  <c r="S230" i="5"/>
  <c r="AC230" i="5"/>
  <c r="AE230" i="5" s="1"/>
  <c r="AC334" i="5"/>
  <c r="AD334" i="5" s="1"/>
  <c r="R250" i="5"/>
  <c r="S336" i="5"/>
  <c r="S471" i="5"/>
  <c r="AC303" i="5"/>
  <c r="AE303" i="5" s="1"/>
  <c r="AC336" i="5"/>
  <c r="AD336" i="5" s="1"/>
  <c r="AC120" i="5"/>
  <c r="AD120" i="5" s="1"/>
  <c r="R133" i="5"/>
  <c r="R187" i="5"/>
  <c r="R26" i="5"/>
  <c r="S428" i="5"/>
  <c r="S456" i="5"/>
  <c r="R518" i="5"/>
  <c r="S72" i="5"/>
  <c r="S321" i="5"/>
  <c r="R314" i="5"/>
  <c r="S50" i="5"/>
  <c r="R57" i="5"/>
  <c r="R454" i="5"/>
  <c r="AC456" i="5"/>
  <c r="AD456" i="5" s="1"/>
  <c r="AC464" i="5"/>
  <c r="AD464" i="5" s="1"/>
  <c r="AC354" i="5"/>
  <c r="AD354" i="5" s="1"/>
  <c r="AC192" i="5"/>
  <c r="AS192" i="5" s="1"/>
  <c r="AU192" i="5" s="1"/>
  <c r="AC133" i="5"/>
  <c r="AD133" i="5" s="1"/>
  <c r="AC43" i="5"/>
  <c r="AS43" i="5" s="1"/>
  <c r="AT43" i="5" s="1"/>
  <c r="AC435" i="5"/>
  <c r="AD435" i="5" s="1"/>
  <c r="AC436" i="5"/>
  <c r="AD436" i="5" s="1"/>
  <c r="AC270" i="5"/>
  <c r="AD270" i="5" s="1"/>
  <c r="AC236" i="5"/>
  <c r="AE236" i="5" s="1"/>
  <c r="AC271" i="5"/>
  <c r="AE271" i="5" s="1"/>
  <c r="AC284" i="5"/>
  <c r="AD284" i="5" s="1"/>
  <c r="R349" i="5"/>
  <c r="S285" i="5"/>
  <c r="AC118" i="5"/>
  <c r="AS118" i="5" s="1"/>
  <c r="AT118" i="5" s="1"/>
  <c r="R495" i="5"/>
  <c r="S114" i="5"/>
  <c r="AC286" i="5"/>
  <c r="AS286" i="5" s="1"/>
  <c r="AU286" i="5" s="1"/>
  <c r="AC172" i="5"/>
  <c r="AE172" i="5" s="1"/>
  <c r="AC238" i="5"/>
  <c r="AS238" i="5" s="1"/>
  <c r="AT238" i="5" s="1"/>
  <c r="AC527" i="5"/>
  <c r="AS527" i="5" s="1"/>
  <c r="AC548" i="5"/>
  <c r="AS548" i="5" s="1"/>
  <c r="AT548" i="5" s="1"/>
  <c r="AC420" i="5"/>
  <c r="AD420" i="5" s="1"/>
  <c r="AC392" i="5"/>
  <c r="AS392" i="5" s="1"/>
  <c r="AT392" i="5" s="1"/>
  <c r="AC364" i="5"/>
  <c r="AS364" i="5" s="1"/>
  <c r="AU364" i="5" s="1"/>
  <c r="AC103" i="5"/>
  <c r="AD103" i="5" s="1"/>
  <c r="AC219" i="5"/>
  <c r="AE219" i="5" s="1"/>
  <c r="AC173" i="5"/>
  <c r="AS173" i="5" s="1"/>
  <c r="AU173" i="5" s="1"/>
  <c r="R286" i="5"/>
  <c r="R129" i="5"/>
  <c r="S192" i="5"/>
  <c r="R534" i="5"/>
  <c r="R264" i="5"/>
  <c r="AC255" i="5"/>
  <c r="AD255" i="5" s="1"/>
  <c r="AC250" i="5"/>
  <c r="AE250" i="5" s="1"/>
  <c r="R333" i="5"/>
  <c r="R433" i="5"/>
  <c r="R238" i="5"/>
  <c r="R172" i="5"/>
  <c r="S491" i="5"/>
  <c r="R532" i="5"/>
  <c r="R404" i="5"/>
  <c r="R262" i="5"/>
  <c r="S457" i="5"/>
  <c r="S429" i="5"/>
  <c r="R271" i="5"/>
  <c r="R116" i="5"/>
  <c r="R139" i="5"/>
  <c r="R554" i="5"/>
  <c r="AC262" i="5"/>
  <c r="AD262" i="5" s="1"/>
  <c r="R407" i="5"/>
  <c r="R270" i="5"/>
  <c r="S334" i="5"/>
  <c r="AC180" i="5"/>
  <c r="AD180" i="5" s="1"/>
  <c r="R64" i="5"/>
  <c r="AC486" i="5"/>
  <c r="AD486" i="5" s="1"/>
  <c r="AC116" i="5"/>
  <c r="AS116" i="5" s="1"/>
  <c r="AU116" i="5" s="1"/>
  <c r="R202" i="5"/>
  <c r="R272" i="5"/>
  <c r="AC202" i="5"/>
  <c r="AS202" i="5" s="1"/>
  <c r="AU202" i="5" s="1"/>
  <c r="AC272" i="5"/>
  <c r="AD272" i="5" s="1"/>
  <c r="AC331" i="5"/>
  <c r="AD331" i="5" s="1"/>
  <c r="S210" i="5"/>
  <c r="R198" i="5"/>
  <c r="R352" i="5"/>
  <c r="R316" i="5"/>
  <c r="S96" i="5"/>
  <c r="S110" i="5"/>
  <c r="R484" i="5"/>
  <c r="S255" i="5"/>
  <c r="S137" i="5"/>
  <c r="S386" i="5"/>
  <c r="R464" i="5"/>
  <c r="AC264" i="5"/>
  <c r="AD264" i="5" s="1"/>
  <c r="AC413" i="5"/>
  <c r="AS413" i="5" s="1"/>
  <c r="AU413" i="5" s="1"/>
  <c r="AC26" i="5"/>
  <c r="AE26" i="5" s="1"/>
  <c r="AC433" i="5"/>
  <c r="AS433" i="5" s="1"/>
  <c r="AU433" i="5" s="1"/>
  <c r="AC475" i="5"/>
  <c r="AS475" i="5" s="1"/>
  <c r="AT475" i="5" s="1"/>
  <c r="AC114" i="5"/>
  <c r="AD114" i="5" s="1"/>
  <c r="AC386" i="5"/>
  <c r="AS386" i="5" s="1"/>
  <c r="AC93" i="5"/>
  <c r="AE93" i="5" s="1"/>
  <c r="AC96" i="5"/>
  <c r="AS96" i="5" s="1"/>
  <c r="AU96" i="5" s="1"/>
  <c r="AC226" i="5"/>
  <c r="AD226" i="5" s="1"/>
  <c r="AC455" i="5"/>
  <c r="AD455" i="5" s="1"/>
  <c r="R261" i="5"/>
  <c r="S392" i="5"/>
  <c r="R380" i="5"/>
  <c r="S84" i="5"/>
  <c r="S93" i="5"/>
  <c r="S475" i="5"/>
  <c r="R181" i="5"/>
  <c r="AC285" i="5"/>
  <c r="AE285" i="5" s="1"/>
  <c r="AC314" i="5"/>
  <c r="AD314" i="5" s="1"/>
  <c r="AC439" i="5"/>
  <c r="AD439" i="5" s="1"/>
  <c r="AC51" i="5"/>
  <c r="AS51" i="5" s="1"/>
  <c r="AT51" i="5" s="1"/>
  <c r="AC333" i="5"/>
  <c r="AD333" i="5" s="1"/>
  <c r="S548" i="5"/>
  <c r="S51" i="5"/>
  <c r="R168" i="5"/>
  <c r="S418" i="5"/>
  <c r="S111" i="5"/>
  <c r="S516" i="5"/>
  <c r="S267" i="5"/>
  <c r="S226" i="5"/>
  <c r="S439" i="5"/>
  <c r="S248" i="5"/>
  <c r="R310" i="5"/>
  <c r="AC242" i="5"/>
  <c r="AD242" i="5" s="1"/>
  <c r="AC321" i="5"/>
  <c r="AD321" i="5" s="1"/>
  <c r="AC310" i="5"/>
  <c r="AD310" i="5" s="1"/>
  <c r="S485" i="5"/>
  <c r="R556" i="5"/>
  <c r="S223" i="5"/>
  <c r="AC489" i="5"/>
  <c r="AS489" i="5" s="1"/>
  <c r="AU489" i="5" s="1"/>
  <c r="AC149" i="5"/>
  <c r="AE149" i="5" s="1"/>
  <c r="AC62" i="5"/>
  <c r="AS62" i="5" s="1"/>
  <c r="AT62" i="5" s="1"/>
  <c r="AC232" i="5"/>
  <c r="AS232" i="5" s="1"/>
  <c r="AU232" i="5" s="1"/>
  <c r="AC328" i="5"/>
  <c r="AE328" i="5" s="1"/>
  <c r="AC502" i="5"/>
  <c r="AS502" i="5" s="1"/>
  <c r="AT502" i="5" s="1"/>
  <c r="AC38" i="5"/>
  <c r="AE38" i="5" s="1"/>
  <c r="AC123" i="5"/>
  <c r="AD123" i="5" s="1"/>
  <c r="AC424" i="5"/>
  <c r="AS424" i="5" s="1"/>
  <c r="AT424" i="5" s="1"/>
  <c r="AC259" i="5"/>
  <c r="AE259" i="5" s="1"/>
  <c r="S511" i="5"/>
  <c r="AC317" i="5"/>
  <c r="AS317" i="5" s="1"/>
  <c r="AT317" i="5" s="1"/>
  <c r="S208" i="5"/>
  <c r="S441" i="5"/>
  <c r="AC254" i="5"/>
  <c r="AD254" i="5" s="1"/>
  <c r="AC234" i="5"/>
  <c r="AS234" i="5" s="1"/>
  <c r="AU234" i="5" s="1"/>
  <c r="AC307" i="5"/>
  <c r="AE307" i="5" s="1"/>
  <c r="AC110" i="5"/>
  <c r="AS110" i="5" s="1"/>
  <c r="AU110" i="5" s="1"/>
  <c r="AC441" i="5"/>
  <c r="AE441" i="5" s="1"/>
  <c r="AC25" i="5"/>
  <c r="AD25" i="5" s="1"/>
  <c r="AC13" i="5"/>
  <c r="AS13" i="5" s="1"/>
  <c r="AU13" i="5" s="1"/>
  <c r="AC111" i="5"/>
  <c r="AD111" i="5" s="1"/>
  <c r="AC267" i="5"/>
  <c r="AS267" i="5" s="1"/>
  <c r="AU267" i="5" s="1"/>
  <c r="AC290" i="5"/>
  <c r="AS290" i="5" s="1"/>
  <c r="AU290" i="5" s="1"/>
  <c r="AC168" i="5"/>
  <c r="AD168" i="5" s="1"/>
  <c r="AC381" i="5"/>
  <c r="AD381" i="5" s="1"/>
  <c r="AC418" i="5"/>
  <c r="AS418" i="5" s="1"/>
  <c r="AT418" i="5" s="1"/>
  <c r="S494" i="5"/>
  <c r="R103" i="5"/>
  <c r="R254" i="5"/>
  <c r="S435" i="5"/>
  <c r="R211" i="5"/>
  <c r="R413" i="5"/>
  <c r="S108" i="5"/>
  <c r="S106" i="5"/>
  <c r="R455" i="5"/>
  <c r="R307" i="5"/>
  <c r="R290" i="5"/>
  <c r="R234" i="5"/>
  <c r="AC106" i="5"/>
  <c r="AD106" i="5" s="1"/>
  <c r="AC181" i="5"/>
  <c r="AS181" i="5" s="1"/>
  <c r="AC79" i="5"/>
  <c r="AD79" i="5" s="1"/>
  <c r="AC495" i="5"/>
  <c r="AS495" i="5" s="1"/>
  <c r="AU495" i="5" s="1"/>
  <c r="R25" i="5"/>
  <c r="R527" i="5"/>
  <c r="R13" i="5"/>
  <c r="R269" i="5"/>
  <c r="R309" i="5"/>
  <c r="R79" i="5"/>
  <c r="R490" i="5"/>
  <c r="S345" i="5"/>
  <c r="R282" i="5"/>
  <c r="R178" i="5"/>
  <c r="R161" i="5"/>
  <c r="R145" i="5"/>
  <c r="S323" i="5"/>
  <c r="S101" i="5"/>
  <c r="S420" i="5"/>
  <c r="R34" i="5"/>
  <c r="S436" i="5"/>
  <c r="AC490" i="5"/>
  <c r="AE490" i="5" s="1"/>
  <c r="AC532" i="5"/>
  <c r="AD532" i="5" s="1"/>
  <c r="AC352" i="5"/>
  <c r="AS352" i="5" s="1"/>
  <c r="AU352" i="5" s="1"/>
  <c r="AC491" i="5"/>
  <c r="AE491" i="5" s="1"/>
  <c r="AC145" i="5"/>
  <c r="AS145" i="5" s="1"/>
  <c r="AT145" i="5" s="1"/>
  <c r="AC137" i="5"/>
  <c r="AS137" i="5" s="1"/>
  <c r="AU137" i="5" s="1"/>
  <c r="AC428" i="5"/>
  <c r="AE428" i="5" s="1"/>
  <c r="AC248" i="5"/>
  <c r="AS248" i="5" s="1"/>
  <c r="AU248" i="5" s="1"/>
  <c r="AC349" i="5"/>
  <c r="AD349" i="5" s="1"/>
  <c r="S242" i="5"/>
  <c r="AC516" i="5"/>
  <c r="AE516" i="5" s="1"/>
  <c r="AC129" i="5"/>
  <c r="AE129" i="5" s="1"/>
  <c r="AC57" i="5"/>
  <c r="AS57" i="5" s="1"/>
  <c r="AU57" i="5" s="1"/>
  <c r="AC484" i="5"/>
  <c r="AS484" i="5" s="1"/>
  <c r="AT484" i="5" s="1"/>
  <c r="AC261" i="5"/>
  <c r="AE261" i="5" s="1"/>
  <c r="AC198" i="5"/>
  <c r="AE198" i="5" s="1"/>
  <c r="AC50" i="5"/>
  <c r="AE50" i="5" s="1"/>
  <c r="S104" i="5"/>
  <c r="S247" i="5"/>
  <c r="R41" i="5"/>
  <c r="R118" i="5"/>
  <c r="S149" i="5"/>
  <c r="R304" i="5"/>
  <c r="S353" i="5"/>
  <c r="R542" i="5"/>
  <c r="R343" i="5"/>
  <c r="R232" i="5"/>
  <c r="S98" i="5"/>
  <c r="R365" i="5"/>
  <c r="R546" i="5"/>
  <c r="AC494" i="5"/>
  <c r="AD494" i="5" s="1"/>
  <c r="AC10" i="5"/>
  <c r="AD10" i="5" s="1"/>
  <c r="AC478" i="5"/>
  <c r="AE478" i="5" s="1"/>
  <c r="AC367" i="5"/>
  <c r="AE367" i="5" s="1"/>
  <c r="AC283" i="5"/>
  <c r="AS283" i="5" s="1"/>
  <c r="AT283" i="5" s="1"/>
  <c r="AC165" i="5"/>
  <c r="AD165" i="5" s="1"/>
  <c r="AC208" i="5"/>
  <c r="AD208" i="5" s="1"/>
  <c r="AC217" i="5"/>
  <c r="AS217" i="5" s="1"/>
  <c r="AU217" i="5" s="1"/>
  <c r="AC32" i="5"/>
  <c r="AS32" i="5" s="1"/>
  <c r="AU32" i="5" s="1"/>
  <c r="S10" i="5"/>
  <c r="R499" i="5"/>
  <c r="AC463" i="5"/>
  <c r="AE463" i="5" s="1"/>
  <c r="R243" i="5"/>
  <c r="S165" i="5"/>
  <c r="S140" i="5"/>
  <c r="R39" i="5"/>
  <c r="R32" i="5"/>
  <c r="S62" i="5"/>
  <c r="AC141" i="5"/>
  <c r="AS141" i="5" s="1"/>
  <c r="AU141" i="5" s="1"/>
  <c r="R128" i="5"/>
  <c r="R298" i="5"/>
  <c r="S237" i="5"/>
  <c r="S535" i="5"/>
  <c r="R467" i="5"/>
  <c r="R63" i="5"/>
  <c r="R348" i="5"/>
  <c r="AC425" i="5"/>
  <c r="AE425" i="5" s="1"/>
  <c r="AC442" i="5"/>
  <c r="AS442" i="5" s="1"/>
  <c r="AU442" i="5" s="1"/>
  <c r="AC195" i="5"/>
  <c r="AE195" i="5" s="1"/>
  <c r="S431" i="5"/>
  <c r="S325" i="5"/>
  <c r="S489" i="5"/>
  <c r="S228" i="5"/>
  <c r="S195" i="5"/>
  <c r="R463" i="5"/>
  <c r="S71" i="5"/>
  <c r="R313" i="5"/>
  <c r="R402" i="5"/>
  <c r="S280" i="5"/>
  <c r="R478" i="5"/>
  <c r="R473" i="5"/>
  <c r="R259" i="5"/>
  <c r="S317" i="5"/>
  <c r="R121" i="5"/>
  <c r="R153" i="5"/>
  <c r="R502" i="5"/>
  <c r="R283" i="5"/>
  <c r="R151" i="5"/>
  <c r="AC153" i="5"/>
  <c r="AD153" i="5" s="1"/>
  <c r="AC228" i="5"/>
  <c r="AD228" i="5" s="1"/>
  <c r="AC467" i="5"/>
  <c r="AS467" i="5" s="1"/>
  <c r="AU467" i="5" s="1"/>
  <c r="AC53" i="5"/>
  <c r="AD53" i="5" s="1"/>
  <c r="AC48" i="5"/>
  <c r="AE48" i="5" s="1"/>
  <c r="AC98" i="5"/>
  <c r="AS98" i="5" s="1"/>
  <c r="AC474" i="5"/>
  <c r="AD474" i="5" s="1"/>
  <c r="AC280" i="5"/>
  <c r="AS280" i="5" s="1"/>
  <c r="AU280" i="5" s="1"/>
  <c r="AC485" i="5"/>
  <c r="AD485" i="5" s="1"/>
  <c r="AC531" i="5"/>
  <c r="AE531" i="5" s="1"/>
  <c r="AC473" i="5"/>
  <c r="AD473" i="5" s="1"/>
  <c r="AC210" i="5"/>
  <c r="AD210" i="5" s="1"/>
  <c r="AC365" i="5"/>
  <c r="AS365" i="5" s="1"/>
  <c r="AU365" i="5" s="1"/>
  <c r="AC104" i="5"/>
  <c r="AS104" i="5" s="1"/>
  <c r="AC23" i="5"/>
  <c r="AE23" i="5" s="1"/>
  <c r="AC546" i="5"/>
  <c r="AD546" i="5" s="1"/>
  <c r="AC243" i="5"/>
  <c r="AD243" i="5" s="1"/>
  <c r="AC282" i="5"/>
  <c r="AE282" i="5" s="1"/>
  <c r="AC325" i="5"/>
  <c r="AD325" i="5" s="1"/>
  <c r="AC313" i="5"/>
  <c r="AE313" i="5" s="1"/>
  <c r="R449" i="5"/>
  <c r="S135" i="5"/>
  <c r="R523" i="5"/>
  <c r="S23" i="5"/>
  <c r="R389" i="5"/>
  <c r="S184" i="5"/>
  <c r="S123" i="5"/>
  <c r="S40" i="5"/>
  <c r="S141" i="5"/>
  <c r="S358" i="5"/>
  <c r="S367" i="5"/>
  <c r="S182" i="5"/>
  <c r="R258" i="5"/>
  <c r="R474" i="5"/>
  <c r="S442" i="5"/>
  <c r="R45" i="5"/>
  <c r="S92" i="5"/>
  <c r="S443" i="5"/>
  <c r="AC358" i="5"/>
  <c r="AD358" i="5" s="1"/>
  <c r="AC39" i="5"/>
  <c r="AE39" i="5" s="1"/>
  <c r="AC269" i="5"/>
  <c r="AE269" i="5" s="1"/>
  <c r="AC431" i="5"/>
  <c r="AD431" i="5" s="1"/>
  <c r="AC499" i="5"/>
  <c r="AS499" i="5" s="1"/>
  <c r="AU499" i="5" s="1"/>
  <c r="AC128" i="5"/>
  <c r="AS128" i="5" s="1"/>
  <c r="AT128" i="5" s="1"/>
  <c r="AC443" i="5"/>
  <c r="AE443" i="5" s="1"/>
  <c r="AC220" i="5"/>
  <c r="AD220" i="5" s="1"/>
  <c r="AC340" i="5"/>
  <c r="AD340" i="5" s="1"/>
  <c r="AC179" i="5"/>
  <c r="AS179" i="5" s="1"/>
  <c r="AT179" i="5" s="1"/>
  <c r="S412" i="5"/>
  <c r="R390" i="5"/>
  <c r="S91" i="5"/>
  <c r="R382" i="5"/>
  <c r="R451" i="5"/>
  <c r="S303" i="5"/>
  <c r="R150" i="5"/>
  <c r="S469" i="5"/>
  <c r="AC469" i="5"/>
  <c r="AD469" i="5" s="1"/>
  <c r="AC28" i="5"/>
  <c r="AE28" i="5" s="1"/>
  <c r="AC139" i="5"/>
  <c r="AD139" i="5" s="1"/>
  <c r="R130" i="5"/>
  <c r="S174" i="5"/>
  <c r="R401" i="5"/>
  <c r="S76" i="5"/>
  <c r="AC448" i="5"/>
  <c r="AS448" i="5" s="1"/>
  <c r="AU448" i="5" s="1"/>
  <c r="AC209" i="5"/>
  <c r="AD209" i="5" s="1"/>
  <c r="AC88" i="5"/>
  <c r="AS88" i="5" s="1"/>
  <c r="AU88" i="5" s="1"/>
  <c r="AC174" i="5"/>
  <c r="AS174" i="5" s="1"/>
  <c r="AT174" i="5" s="1"/>
  <c r="AC318" i="5"/>
  <c r="AD318" i="5" s="1"/>
  <c r="AC119" i="5"/>
  <c r="AD119" i="5" s="1"/>
  <c r="AC332" i="5"/>
  <c r="AS332" i="5" s="1"/>
  <c r="AU332" i="5" s="1"/>
  <c r="AC251" i="5"/>
  <c r="AS251" i="5" s="1"/>
  <c r="AU251" i="5" s="1"/>
  <c r="R276" i="5"/>
  <c r="S276" i="5"/>
  <c r="R506" i="5"/>
  <c r="S506" i="5"/>
  <c r="R212" i="5"/>
  <c r="S212" i="5"/>
  <c r="S438" i="5"/>
  <c r="R438" i="5"/>
  <c r="AC294" i="5"/>
  <c r="AE294" i="5" s="1"/>
  <c r="AC543" i="5"/>
  <c r="AS543" i="5" s="1"/>
  <c r="AU543" i="5" s="1"/>
  <c r="R406" i="5"/>
  <c r="S112" i="5"/>
  <c r="S119" i="5"/>
  <c r="R295" i="5"/>
  <c r="S448" i="5"/>
  <c r="S155" i="5"/>
  <c r="S415" i="5"/>
  <c r="R338" i="5"/>
  <c r="S233" i="5"/>
  <c r="S78" i="5"/>
  <c r="R396" i="5"/>
  <c r="S379" i="5"/>
  <c r="R557" i="5"/>
  <c r="AC295" i="5"/>
  <c r="AD295" i="5" s="1"/>
  <c r="S377" i="5"/>
  <c r="R377" i="5"/>
  <c r="S385" i="5"/>
  <c r="R385" i="5"/>
  <c r="R122" i="5"/>
  <c r="S122" i="5"/>
  <c r="R510" i="5"/>
  <c r="S510" i="5"/>
  <c r="R80" i="5"/>
  <c r="S80" i="5"/>
  <c r="AC78" i="5"/>
  <c r="AS78" i="5" s="1"/>
  <c r="AT78" i="5" s="1"/>
  <c r="AC21" i="5"/>
  <c r="AS21" i="5" s="1"/>
  <c r="AU21" i="5" s="1"/>
  <c r="S543" i="5"/>
  <c r="R131" i="5"/>
  <c r="S275" i="5"/>
  <c r="R356" i="5"/>
  <c r="R308" i="5"/>
  <c r="R44" i="5"/>
  <c r="S550" i="5"/>
  <c r="AC130" i="5"/>
  <c r="AD130" i="5" s="1"/>
  <c r="AC356" i="5"/>
  <c r="AD356" i="5" s="1"/>
  <c r="AC359" i="5"/>
  <c r="AE359" i="5" s="1"/>
  <c r="AC558" i="5"/>
  <c r="AE558" i="5" s="1"/>
  <c r="S501" i="5"/>
  <c r="AC71" i="5"/>
  <c r="AS71" i="5" s="1"/>
  <c r="AU71" i="5" s="1"/>
  <c r="AC87" i="5"/>
  <c r="AE87" i="5" s="1"/>
  <c r="AC361" i="5"/>
  <c r="AE361" i="5" s="1"/>
  <c r="AC501" i="5"/>
  <c r="AS501" i="5" s="1"/>
  <c r="AU501" i="5" s="1"/>
  <c r="AC457" i="5"/>
  <c r="AD457" i="5" s="1"/>
  <c r="AC308" i="5"/>
  <c r="AS308" i="5" s="1"/>
  <c r="AT308" i="5" s="1"/>
  <c r="AC222" i="5"/>
  <c r="AE222" i="5" s="1"/>
  <c r="AC275" i="5"/>
  <c r="AS275" i="5" s="1"/>
  <c r="AT275" i="5" s="1"/>
  <c r="AC131" i="5"/>
  <c r="AE131" i="5" s="1"/>
  <c r="AC171" i="5"/>
  <c r="AS171" i="5" s="1"/>
  <c r="AU171" i="5" s="1"/>
  <c r="AC276" i="5"/>
  <c r="AE276" i="5" s="1"/>
  <c r="AC550" i="5"/>
  <c r="AS550" i="5" s="1"/>
  <c r="AU550" i="5" s="1"/>
  <c r="R299" i="5"/>
  <c r="S299" i="5"/>
  <c r="R53" i="5"/>
  <c r="S53" i="5"/>
  <c r="S521" i="5"/>
  <c r="R521" i="5"/>
  <c r="R173" i="5"/>
  <c r="S173" i="5"/>
  <c r="R186" i="5"/>
  <c r="S186" i="5"/>
  <c r="R284" i="5"/>
  <c r="S284" i="5"/>
  <c r="S48" i="5"/>
  <c r="R48" i="5"/>
  <c r="R531" i="5"/>
  <c r="S531" i="5"/>
  <c r="S217" i="5"/>
  <c r="R217" i="5"/>
  <c r="R331" i="5"/>
  <c r="S331" i="5"/>
  <c r="S24" i="5"/>
  <c r="R24" i="5"/>
  <c r="S38" i="5"/>
  <c r="R38" i="5"/>
  <c r="S526" i="5"/>
  <c r="R526" i="5"/>
  <c r="R328" i="5"/>
  <c r="S328" i="5"/>
  <c r="R361" i="5"/>
  <c r="S361" i="5"/>
  <c r="R384" i="5"/>
  <c r="S384" i="5"/>
  <c r="R167" i="5"/>
  <c r="S167" i="5"/>
  <c r="R220" i="5"/>
  <c r="S220" i="5"/>
  <c r="R49" i="5"/>
  <c r="S49" i="5"/>
  <c r="S340" i="5"/>
  <c r="R340" i="5"/>
  <c r="R185" i="5"/>
  <c r="S185" i="5"/>
  <c r="R430" i="5"/>
  <c r="S312" i="5"/>
  <c r="S398" i="5"/>
  <c r="R555" i="5"/>
  <c r="S302" i="5"/>
  <c r="S488" i="5"/>
  <c r="R209" i="5"/>
  <c r="R251" i="5"/>
  <c r="R320" i="5"/>
  <c r="R163" i="5"/>
  <c r="S558" i="5"/>
  <c r="R85" i="5"/>
  <c r="R493" i="5"/>
  <c r="R21" i="5"/>
  <c r="AC49" i="5"/>
  <c r="AS49" i="5" s="1"/>
  <c r="AT49" i="5" s="1"/>
  <c r="AC438" i="5"/>
  <c r="AD438" i="5" s="1"/>
  <c r="AC155" i="5"/>
  <c r="AD155" i="5" s="1"/>
  <c r="AC327" i="5"/>
  <c r="AD327" i="5" s="1"/>
  <c r="AC488" i="5"/>
  <c r="AE488" i="5" s="1"/>
  <c r="R476" i="5"/>
  <c r="R507" i="5"/>
  <c r="S327" i="5"/>
  <c r="R222" i="5"/>
  <c r="R318" i="5"/>
  <c r="S132" i="5"/>
  <c r="R87" i="5"/>
  <c r="R375" i="5"/>
  <c r="S315" i="5"/>
  <c r="S171" i="5"/>
  <c r="R12" i="5"/>
  <c r="S294" i="5"/>
  <c r="AC415" i="5"/>
  <c r="AE415" i="5" s="1"/>
  <c r="AC379" i="5"/>
  <c r="AE379" i="5" s="1"/>
  <c r="AC384" i="5"/>
  <c r="AS384" i="5" s="1"/>
  <c r="AT384" i="5" s="1"/>
  <c r="AC493" i="5"/>
  <c r="AS493" i="5" s="1"/>
  <c r="AT493" i="5" s="1"/>
  <c r="AC12" i="5"/>
  <c r="AD12" i="5" s="1"/>
  <c r="AC320" i="5"/>
  <c r="AE320" i="5" s="1"/>
  <c r="AC85" i="5"/>
  <c r="AE85" i="5" s="1"/>
  <c r="S31" i="5"/>
  <c r="AC398" i="5"/>
  <c r="AS398" i="5" s="1"/>
  <c r="AC555" i="5"/>
  <c r="AD555" i="5" s="1"/>
  <c r="AC167" i="5"/>
  <c r="AD167" i="5" s="1"/>
  <c r="AC223" i="5"/>
  <c r="AS223" i="5" s="1"/>
  <c r="AT223" i="5" s="1"/>
  <c r="AC237" i="5"/>
  <c r="AD237" i="5" s="1"/>
  <c r="AC163" i="5"/>
  <c r="AE163" i="5" s="1"/>
  <c r="AC406" i="5"/>
  <c r="AE406" i="5" s="1"/>
  <c r="AC557" i="5"/>
  <c r="AS557" i="5" s="1"/>
  <c r="AT557" i="5" s="1"/>
  <c r="AC298" i="5"/>
  <c r="AE298" i="5" s="1"/>
  <c r="AC511" i="5"/>
  <c r="AD511" i="5" s="1"/>
  <c r="AC135" i="5"/>
  <c r="AD135" i="5" s="1"/>
  <c r="AC385" i="5"/>
  <c r="AE385" i="5" s="1"/>
  <c r="AC122" i="5"/>
  <c r="AS122" i="5" s="1"/>
  <c r="AC184" i="5"/>
  <c r="AS184" i="5" s="1"/>
  <c r="AU184" i="5" s="1"/>
  <c r="AC41" i="5"/>
  <c r="AE41" i="5" s="1"/>
  <c r="AC312" i="5"/>
  <c r="AE312" i="5" s="1"/>
  <c r="AC377" i="5"/>
  <c r="AD377" i="5" s="1"/>
  <c r="AC510" i="5"/>
  <c r="AS510" i="5" s="1"/>
  <c r="AU510" i="5" s="1"/>
  <c r="AC353" i="5"/>
  <c r="AS353" i="5" s="1"/>
  <c r="AU353" i="5" s="1"/>
  <c r="AC348" i="5"/>
  <c r="AD348" i="5" s="1"/>
  <c r="AC231" i="5"/>
  <c r="AS231" i="5" s="1"/>
  <c r="AT231" i="5" s="1"/>
  <c r="AC535" i="5"/>
  <c r="AD535" i="5" s="1"/>
  <c r="AC182" i="5"/>
  <c r="AS182" i="5" s="1"/>
  <c r="AT182" i="5" s="1"/>
  <c r="AC542" i="5"/>
  <c r="AE542" i="5" s="1"/>
  <c r="AC338" i="5"/>
  <c r="AS338" i="5" s="1"/>
  <c r="AU338" i="5" s="1"/>
  <c r="AC31" i="5"/>
  <c r="AD31" i="5" s="1"/>
  <c r="AC390" i="5"/>
  <c r="AD390" i="5" s="1"/>
  <c r="AC401" i="5"/>
  <c r="AE401" i="5" s="1"/>
  <c r="AC82" i="5"/>
  <c r="AE82" i="5" s="1"/>
  <c r="AC63" i="5"/>
  <c r="AS63" i="5" s="1"/>
  <c r="AU63" i="5" s="1"/>
  <c r="AC161" i="5"/>
  <c r="AE161" i="5" s="1"/>
  <c r="AC507" i="5"/>
  <c r="AD507" i="5" s="1"/>
  <c r="AC91" i="5"/>
  <c r="AD91" i="5" s="1"/>
  <c r="AC402" i="5"/>
  <c r="AE402" i="5" s="1"/>
  <c r="AC479" i="5"/>
  <c r="AS479" i="5" s="1"/>
  <c r="AT479" i="5" s="1"/>
  <c r="AC304" i="5"/>
  <c r="AE304" i="5" s="1"/>
  <c r="AC225" i="5"/>
  <c r="AD225" i="5" s="1"/>
  <c r="AC40" i="5"/>
  <c r="AE40" i="5" s="1"/>
  <c r="AC185" i="5"/>
  <c r="AD185" i="5" s="1"/>
  <c r="AC24" i="5"/>
  <c r="AD24" i="5" s="1"/>
  <c r="AC140" i="5"/>
  <c r="AD140" i="5" s="1"/>
  <c r="AC396" i="5"/>
  <c r="AE396" i="5" s="1"/>
  <c r="AC132" i="5"/>
  <c r="AE132" i="5" s="1"/>
  <c r="AC521" i="5"/>
  <c r="AE521" i="5" s="1"/>
  <c r="AC299" i="5"/>
  <c r="AS299" i="5" s="1"/>
  <c r="AT299" i="5" s="1"/>
  <c r="AC414" i="5"/>
  <c r="AD414" i="5" s="1"/>
  <c r="AC427" i="5"/>
  <c r="AE427" i="5" s="1"/>
  <c r="AC345" i="5"/>
  <c r="AD345" i="5" s="1"/>
  <c r="AC506" i="5"/>
  <c r="AS506" i="5" s="1"/>
  <c r="AU506" i="5" s="1"/>
  <c r="AC92" i="5"/>
  <c r="AE92" i="5" s="1"/>
  <c r="AC302" i="5"/>
  <c r="AD302" i="5" s="1"/>
  <c r="AC343" i="5"/>
  <c r="AD343" i="5" s="1"/>
  <c r="AC211" i="5"/>
  <c r="AD211" i="5" s="1"/>
  <c r="AC233" i="5"/>
  <c r="AE233" i="5" s="1"/>
  <c r="AC430" i="5"/>
  <c r="AS430" i="5" s="1"/>
  <c r="AU430" i="5" s="1"/>
  <c r="S424" i="5"/>
  <c r="R424" i="5"/>
  <c r="R43" i="5"/>
  <c r="S43" i="5"/>
  <c r="AC101" i="5"/>
  <c r="AE101" i="5" s="1"/>
  <c r="AC517" i="5"/>
  <c r="AS517" i="5" s="1"/>
  <c r="AU517" i="5" s="1"/>
  <c r="R505" i="5"/>
  <c r="S517" i="5"/>
  <c r="AC551" i="5"/>
  <c r="AD551" i="5" s="1"/>
  <c r="AC20" i="5"/>
  <c r="AD20" i="5" s="1"/>
  <c r="AC159" i="5"/>
  <c r="AD159" i="5" s="1"/>
  <c r="S199" i="5"/>
  <c r="S537" i="5"/>
  <c r="R159" i="5"/>
  <c r="S559" i="5"/>
  <c r="AC559" i="5"/>
  <c r="AD559" i="5" s="1"/>
  <c r="R425" i="5"/>
  <c r="S524" i="5"/>
  <c r="AC524" i="5"/>
  <c r="AD524" i="5" s="1"/>
  <c r="AC505" i="5"/>
  <c r="AD505" i="5" s="1"/>
  <c r="AC55" i="5"/>
  <c r="AD55" i="5" s="1"/>
  <c r="S551" i="5"/>
  <c r="AC538" i="5"/>
  <c r="AS538" i="5" s="1"/>
  <c r="AU538" i="5" s="1"/>
  <c r="R46" i="5"/>
  <c r="S538" i="5"/>
  <c r="S55" i="5"/>
  <c r="S419" i="5"/>
  <c r="AC46" i="5"/>
  <c r="AS46" i="5" s="1"/>
  <c r="AT46" i="5" s="1"/>
  <c r="AC419" i="5"/>
  <c r="AD419" i="5" s="1"/>
  <c r="S332" i="5"/>
  <c r="R359" i="5"/>
  <c r="R291" i="5"/>
  <c r="R376" i="5"/>
  <c r="AC344" i="5"/>
  <c r="AS344" i="5" s="1"/>
  <c r="AU344" i="5" s="1"/>
  <c r="S344" i="5"/>
  <c r="R164" i="5"/>
  <c r="AC164" i="5"/>
  <c r="AD164" i="5" s="1"/>
  <c r="AC134" i="5"/>
  <c r="AS134" i="5" s="1"/>
  <c r="AU134" i="5" s="1"/>
  <c r="AC218" i="5"/>
  <c r="AS218" i="5" s="1"/>
  <c r="AT218" i="5" s="1"/>
  <c r="AC197" i="5"/>
  <c r="AD197" i="5" s="1"/>
  <c r="AC249" i="5"/>
  <c r="AS249" i="5" s="1"/>
  <c r="AT249" i="5" s="1"/>
  <c r="AC376" i="5"/>
  <c r="AD376" i="5" s="1"/>
  <c r="S249" i="5"/>
  <c r="R134" i="5"/>
  <c r="R56" i="5"/>
  <c r="S88" i="5"/>
  <c r="S218" i="5"/>
  <c r="S191" i="5"/>
  <c r="AC537" i="5"/>
  <c r="AD537" i="5" s="1"/>
  <c r="AC291" i="5"/>
  <c r="AE291" i="5" s="1"/>
  <c r="S539" i="5"/>
  <c r="S158" i="5"/>
  <c r="R480" i="5"/>
  <c r="AC301" i="5"/>
  <c r="AS301" i="5" s="1"/>
  <c r="AT301" i="5" s="1"/>
  <c r="AC158" i="5"/>
  <c r="AE158" i="5" s="1"/>
  <c r="AC468" i="5"/>
  <c r="AS468" i="5" s="1"/>
  <c r="AT468" i="5" s="1"/>
  <c r="AC56" i="5"/>
  <c r="AE56" i="5" s="1"/>
  <c r="R224" i="5"/>
  <c r="AC224" i="5"/>
  <c r="AD224" i="5" s="1"/>
  <c r="AC409" i="5"/>
  <c r="AE409" i="5" s="1"/>
  <c r="R409" i="5"/>
  <c r="K113" i="2"/>
  <c r="R197" i="5"/>
  <c r="R301" i="5"/>
  <c r="R364" i="5"/>
  <c r="B99" i="2"/>
  <c r="B105" i="2" s="1"/>
  <c r="B107" i="2" s="1"/>
  <c r="H33" i="1" s="1"/>
  <c r="H31" i="1"/>
  <c r="Z17" i="4"/>
  <c r="AA17" i="4" s="1"/>
  <c r="Z130" i="4"/>
  <c r="Z154" i="4"/>
  <c r="Z152" i="4"/>
  <c r="Z120" i="4"/>
  <c r="AA120" i="4" s="1"/>
  <c r="Z155" i="4"/>
  <c r="AA155" i="4" s="1"/>
  <c r="Z46" i="4"/>
  <c r="Z56" i="4"/>
  <c r="Z54" i="4"/>
  <c r="Z139" i="4"/>
  <c r="AA139" i="4" s="1"/>
  <c r="Z16" i="4"/>
  <c r="AA16" i="4" s="1"/>
  <c r="Z62" i="4"/>
  <c r="Z68" i="4"/>
  <c r="AA68" i="4" s="1"/>
  <c r="Z89" i="4"/>
  <c r="AA89" i="4" s="1"/>
  <c r="Z72" i="4"/>
  <c r="AA72" i="4" s="1"/>
  <c r="Z133" i="4"/>
  <c r="Z135" i="4"/>
  <c r="AA135" i="4" s="1"/>
  <c r="Z34" i="4"/>
  <c r="AA34" i="4" s="1"/>
  <c r="Z37" i="4"/>
  <c r="Z150" i="4"/>
  <c r="Z76" i="4"/>
  <c r="AA76" i="4" s="1"/>
  <c r="Z69" i="4"/>
  <c r="Z116" i="4"/>
  <c r="Z10" i="4"/>
  <c r="AA10" i="4" s="1"/>
  <c r="Z41" i="4"/>
  <c r="Z107" i="4"/>
  <c r="AA107" i="4" s="1"/>
  <c r="Z109" i="4"/>
  <c r="AA109" i="4" s="1"/>
  <c r="Z91" i="4"/>
  <c r="Z142" i="4"/>
  <c r="Z87" i="4"/>
  <c r="AA87" i="4" s="1"/>
  <c r="Z29" i="4"/>
  <c r="AA29" i="4" s="1"/>
  <c r="Z95" i="4"/>
  <c r="AA95" i="4" s="1"/>
  <c r="Z99" i="4"/>
  <c r="AA99" i="4" s="1"/>
  <c r="Z55" i="4"/>
  <c r="AA55" i="4" s="1"/>
  <c r="Z57" i="4"/>
  <c r="AA57" i="4" s="1"/>
  <c r="Z25" i="4"/>
  <c r="AA25" i="4" s="1"/>
  <c r="Z105" i="4"/>
  <c r="AA105" i="4" s="1"/>
  <c r="Z104" i="4"/>
  <c r="Z83" i="4"/>
  <c r="AA83" i="4" s="1"/>
  <c r="Z58" i="4"/>
  <c r="AA58" i="4" s="1"/>
  <c r="Z31" i="4"/>
  <c r="AA31" i="4" s="1"/>
  <c r="Z45" i="4"/>
  <c r="AA45" i="4" s="1"/>
  <c r="Z75" i="4"/>
  <c r="Z39" i="4"/>
  <c r="Z79" i="4"/>
  <c r="Z49" i="4"/>
  <c r="Z33" i="4"/>
  <c r="AA33" i="4" s="1"/>
  <c r="AU447" i="5"/>
  <c r="AD447" i="5"/>
  <c r="AE447" i="5"/>
  <c r="AE497" i="5"/>
  <c r="AD44" i="5"/>
  <c r="AS44" i="5"/>
  <c r="AT44" i="5" s="1"/>
  <c r="AE323" i="5"/>
  <c r="AD508" i="5"/>
  <c r="AS509" i="5"/>
  <c r="AT509" i="5" s="1"/>
  <c r="AE509" i="5"/>
  <c r="AS526" i="5"/>
  <c r="AU526" i="5" s="1"/>
  <c r="AE498" i="5"/>
  <c r="AS186" i="5"/>
  <c r="AT186" i="5" s="1"/>
  <c r="AT152" i="5"/>
  <c r="AT498" i="5"/>
  <c r="AD186" i="5"/>
  <c r="AS375" i="5"/>
  <c r="AU375" i="5" s="1"/>
  <c r="AE152" i="5"/>
  <c r="AE289" i="5"/>
  <c r="AD150" i="5"/>
  <c r="AD152" i="5"/>
  <c r="AD498" i="5"/>
  <c r="AU512" i="5"/>
  <c r="AD512" i="5"/>
  <c r="AS148" i="5"/>
  <c r="AT148" i="5" s="1"/>
  <c r="AU412" i="5"/>
  <c r="AC9" i="5"/>
  <c r="AD9" i="5" s="1"/>
  <c r="AU146" i="5"/>
  <c r="AS497" i="5"/>
  <c r="AU497" i="5" s="1"/>
  <c r="AE512" i="5"/>
  <c r="AE508" i="5"/>
  <c r="AE412" i="5"/>
  <c r="AD412" i="5"/>
  <c r="AS323" i="5"/>
  <c r="AU323" i="5" s="1"/>
  <c r="AD148" i="5"/>
  <c r="AN9" i="5"/>
  <c r="AO9" i="5"/>
  <c r="AS150" i="5"/>
  <c r="AU150" i="5" s="1"/>
  <c r="AS289" i="5"/>
  <c r="AU289" i="5" s="1"/>
  <c r="X9" i="5"/>
  <c r="Y9" i="5"/>
  <c r="AD471" i="5"/>
  <c r="AE471" i="5"/>
  <c r="R9" i="5"/>
  <c r="S9" i="5"/>
  <c r="AI9" i="5"/>
  <c r="AH9" i="5"/>
  <c r="AP9" i="5"/>
  <c r="AU471" i="5"/>
  <c r="AB9" i="5"/>
  <c r="AA9" i="5"/>
  <c r="AK9" i="5"/>
  <c r="AL9" i="5"/>
  <c r="U9" i="5"/>
  <c r="V9" i="5"/>
  <c r="AS64" i="5"/>
  <c r="AU64" i="5" s="1"/>
  <c r="AU372" i="5"/>
  <c r="AE142" i="5"/>
  <c r="AD146" i="5"/>
  <c r="AE146" i="5"/>
  <c r="AD178" i="5"/>
  <c r="AT144" i="5"/>
  <c r="AD64" i="5"/>
  <c r="AE247" i="5"/>
  <c r="AS534" i="5"/>
  <c r="AT534" i="5" s="1"/>
  <c r="AD142" i="5"/>
  <c r="AE372" i="5"/>
  <c r="AE144" i="5"/>
  <c r="AD247" i="5"/>
  <c r="AD108" i="5"/>
  <c r="AS523" i="5"/>
  <c r="AU523" i="5" s="1"/>
  <c r="AE36" i="5"/>
  <c r="AE108" i="5"/>
  <c r="AT260" i="5"/>
  <c r="AE178" i="5"/>
  <c r="AD350" i="5"/>
  <c r="AS399" i="5"/>
  <c r="AU399" i="5" s="1"/>
  <c r="AE72" i="5"/>
  <c r="AS350" i="5"/>
  <c r="AT350" i="5" s="1"/>
  <c r="AE534" i="5"/>
  <c r="AS125" i="5"/>
  <c r="AU125" i="5" s="1"/>
  <c r="AD372" i="5"/>
  <c r="AD526" i="5"/>
  <c r="AS72" i="5"/>
  <c r="AD389" i="5"/>
  <c r="AS265" i="5"/>
  <c r="AT265" i="5" s="1"/>
  <c r="AD126" i="5"/>
  <c r="AD144" i="5"/>
  <c r="AS445" i="5"/>
  <c r="AT445" i="5" s="1"/>
  <c r="AS466" i="5"/>
  <c r="AT466" i="5" s="1"/>
  <c r="AT454" i="5"/>
  <c r="AE389" i="5"/>
  <c r="AD297" i="5"/>
  <c r="AD454" i="5"/>
  <c r="AD445" i="5"/>
  <c r="AE454" i="5"/>
  <c r="AD523" i="5"/>
  <c r="AD59" i="5"/>
  <c r="AE466" i="5"/>
  <c r="AS37" i="5"/>
  <c r="AU37" i="5" s="1"/>
  <c r="AS315" i="5"/>
  <c r="AU315" i="5" s="1"/>
  <c r="AD315" i="5"/>
  <c r="AS362" i="5"/>
  <c r="AT362" i="5" s="1"/>
  <c r="AE362" i="5"/>
  <c r="AD309" i="5"/>
  <c r="AE309" i="5"/>
  <c r="AS309" i="5"/>
  <c r="AT309" i="5" s="1"/>
  <c r="AS458" i="5"/>
  <c r="AU458" i="5" s="1"/>
  <c r="AD458" i="5"/>
  <c r="AE77" i="5"/>
  <c r="AS59" i="5"/>
  <c r="AT59" i="5" s="1"/>
  <c r="AD539" i="5"/>
  <c r="AS539" i="5"/>
  <c r="AE539" i="5"/>
  <c r="AE214" i="5"/>
  <c r="AE121" i="5"/>
  <c r="AS74" i="5"/>
  <c r="AT74" i="5" s="1"/>
  <c r="AE260" i="5"/>
  <c r="AD399" i="5"/>
  <c r="AS513" i="5"/>
  <c r="AU513" i="5" s="1"/>
  <c r="AE265" i="5"/>
  <c r="AE187" i="5"/>
  <c r="AD277" i="5"/>
  <c r="AD260" i="5"/>
  <c r="AS453" i="5"/>
  <c r="AT453" i="5" s="1"/>
  <c r="AS121" i="5"/>
  <c r="AT121" i="5" s="1"/>
  <c r="AD453" i="5"/>
  <c r="AS277" i="5"/>
  <c r="AT277" i="5" s="1"/>
  <c r="AD37" i="5"/>
  <c r="AU528" i="5"/>
  <c r="AE322" i="5"/>
  <c r="AS322" i="5"/>
  <c r="AT322" i="5" s="1"/>
  <c r="AD528" i="5"/>
  <c r="AE528" i="5"/>
  <c r="AE245" i="5"/>
  <c r="AD245" i="5"/>
  <c r="AU451" i="5"/>
  <c r="AS297" i="5"/>
  <c r="AT297" i="5" s="1"/>
  <c r="AU214" i="5"/>
  <c r="AD513" i="5"/>
  <c r="AD362" i="5"/>
  <c r="AD214" i="5"/>
  <c r="AS245" i="5"/>
  <c r="AU245" i="5" s="1"/>
  <c r="AE126" i="5"/>
  <c r="AS36" i="5"/>
  <c r="AT36" i="5" s="1"/>
  <c r="AE316" i="5"/>
  <c r="AS187" i="5"/>
  <c r="AT187" i="5" s="1"/>
  <c r="AD125" i="5"/>
  <c r="AE74" i="5"/>
  <c r="AE124" i="5"/>
  <c r="AD80" i="5"/>
  <c r="AS124" i="5"/>
  <c r="AT124" i="5" s="1"/>
  <c r="AS80" i="5"/>
  <c r="AE451" i="5"/>
  <c r="AE404" i="5"/>
  <c r="AD451" i="5"/>
  <c r="AS316" i="5"/>
  <c r="AT316" i="5" s="1"/>
  <c r="AE476" i="5"/>
  <c r="AS476" i="5"/>
  <c r="AS404" i="5"/>
  <c r="AT404" i="5" s="1"/>
  <c r="AU389" i="5"/>
  <c r="AT389" i="5"/>
  <c r="AT126" i="5"/>
  <c r="AU126" i="5"/>
  <c r="AU142" i="5"/>
  <c r="AT142" i="5"/>
  <c r="AT247" i="5"/>
  <c r="AU247" i="5"/>
  <c r="AU508" i="5"/>
  <c r="AT508" i="5"/>
  <c r="AT8" i="5" l="1"/>
  <c r="AD8" i="5"/>
  <c r="B255" i="2" s="1"/>
  <c r="B256" i="2" s="1"/>
  <c r="B257" i="2" s="1"/>
  <c r="F86" i="1" s="1"/>
  <c r="AE8" i="5"/>
  <c r="AT108" i="5"/>
  <c r="AT178" i="5"/>
  <c r="AD84" i="5"/>
  <c r="AS487" i="5"/>
  <c r="AT487" i="5" s="1"/>
  <c r="AE487" i="5"/>
  <c r="AS84" i="5"/>
  <c r="AT84" i="5" s="1"/>
  <c r="AV129" i="10"/>
  <c r="AX129" i="10" s="1"/>
  <c r="AW55" i="10"/>
  <c r="AE375" i="5"/>
  <c r="AS58" i="5"/>
  <c r="AT58" i="5" s="1"/>
  <c r="AE278" i="10"/>
  <c r="AV278" i="10"/>
  <c r="AW278" i="10" s="1"/>
  <c r="AS112" i="5"/>
  <c r="AT112" i="5" s="1"/>
  <c r="AS34" i="5"/>
  <c r="AT34" i="5" s="1"/>
  <c r="AV279" i="10"/>
  <c r="AW279" i="10" s="1"/>
  <c r="AD58" i="5"/>
  <c r="AE34" i="5"/>
  <c r="AD112" i="5"/>
  <c r="AS77" i="5"/>
  <c r="AT77" i="5" s="1"/>
  <c r="AV440" i="10"/>
  <c r="AW440" i="10" s="1"/>
  <c r="AD440" i="10"/>
  <c r="AE200" i="10"/>
  <c r="AD211" i="10"/>
  <c r="AD242" i="10"/>
  <c r="AV53" i="10"/>
  <c r="AX53" i="10" s="1"/>
  <c r="AT258" i="5"/>
  <c r="AD53" i="10"/>
  <c r="AT151" i="5"/>
  <c r="AD258" i="5"/>
  <c r="AD250" i="10"/>
  <c r="AV250" i="10"/>
  <c r="AX250" i="10" s="1"/>
  <c r="AD151" i="5"/>
  <c r="AE151" i="5"/>
  <c r="AE258" i="5"/>
  <c r="AS556" i="5"/>
  <c r="AT556" i="5" s="1"/>
  <c r="AV160" i="10"/>
  <c r="AW160" i="10" s="1"/>
  <c r="AE498" i="10"/>
  <c r="AV200" i="10"/>
  <c r="AW200" i="10" s="1"/>
  <c r="AE211" i="10"/>
  <c r="AD45" i="5"/>
  <c r="AS45" i="5"/>
  <c r="AT45" i="5" s="1"/>
  <c r="AV242" i="10"/>
  <c r="AX242" i="10" s="1"/>
  <c r="AV69" i="10"/>
  <c r="AW69" i="10" s="1"/>
  <c r="AD498" i="10"/>
  <c r="AD556" i="5"/>
  <c r="AE69" i="10"/>
  <c r="AE160" i="10"/>
  <c r="AO153" i="4"/>
  <c r="AN153" i="4" s="1"/>
  <c r="AV164" i="10"/>
  <c r="AW164" i="10" s="1"/>
  <c r="AD548" i="10"/>
  <c r="AV548" i="10"/>
  <c r="AW548" i="10" s="1"/>
  <c r="AV534" i="10"/>
  <c r="AW534" i="10" s="1"/>
  <c r="AE248" i="10"/>
  <c r="AV465" i="10"/>
  <c r="AX465" i="10" s="1"/>
  <c r="AD534" i="10"/>
  <c r="BN64" i="4"/>
  <c r="AI64" i="4"/>
  <c r="AI156" i="4"/>
  <c r="AI143" i="4"/>
  <c r="AI145" i="4"/>
  <c r="BN52" i="4"/>
  <c r="AI52" i="4"/>
  <c r="AI126" i="4"/>
  <c r="AI91" i="4"/>
  <c r="BN46" i="4"/>
  <c r="AI46" i="4"/>
  <c r="AI81" i="4"/>
  <c r="BN26" i="4"/>
  <c r="AI26" i="4"/>
  <c r="AI124" i="4"/>
  <c r="AI149" i="4"/>
  <c r="AI116" i="4"/>
  <c r="AI123" i="4"/>
  <c r="BN69" i="4"/>
  <c r="AI69" i="4"/>
  <c r="BN41" i="4"/>
  <c r="AI41" i="4"/>
  <c r="AI142" i="4"/>
  <c r="AI150" i="4"/>
  <c r="AI106" i="4"/>
  <c r="BN21" i="4"/>
  <c r="AI21" i="4"/>
  <c r="BN79" i="4"/>
  <c r="AI79" i="4"/>
  <c r="BN48" i="4"/>
  <c r="AI48" i="4"/>
  <c r="AI117" i="4"/>
  <c r="AI104" i="4"/>
  <c r="BN65" i="4"/>
  <c r="AI65" i="4"/>
  <c r="AI130" i="4"/>
  <c r="BN39" i="4"/>
  <c r="AI39" i="4"/>
  <c r="AI97" i="4"/>
  <c r="AI140" i="4"/>
  <c r="AI136" i="4"/>
  <c r="BN54" i="4"/>
  <c r="AI54" i="4"/>
  <c r="BN19" i="4"/>
  <c r="AI19" i="4"/>
  <c r="AI146" i="4"/>
  <c r="AI154" i="4"/>
  <c r="BN47" i="4"/>
  <c r="AI47" i="4"/>
  <c r="AI110" i="4"/>
  <c r="AI118" i="4"/>
  <c r="AI157" i="4"/>
  <c r="BN32" i="4"/>
  <c r="AI32" i="4"/>
  <c r="BN49" i="4"/>
  <c r="AI49" i="4"/>
  <c r="BN24" i="4"/>
  <c r="AI24" i="4"/>
  <c r="AI113" i="4"/>
  <c r="AI137" i="4"/>
  <c r="AI82" i="4"/>
  <c r="AI148" i="4"/>
  <c r="AI90" i="4"/>
  <c r="AI108" i="4"/>
  <c r="BN75" i="4"/>
  <c r="AI75" i="4"/>
  <c r="AI94" i="4"/>
  <c r="BN56" i="4"/>
  <c r="AI56" i="4"/>
  <c r="AI111" i="4"/>
  <c r="BI133" i="4"/>
  <c r="AI133" i="4"/>
  <c r="BN67" i="4"/>
  <c r="AI67" i="4"/>
  <c r="AI112" i="4"/>
  <c r="BN62" i="4"/>
  <c r="AI62" i="4"/>
  <c r="AA62" i="4"/>
  <c r="AB62" i="4" s="1"/>
  <c r="BU62" i="4" s="1"/>
  <c r="AP62" i="4"/>
  <c r="AO62" i="4" s="1"/>
  <c r="AN62" i="4" s="1"/>
  <c r="BI62" i="4"/>
  <c r="AP112" i="4"/>
  <c r="AO112" i="4" s="1"/>
  <c r="AA112" i="4"/>
  <c r="AB112" i="4" s="1"/>
  <c r="BU112" i="4" s="1"/>
  <c r="AP67" i="4"/>
  <c r="AO67" i="4" s="1"/>
  <c r="BI8" i="4"/>
  <c r="BI132" i="4"/>
  <c r="BI120" i="4"/>
  <c r="BI30" i="4"/>
  <c r="AA133" i="4"/>
  <c r="AB133" i="4" s="1"/>
  <c r="BU133" i="4" s="1"/>
  <c r="BI119" i="4"/>
  <c r="BI80" i="4"/>
  <c r="AA67" i="4"/>
  <c r="AB67" i="4" s="1"/>
  <c r="BU67" i="4" s="1"/>
  <c r="BI42" i="4"/>
  <c r="BI33" i="4"/>
  <c r="BI38" i="4"/>
  <c r="BI107" i="4"/>
  <c r="AP102" i="4"/>
  <c r="AO102" i="4" s="1"/>
  <c r="AN102" i="4" s="1"/>
  <c r="AP133" i="4"/>
  <c r="AP122" i="4"/>
  <c r="AP59" i="4"/>
  <c r="AO59" i="4" s="1"/>
  <c r="AN59" i="4" s="1"/>
  <c r="BN59" i="4"/>
  <c r="AP37" i="4"/>
  <c r="AO37" i="4" s="1"/>
  <c r="AQ37" i="4" s="1"/>
  <c r="AR37" i="4" s="1"/>
  <c r="BN37" i="4"/>
  <c r="BI99" i="4"/>
  <c r="AA37" i="4"/>
  <c r="AB37" i="4" s="1"/>
  <c r="BI67" i="4"/>
  <c r="AA39" i="4"/>
  <c r="BI153" i="4"/>
  <c r="AA59" i="4"/>
  <c r="BI93" i="4"/>
  <c r="BI13" i="4"/>
  <c r="AA41" i="4"/>
  <c r="AB41" i="4" s="1"/>
  <c r="BI43" i="4"/>
  <c r="BI73" i="4"/>
  <c r="BI44" i="4"/>
  <c r="BI138" i="4"/>
  <c r="AA152" i="4"/>
  <c r="AB152" i="4" s="1"/>
  <c r="BU152" i="4" s="1"/>
  <c r="AP152" i="4"/>
  <c r="BI144" i="4"/>
  <c r="AQ107" i="4"/>
  <c r="AR107" i="4" s="1"/>
  <c r="AS107" i="4" s="1"/>
  <c r="AP56" i="4"/>
  <c r="AO56" i="4" s="1"/>
  <c r="AQ56" i="4" s="1"/>
  <c r="AR56" i="4" s="1"/>
  <c r="AP97" i="4"/>
  <c r="AO97" i="4" s="1"/>
  <c r="BI70" i="4"/>
  <c r="BI29" i="4"/>
  <c r="AA154" i="4"/>
  <c r="AB154" i="4" s="1"/>
  <c r="BU154" i="4" s="1"/>
  <c r="AP41" i="4"/>
  <c r="AO41" i="4" s="1"/>
  <c r="AP69" i="4"/>
  <c r="AO69" i="4" s="1"/>
  <c r="BI131" i="4"/>
  <c r="BI125" i="4"/>
  <c r="BI40" i="4"/>
  <c r="BI88" i="4"/>
  <c r="BI103" i="4"/>
  <c r="AP150" i="4"/>
  <c r="AP154" i="4"/>
  <c r="AP39" i="4"/>
  <c r="AO39" i="4" s="1"/>
  <c r="AP126" i="4"/>
  <c r="AP91" i="4"/>
  <c r="AO91" i="4" s="1"/>
  <c r="AN91" i="4" s="1"/>
  <c r="AA126" i="4"/>
  <c r="AA150" i="4"/>
  <c r="AB150" i="4" s="1"/>
  <c r="BU150" i="4" s="1"/>
  <c r="AA56" i="4"/>
  <c r="AB56" i="4" s="1"/>
  <c r="AA97" i="4"/>
  <c r="AB97" i="4" s="1"/>
  <c r="BU97" i="4" s="1"/>
  <c r="AA111" i="4"/>
  <c r="AP111" i="4"/>
  <c r="AO111" i="4" s="1"/>
  <c r="AQ111" i="4" s="1"/>
  <c r="AR111" i="4" s="1"/>
  <c r="BI14" i="4"/>
  <c r="BI66" i="4"/>
  <c r="BI89" i="4"/>
  <c r="BI76" i="4"/>
  <c r="BI121" i="4"/>
  <c r="BI83" i="4"/>
  <c r="BI22" i="4"/>
  <c r="BI134" i="4"/>
  <c r="BI17" i="4"/>
  <c r="BI155" i="4"/>
  <c r="BI87" i="4"/>
  <c r="BI20" i="4"/>
  <c r="AO61" i="4"/>
  <c r="AO23" i="4"/>
  <c r="AO42" i="4"/>
  <c r="AQ42" i="4" s="1"/>
  <c r="AR42" i="4" s="1"/>
  <c r="BI52" i="4"/>
  <c r="BI108" i="4"/>
  <c r="AA142" i="4"/>
  <c r="AB142" i="4" s="1"/>
  <c r="BU142" i="4" s="1"/>
  <c r="AA91" i="4"/>
  <c r="AB91" i="4" s="1"/>
  <c r="BI81" i="4"/>
  <c r="BI24" i="4"/>
  <c r="BI113" i="4"/>
  <c r="AO8" i="4"/>
  <c r="AO35" i="4"/>
  <c r="AQ35" i="4" s="1"/>
  <c r="AR35" i="4" s="1"/>
  <c r="AO139" i="4"/>
  <c r="AN139" i="4" s="1"/>
  <c r="AO73" i="4"/>
  <c r="AO30" i="4"/>
  <c r="AO66" i="4"/>
  <c r="AQ66" i="4" s="1"/>
  <c r="AR66" i="4" s="1"/>
  <c r="AO38" i="4"/>
  <c r="AO119" i="4"/>
  <c r="AO125" i="4"/>
  <c r="AQ125" i="4" s="1"/>
  <c r="AR125" i="4" s="1"/>
  <c r="AO131" i="4"/>
  <c r="AO12" i="4"/>
  <c r="AO103" i="4"/>
  <c r="AO115" i="4"/>
  <c r="AQ115" i="4" s="1"/>
  <c r="AR115" i="4" s="1"/>
  <c r="AO70" i="4"/>
  <c r="BI75" i="4"/>
  <c r="BI109" i="4"/>
  <c r="BI141" i="4"/>
  <c r="BI15" i="4"/>
  <c r="BI105" i="4"/>
  <c r="BI36" i="4"/>
  <c r="BI27" i="4"/>
  <c r="BI53" i="4"/>
  <c r="BI106" i="4"/>
  <c r="BI110" i="4"/>
  <c r="BI65" i="4"/>
  <c r="AO121" i="4"/>
  <c r="AO147" i="4"/>
  <c r="AQ147" i="4" s="1"/>
  <c r="AR147" i="4" s="1"/>
  <c r="AO16" i="4"/>
  <c r="AO9" i="4"/>
  <c r="AN9" i="4" s="1"/>
  <c r="AO138" i="4"/>
  <c r="AQ138" i="4" s="1"/>
  <c r="AR138" i="4" s="1"/>
  <c r="AO50" i="4"/>
  <c r="AO127" i="4"/>
  <c r="AO105" i="4"/>
  <c r="AQ105" i="4" s="1"/>
  <c r="AR105" i="4" s="1"/>
  <c r="AO25" i="4"/>
  <c r="AO135" i="4"/>
  <c r="AN135" i="4" s="1"/>
  <c r="AO72" i="4"/>
  <c r="AN72" i="4" s="1"/>
  <c r="AO15" i="4"/>
  <c r="AO34" i="4"/>
  <c r="AO109" i="4"/>
  <c r="AO77" i="4"/>
  <c r="AQ77" i="4" s="1"/>
  <c r="AR77" i="4" s="1"/>
  <c r="AP142" i="4"/>
  <c r="BI39" i="4"/>
  <c r="AO20" i="4"/>
  <c r="AQ20" i="4" s="1"/>
  <c r="AR20" i="4" s="1"/>
  <c r="AO33" i="4"/>
  <c r="AQ33" i="4" s="1"/>
  <c r="AR33" i="4" s="1"/>
  <c r="AO85" i="4"/>
  <c r="AQ85" i="4" s="1"/>
  <c r="AR85" i="4" s="1"/>
  <c r="AO88" i="4"/>
  <c r="BI94" i="4"/>
  <c r="BI102" i="4"/>
  <c r="BI47" i="4"/>
  <c r="BI46" i="4"/>
  <c r="BI146" i="4"/>
  <c r="AO101" i="4"/>
  <c r="AN101" i="4" s="1"/>
  <c r="AO43" i="4"/>
  <c r="AO51" i="4"/>
  <c r="AO29" i="4"/>
  <c r="AO27" i="4"/>
  <c r="AO144" i="4"/>
  <c r="AO31" i="4"/>
  <c r="AO76" i="4"/>
  <c r="AO89" i="4"/>
  <c r="AO84" i="4"/>
  <c r="AN84" i="4" s="1"/>
  <c r="AO11" i="4"/>
  <c r="AQ11" i="4" s="1"/>
  <c r="AR11" i="4" s="1"/>
  <c r="AO93" i="4"/>
  <c r="AO17" i="4"/>
  <c r="AO155" i="4"/>
  <c r="AN155" i="4" s="1"/>
  <c r="AO57" i="4"/>
  <c r="AO13" i="4"/>
  <c r="AQ13" i="4" s="1"/>
  <c r="AR13" i="4" s="1"/>
  <c r="AO141" i="4"/>
  <c r="AO45" i="4"/>
  <c r="AQ45" i="4" s="1"/>
  <c r="AR45" i="4" s="1"/>
  <c r="AO151" i="4"/>
  <c r="BI116" i="4"/>
  <c r="BI56" i="4"/>
  <c r="BI79" i="4"/>
  <c r="BI118" i="4"/>
  <c r="AO58" i="4"/>
  <c r="AO129" i="4"/>
  <c r="AQ129" i="4" s="1"/>
  <c r="AR129" i="4" s="1"/>
  <c r="AO53" i="4"/>
  <c r="AO80" i="4"/>
  <c r="AO55" i="4"/>
  <c r="AN55" i="4" s="1"/>
  <c r="AO63" i="4"/>
  <c r="AA69" i="4"/>
  <c r="AB69" i="4" s="1"/>
  <c r="BU69" i="4" s="1"/>
  <c r="AA140" i="4"/>
  <c r="AA94" i="4"/>
  <c r="AP140" i="4"/>
  <c r="AP94" i="4"/>
  <c r="AO94" i="4" s="1"/>
  <c r="AA122" i="4"/>
  <c r="AP90" i="4"/>
  <c r="AO90" i="4" s="1"/>
  <c r="AA102" i="4"/>
  <c r="AA130" i="4"/>
  <c r="AB130" i="4" s="1"/>
  <c r="AA108" i="4"/>
  <c r="AB108" i="4" s="1"/>
  <c r="BU108" i="4" s="1"/>
  <c r="AP75" i="4"/>
  <c r="AO75" i="4" s="1"/>
  <c r="AP130" i="4"/>
  <c r="AP108" i="4"/>
  <c r="AA75" i="4"/>
  <c r="AB75" i="4" s="1"/>
  <c r="BU75" i="4" s="1"/>
  <c r="AP52" i="4"/>
  <c r="AO52" i="4" s="1"/>
  <c r="AA116" i="4"/>
  <c r="AB116" i="4" s="1"/>
  <c r="AA90" i="4"/>
  <c r="AB90" i="4" s="1"/>
  <c r="BU90" i="4" s="1"/>
  <c r="AA123" i="4"/>
  <c r="AB123" i="4" s="1"/>
  <c r="BU123" i="4" s="1"/>
  <c r="AB38" i="4"/>
  <c r="BU38" i="4" s="1"/>
  <c r="AP123" i="4"/>
  <c r="AP145" i="4"/>
  <c r="AA145" i="4"/>
  <c r="AB145" i="4" s="1"/>
  <c r="BU145" i="4" s="1"/>
  <c r="AA52" i="4"/>
  <c r="AB52" i="4" s="1"/>
  <c r="BU52" i="4" s="1"/>
  <c r="AP116" i="4"/>
  <c r="AP124" i="4"/>
  <c r="AP148" i="4"/>
  <c r="AP82" i="4"/>
  <c r="AO82" i="4" s="1"/>
  <c r="AP48" i="4"/>
  <c r="AO48" i="4" s="1"/>
  <c r="AP117" i="4"/>
  <c r="AP156" i="4"/>
  <c r="AP143" i="4"/>
  <c r="AB11" i="4"/>
  <c r="BU11" i="4" s="1"/>
  <c r="AB35" i="4"/>
  <c r="BU35" i="4" s="1"/>
  <c r="AB125" i="4"/>
  <c r="BU125" i="4" s="1"/>
  <c r="AB115" i="4"/>
  <c r="BU115" i="4" s="1"/>
  <c r="AP32" i="4"/>
  <c r="AO32" i="4" s="1"/>
  <c r="AP157" i="4"/>
  <c r="AP19" i="4"/>
  <c r="AN40" i="4"/>
  <c r="AQ40" i="4"/>
  <c r="AR40" i="4" s="1"/>
  <c r="AO100" i="4"/>
  <c r="AO92" i="4"/>
  <c r="AN36" i="4"/>
  <c r="AQ36" i="4"/>
  <c r="AR36" i="4" s="1"/>
  <c r="AO114" i="4"/>
  <c r="AO134" i="4"/>
  <c r="AQ28" i="4"/>
  <c r="AR28" i="4" s="1"/>
  <c r="AN28" i="4"/>
  <c r="AP81" i="4"/>
  <c r="AP24" i="4"/>
  <c r="AP113" i="4"/>
  <c r="AP137" i="4"/>
  <c r="AP149" i="4"/>
  <c r="AP47" i="4"/>
  <c r="AP46" i="4"/>
  <c r="AP64" i="4"/>
  <c r="AO64" i="4" s="1"/>
  <c r="AP136" i="4"/>
  <c r="AP110" i="4"/>
  <c r="AP104" i="4"/>
  <c r="AP65" i="4"/>
  <c r="AB28" i="4"/>
  <c r="BU28" i="4" s="1"/>
  <c r="AN18" i="4"/>
  <c r="AQ18" i="4"/>
  <c r="AR18" i="4" s="1"/>
  <c r="AQ99" i="4"/>
  <c r="AR99" i="4" s="1"/>
  <c r="AN99" i="4"/>
  <c r="AO128" i="4"/>
  <c r="AN78" i="4"/>
  <c r="AQ78" i="4"/>
  <c r="AR78" i="4" s="1"/>
  <c r="AN95" i="4"/>
  <c r="AQ95" i="4"/>
  <c r="AR95" i="4" s="1"/>
  <c r="AN14" i="4"/>
  <c r="AQ14" i="4"/>
  <c r="AR14" i="4" s="1"/>
  <c r="AQ120" i="4"/>
  <c r="AR120" i="4" s="1"/>
  <c r="AN120" i="4"/>
  <c r="AO96" i="4"/>
  <c r="AQ10" i="4"/>
  <c r="AR10" i="4" s="1"/>
  <c r="AN10" i="4"/>
  <c r="AQ68" i="4"/>
  <c r="AR68" i="4" s="1"/>
  <c r="AN68" i="4"/>
  <c r="AQ86" i="4"/>
  <c r="AR86" i="4" s="1"/>
  <c r="AN86" i="4"/>
  <c r="AN71" i="4"/>
  <c r="AQ71" i="4"/>
  <c r="AR71" i="4" s="1"/>
  <c r="AQ60" i="4"/>
  <c r="AR60" i="4" s="1"/>
  <c r="AN60" i="4"/>
  <c r="AQ98" i="4"/>
  <c r="AR98" i="4" s="1"/>
  <c r="AN98" i="4"/>
  <c r="AP106" i="4"/>
  <c r="AO106" i="4" s="1"/>
  <c r="AP21" i="4"/>
  <c r="AP49" i="4"/>
  <c r="AP146" i="4"/>
  <c r="AN22" i="4"/>
  <c r="AQ22" i="4"/>
  <c r="AR22" i="4" s="1"/>
  <c r="AN87" i="4"/>
  <c r="AQ87" i="4"/>
  <c r="AR87" i="4" s="1"/>
  <c r="AO44" i="4"/>
  <c r="AO132" i="4"/>
  <c r="AQ83" i="4"/>
  <c r="AR83" i="4" s="1"/>
  <c r="AN83" i="4"/>
  <c r="AN74" i="4"/>
  <c r="AQ74" i="4"/>
  <c r="AR74" i="4" s="1"/>
  <c r="AP79" i="4"/>
  <c r="AO79" i="4" s="1"/>
  <c r="AP26" i="4"/>
  <c r="AO26" i="4" s="1"/>
  <c r="AP118" i="4"/>
  <c r="AP54" i="4"/>
  <c r="AB138" i="4"/>
  <c r="BU138" i="4" s="1"/>
  <c r="AB103" i="4"/>
  <c r="BU103" i="4" s="1"/>
  <c r="AB121" i="4"/>
  <c r="BU121" i="4" s="1"/>
  <c r="AA82" i="4"/>
  <c r="AA124" i="4"/>
  <c r="AA148" i="4"/>
  <c r="AA48" i="4"/>
  <c r="AA117" i="4"/>
  <c r="AA157" i="4"/>
  <c r="AA156" i="4"/>
  <c r="AA143" i="4"/>
  <c r="AE446" i="5"/>
  <c r="AB63" i="4"/>
  <c r="BU63" i="4" s="1"/>
  <c r="AB129" i="4"/>
  <c r="BU129" i="4" s="1"/>
  <c r="AB18" i="4"/>
  <c r="BU18" i="4" s="1"/>
  <c r="AB23" i="4"/>
  <c r="BU23" i="4" s="1"/>
  <c r="AB93" i="4"/>
  <c r="BU93" i="4" s="1"/>
  <c r="AB101" i="4"/>
  <c r="BU101" i="4" s="1"/>
  <c r="AE471" i="10"/>
  <c r="AE203" i="10"/>
  <c r="AV219" i="10"/>
  <c r="AW219" i="10" s="1"/>
  <c r="AE373" i="10"/>
  <c r="AB55" i="4"/>
  <c r="AB87" i="4"/>
  <c r="AB45" i="4"/>
  <c r="AB58" i="4"/>
  <c r="AB25" i="4"/>
  <c r="AB95" i="4"/>
  <c r="AB89" i="4"/>
  <c r="AB139" i="4"/>
  <c r="BU139" i="4" s="1"/>
  <c r="AB155" i="4"/>
  <c r="BU155" i="4" s="1"/>
  <c r="AB73" i="4"/>
  <c r="BU73" i="4" s="1"/>
  <c r="AB131" i="4"/>
  <c r="BU131" i="4" s="1"/>
  <c r="AB36" i="4"/>
  <c r="BU36" i="4" s="1"/>
  <c r="AB151" i="4"/>
  <c r="BU151" i="4" s="1"/>
  <c r="AB70" i="4"/>
  <c r="BU70" i="4" s="1"/>
  <c r="AB12" i="4"/>
  <c r="BU12" i="4" s="1"/>
  <c r="AB98" i="4"/>
  <c r="BU98" i="4" s="1"/>
  <c r="AB15" i="4"/>
  <c r="BU15" i="4" s="1"/>
  <c r="AB100" i="4"/>
  <c r="BU100" i="4" s="1"/>
  <c r="AB44" i="4"/>
  <c r="BU44" i="4" s="1"/>
  <c r="AB33" i="4"/>
  <c r="AB31" i="4"/>
  <c r="AB76" i="4"/>
  <c r="BU76" i="4" s="1"/>
  <c r="AB153" i="4"/>
  <c r="BU153" i="4" s="1"/>
  <c r="AB14" i="4"/>
  <c r="BU14" i="4" s="1"/>
  <c r="AB86" i="4"/>
  <c r="BU86" i="4" s="1"/>
  <c r="AB42" i="4"/>
  <c r="BU42" i="4" s="1"/>
  <c r="AB85" i="4"/>
  <c r="BU85" i="4" s="1"/>
  <c r="AB114" i="4"/>
  <c r="BU114" i="4" s="1"/>
  <c r="AB147" i="4"/>
  <c r="BU147" i="4" s="1"/>
  <c r="AB80" i="4"/>
  <c r="BU80" i="4" s="1"/>
  <c r="AB71" i="4"/>
  <c r="BU71" i="4" s="1"/>
  <c r="AB92" i="4"/>
  <c r="BU92" i="4" s="1"/>
  <c r="AB105" i="4"/>
  <c r="AB57" i="4"/>
  <c r="AB99" i="4"/>
  <c r="AB29" i="4"/>
  <c r="AB109" i="4"/>
  <c r="AB10" i="4"/>
  <c r="AB135" i="4"/>
  <c r="AB72" i="4"/>
  <c r="BU72" i="4" s="1"/>
  <c r="AB68" i="4"/>
  <c r="BU68" i="4" s="1"/>
  <c r="AB16" i="4"/>
  <c r="BU16" i="4" s="1"/>
  <c r="AB120" i="4"/>
  <c r="BU120" i="4" s="1"/>
  <c r="AB17" i="4"/>
  <c r="AB78" i="4"/>
  <c r="BU78" i="4" s="1"/>
  <c r="AB77" i="4"/>
  <c r="BU77" i="4" s="1"/>
  <c r="AB144" i="4"/>
  <c r="BU144" i="4" s="1"/>
  <c r="AB119" i="4"/>
  <c r="BU119" i="4" s="1"/>
  <c r="AB20" i="4"/>
  <c r="BU20" i="4" s="1"/>
  <c r="AB51" i="4"/>
  <c r="BU51" i="4" s="1"/>
  <c r="AB61" i="4"/>
  <c r="BU61" i="4" s="1"/>
  <c r="AB127" i="4"/>
  <c r="BU127" i="4" s="1"/>
  <c r="AB22" i="4"/>
  <c r="BU22" i="4" s="1"/>
  <c r="AB83" i="4"/>
  <c r="BU83" i="4" s="1"/>
  <c r="AB107" i="4"/>
  <c r="BU107" i="4" s="1"/>
  <c r="AB34" i="4"/>
  <c r="AB27" i="4"/>
  <c r="BU27" i="4" s="1"/>
  <c r="AB53" i="4"/>
  <c r="BU53" i="4" s="1"/>
  <c r="AB60" i="4"/>
  <c r="BU60" i="4" s="1"/>
  <c r="AB74" i="4"/>
  <c r="BU74" i="4" s="1"/>
  <c r="AB50" i="4"/>
  <c r="BU50" i="4" s="1"/>
  <c r="BU8" i="4"/>
  <c r="AB13" i="4"/>
  <c r="BU13" i="4" s="1"/>
  <c r="AB84" i="4"/>
  <c r="BU84" i="4" s="1"/>
  <c r="AB43" i="4"/>
  <c r="BU43" i="4" s="1"/>
  <c r="AB88" i="4"/>
  <c r="BU88" i="4" s="1"/>
  <c r="AB132" i="4"/>
  <c r="BU132" i="4" s="1"/>
  <c r="AB134" i="4"/>
  <c r="BU134" i="4" s="1"/>
  <c r="AB96" i="4"/>
  <c r="BU96" i="4" s="1"/>
  <c r="AB40" i="4"/>
  <c r="BU40" i="4" s="1"/>
  <c r="AB30" i="4"/>
  <c r="BU30" i="4" s="1"/>
  <c r="AB128" i="4"/>
  <c r="BU128" i="4" s="1"/>
  <c r="AB66" i="4"/>
  <c r="BU66" i="4" s="1"/>
  <c r="AA26" i="4"/>
  <c r="AB9" i="4"/>
  <c r="BU9" i="4" s="1"/>
  <c r="AA32" i="4"/>
  <c r="AA106" i="4"/>
  <c r="AA21" i="4"/>
  <c r="AB141" i="4"/>
  <c r="BU141" i="4" s="1"/>
  <c r="AA113" i="4"/>
  <c r="AA19" i="4"/>
  <c r="AA54" i="4"/>
  <c r="AA149" i="4"/>
  <c r="AA110" i="4"/>
  <c r="AA49" i="4"/>
  <c r="AA79" i="4"/>
  <c r="AA137" i="4"/>
  <c r="AA104" i="4"/>
  <c r="AA65" i="4"/>
  <c r="AA47" i="4"/>
  <c r="AA46" i="4"/>
  <c r="AA64" i="4"/>
  <c r="AA136" i="4"/>
  <c r="AA81" i="4"/>
  <c r="AA24" i="4"/>
  <c r="AA118" i="4"/>
  <c r="AA146" i="4"/>
  <c r="AD465" i="10"/>
  <c r="AV100" i="10"/>
  <c r="AX100" i="10" s="1"/>
  <c r="AT446" i="5"/>
  <c r="AV444" i="10"/>
  <c r="AW444" i="10" s="1"/>
  <c r="AX174" i="10"/>
  <c r="AE197" i="10"/>
  <c r="AV471" i="10"/>
  <c r="AW471" i="10" s="1"/>
  <c r="AV432" i="10"/>
  <c r="AW432" i="10" s="1"/>
  <c r="AV365" i="10"/>
  <c r="AW365" i="10" s="1"/>
  <c r="AT7" i="5"/>
  <c r="AV51" i="10"/>
  <c r="AW51" i="10" s="1"/>
  <c r="AD165" i="10"/>
  <c r="AE92" i="10"/>
  <c r="AV300" i="10"/>
  <c r="AX300" i="10" s="1"/>
  <c r="AV403" i="10"/>
  <c r="AW403" i="10" s="1"/>
  <c r="AE403" i="10"/>
  <c r="AD92" i="10"/>
  <c r="AD300" i="10"/>
  <c r="AE157" i="10"/>
  <c r="AD444" i="10"/>
  <c r="AE475" i="10"/>
  <c r="AV72" i="10"/>
  <c r="AW72" i="10" s="1"/>
  <c r="AE458" i="10"/>
  <c r="AD432" i="10"/>
  <c r="AV132" i="10"/>
  <c r="AX132" i="10" s="1"/>
  <c r="AV490" i="10"/>
  <c r="AX490" i="10" s="1"/>
  <c r="AD556" i="10"/>
  <c r="AV350" i="10"/>
  <c r="AX350" i="10" s="1"/>
  <c r="AE557" i="10"/>
  <c r="AX137" i="10"/>
  <c r="AV556" i="10"/>
  <c r="AX556" i="10" s="1"/>
  <c r="AD317" i="10"/>
  <c r="AD137" i="10"/>
  <c r="AV411" i="10"/>
  <c r="AW411" i="10" s="1"/>
  <c r="AD446" i="5"/>
  <c r="AV475" i="10"/>
  <c r="AW475" i="10" s="1"/>
  <c r="AD100" i="10"/>
  <c r="AD348" i="10"/>
  <c r="AV215" i="10"/>
  <c r="AW215" i="10" s="1"/>
  <c r="AD365" i="10"/>
  <c r="AV197" i="10"/>
  <c r="AX197" i="10" s="1"/>
  <c r="AE90" i="10"/>
  <c r="AD132" i="10"/>
  <c r="AV458" i="10"/>
  <c r="AX458" i="10" s="1"/>
  <c r="AV522" i="10"/>
  <c r="AW522" i="10" s="1"/>
  <c r="AD464" i="10"/>
  <c r="AV464" i="10"/>
  <c r="AW464" i="10" s="1"/>
  <c r="AD157" i="10"/>
  <c r="AD215" i="10"/>
  <c r="AV203" i="10"/>
  <c r="AX203" i="10" s="1"/>
  <c r="AD428" i="10"/>
  <c r="AD522" i="10"/>
  <c r="AE51" i="10"/>
  <c r="AX283" i="10"/>
  <c r="AV353" i="10"/>
  <c r="AX353" i="10" s="1"/>
  <c r="AD353" i="10"/>
  <c r="AV530" i="10"/>
  <c r="AW530" i="10" s="1"/>
  <c r="AE283" i="10"/>
  <c r="AE499" i="10"/>
  <c r="AD283" i="10"/>
  <c r="AV499" i="10"/>
  <c r="AW499" i="10" s="1"/>
  <c r="AD56" i="10"/>
  <c r="AE288" i="10"/>
  <c r="AD434" i="10"/>
  <c r="AD302" i="10"/>
  <c r="AD172" i="10"/>
  <c r="AV346" i="10"/>
  <c r="AX346" i="10" s="1"/>
  <c r="AV558" i="10"/>
  <c r="AW558" i="10" s="1"/>
  <c r="AE249" i="10"/>
  <c r="AE118" i="10"/>
  <c r="AE380" i="10"/>
  <c r="AE127" i="10"/>
  <c r="AD443" i="10"/>
  <c r="AE317" i="10"/>
  <c r="AE56" i="10"/>
  <c r="AE137" i="10"/>
  <c r="AE141" i="10"/>
  <c r="AW399" i="10"/>
  <c r="AV141" i="10"/>
  <c r="AW141" i="10" s="1"/>
  <c r="AE290" i="10"/>
  <c r="AD520" i="10"/>
  <c r="AE89" i="10"/>
  <c r="AV48" i="10"/>
  <c r="AW48" i="10" s="1"/>
  <c r="AE478" i="10"/>
  <c r="AD544" i="10"/>
  <c r="AV272" i="10"/>
  <c r="AW272" i="10" s="1"/>
  <c r="AV378" i="10"/>
  <c r="AW378" i="10" s="1"/>
  <c r="AV502" i="10"/>
  <c r="AW502" i="10" s="1"/>
  <c r="AV288" i="10"/>
  <c r="AW288" i="10" s="1"/>
  <c r="AX251" i="10"/>
  <c r="AE520" i="10"/>
  <c r="AV557" i="10"/>
  <c r="AX557" i="10" s="1"/>
  <c r="AV165" i="10"/>
  <c r="AW165" i="10" s="1"/>
  <c r="AE558" i="10"/>
  <c r="AD249" i="10"/>
  <c r="AV118" i="10"/>
  <c r="AW118" i="10" s="1"/>
  <c r="AV116" i="10"/>
  <c r="AW116" i="10" s="1"/>
  <c r="AV202" i="10"/>
  <c r="AW202" i="10" s="1"/>
  <c r="AD378" i="10"/>
  <c r="AE488" i="10"/>
  <c r="AD383" i="10"/>
  <c r="AE560" i="10"/>
  <c r="AE222" i="10"/>
  <c r="AV455" i="10"/>
  <c r="AW455" i="10" s="1"/>
  <c r="AD543" i="10"/>
  <c r="AD102" i="10"/>
  <c r="AV263" i="10"/>
  <c r="AX263" i="10" s="1"/>
  <c r="AE356" i="10"/>
  <c r="AE58" i="10"/>
  <c r="AV441" i="10"/>
  <c r="AX441" i="10" s="1"/>
  <c r="AV43" i="10"/>
  <c r="AW43" i="10" s="1"/>
  <c r="AV377" i="10"/>
  <c r="AX377" i="10" s="1"/>
  <c r="AW37" i="10"/>
  <c r="AD314" i="10"/>
  <c r="AV244" i="10"/>
  <c r="AX244" i="10" s="1"/>
  <c r="AD452" i="10"/>
  <c r="AE121" i="10"/>
  <c r="AD251" i="10"/>
  <c r="AE251" i="10"/>
  <c r="AV330" i="10"/>
  <c r="AW330" i="10" s="1"/>
  <c r="AE348" i="10"/>
  <c r="AE72" i="10"/>
  <c r="AD315" i="10"/>
  <c r="AD411" i="10"/>
  <c r="AE428" i="10"/>
  <c r="AD258" i="10"/>
  <c r="AV373" i="10"/>
  <c r="AX373" i="10" s="1"/>
  <c r="AE513" i="10"/>
  <c r="AD174" i="10"/>
  <c r="AE174" i="10"/>
  <c r="Y11" i="10"/>
  <c r="AV315" i="10"/>
  <c r="AX315" i="10" s="1"/>
  <c r="AV425" i="10"/>
  <c r="AW425" i="10" s="1"/>
  <c r="AV539" i="10"/>
  <c r="AX539" i="10" s="1"/>
  <c r="AV36" i="10"/>
  <c r="AX36" i="10" s="1"/>
  <c r="AX285" i="10"/>
  <c r="AD125" i="10"/>
  <c r="AV500" i="10"/>
  <c r="AX500" i="10" s="1"/>
  <c r="AD436" i="10"/>
  <c r="AD168" i="10"/>
  <c r="AV222" i="10"/>
  <c r="AW222" i="10" s="1"/>
  <c r="AD361" i="10"/>
  <c r="AD110" i="10"/>
  <c r="AD170" i="10"/>
  <c r="AV290" i="10"/>
  <c r="AX290" i="10" s="1"/>
  <c r="AE441" i="10"/>
  <c r="AV102" i="10"/>
  <c r="AW102" i="10" s="1"/>
  <c r="AV209" i="10"/>
  <c r="AW209" i="10" s="1"/>
  <c r="AD478" i="10"/>
  <c r="AE113" i="10"/>
  <c r="AD377" i="10"/>
  <c r="AV89" i="10"/>
  <c r="AW89" i="10" s="1"/>
  <c r="AV544" i="10"/>
  <c r="AW544" i="10" s="1"/>
  <c r="AD393" i="10"/>
  <c r="AD48" i="10"/>
  <c r="AE202" i="10"/>
  <c r="AX367" i="10"/>
  <c r="AV59" i="10"/>
  <c r="AW59" i="10" s="1"/>
  <c r="AE272" i="10"/>
  <c r="AE244" i="10"/>
  <c r="AV540" i="10"/>
  <c r="AX540" i="10" s="1"/>
  <c r="AV393" i="10"/>
  <c r="AW393" i="10" s="1"/>
  <c r="AD551" i="10"/>
  <c r="AD316" i="10"/>
  <c r="AE543" i="10"/>
  <c r="AE170" i="10"/>
  <c r="AV356" i="10"/>
  <c r="AX356" i="10" s="1"/>
  <c r="AV58" i="10"/>
  <c r="AW58" i="10" s="1"/>
  <c r="AV73" i="10"/>
  <c r="AW73" i="10" s="1"/>
  <c r="AD209" i="10"/>
  <c r="AE124" i="10"/>
  <c r="AD116" i="10"/>
  <c r="AD305" i="10"/>
  <c r="AE93" i="10"/>
  <c r="AV314" i="10"/>
  <c r="AW314" i="10" s="1"/>
  <c r="AD399" i="10"/>
  <c r="AE60" i="10"/>
  <c r="AV110" i="10"/>
  <c r="AX110" i="10" s="1"/>
  <c r="AE284" i="10"/>
  <c r="AE387" i="10"/>
  <c r="AD113" i="10"/>
  <c r="AV188" i="10"/>
  <c r="AW188" i="10" s="1"/>
  <c r="AE305" i="10"/>
  <c r="AE551" i="10"/>
  <c r="AE208" i="10"/>
  <c r="AV121" i="10"/>
  <c r="AW121" i="10" s="1"/>
  <c r="AD480" i="10"/>
  <c r="AD33" i="10"/>
  <c r="AV466" i="10"/>
  <c r="AX466" i="10" s="1"/>
  <c r="AE514" i="10"/>
  <c r="AE212" i="10"/>
  <c r="AE530" i="10"/>
  <c r="AE34" i="10"/>
  <c r="AD184" i="10"/>
  <c r="AD334" i="10"/>
  <c r="AE340" i="10"/>
  <c r="AE153" i="10"/>
  <c r="AD115" i="10"/>
  <c r="AE358" i="10"/>
  <c r="AE507" i="10"/>
  <c r="AD167" i="10"/>
  <c r="AE382" i="10"/>
  <c r="AV265" i="10"/>
  <c r="AX265" i="10" s="1"/>
  <c r="AE41" i="10"/>
  <c r="AD13" i="10"/>
  <c r="AE259" i="10"/>
  <c r="AE456" i="10"/>
  <c r="AE473" i="10"/>
  <c r="AV150" i="10"/>
  <c r="AX150" i="10" s="1"/>
  <c r="AD34" i="10"/>
  <c r="AE195" i="10"/>
  <c r="AD259" i="10"/>
  <c r="AV382" i="10"/>
  <c r="AX382" i="10" s="1"/>
  <c r="AE406" i="10"/>
  <c r="AV33" i="10"/>
  <c r="AX33" i="10" s="1"/>
  <c r="AD485" i="10"/>
  <c r="AE256" i="10"/>
  <c r="AV473" i="10"/>
  <c r="AW473" i="10" s="1"/>
  <c r="AV227" i="10"/>
  <c r="AX227" i="10" s="1"/>
  <c r="AD477" i="10"/>
  <c r="AE173" i="10"/>
  <c r="AE117" i="10"/>
  <c r="AD297" i="10"/>
  <c r="AD496" i="10"/>
  <c r="AD286" i="10"/>
  <c r="AV44" i="10"/>
  <c r="AW44" i="10" s="1"/>
  <c r="AD456" i="10"/>
  <c r="AD292" i="10"/>
  <c r="AD156" i="10"/>
  <c r="AD41" i="10"/>
  <c r="AD514" i="10"/>
  <c r="AD130" i="10"/>
  <c r="AX13" i="10"/>
  <c r="AD105" i="10"/>
  <c r="AD182" i="10"/>
  <c r="AV354" i="10"/>
  <c r="AW354" i="10" s="1"/>
  <c r="AE413" i="10"/>
  <c r="AE304" i="10"/>
  <c r="AV261" i="10"/>
  <c r="AX261" i="10" s="1"/>
  <c r="AV318" i="10"/>
  <c r="AX318" i="10" s="1"/>
  <c r="AD462" i="10"/>
  <c r="AD291" i="10"/>
  <c r="AV225" i="10"/>
  <c r="AX225" i="10" s="1"/>
  <c r="AV63" i="10"/>
  <c r="AX63" i="10" s="1"/>
  <c r="AE437" i="10"/>
  <c r="AE47" i="10"/>
  <c r="AE419" i="10"/>
  <c r="AV296" i="10"/>
  <c r="AW296" i="10" s="1"/>
  <c r="AV342" i="10"/>
  <c r="AX342" i="10" s="1"/>
  <c r="AD8" i="10"/>
  <c r="AE355" i="10"/>
  <c r="AE228" i="10"/>
  <c r="AD410" i="10"/>
  <c r="AV145" i="10"/>
  <c r="AW145" i="10" s="1"/>
  <c r="AV325" i="10"/>
  <c r="AW325" i="10" s="1"/>
  <c r="AE335" i="10"/>
  <c r="AE13" i="10"/>
  <c r="AD502" i="10"/>
  <c r="AE84" i="10"/>
  <c r="AV275" i="10"/>
  <c r="AW275" i="10" s="1"/>
  <c r="AE172" i="10"/>
  <c r="AV492" i="10"/>
  <c r="AX492" i="10" s="1"/>
  <c r="AE303" i="10"/>
  <c r="AD547" i="10"/>
  <c r="AV468" i="10"/>
  <c r="AW468" i="10" s="1"/>
  <c r="AD280" i="10"/>
  <c r="AD380" i="10"/>
  <c r="AD488" i="10"/>
  <c r="AD127" i="10"/>
  <c r="AD64" i="10"/>
  <c r="AD338" i="10"/>
  <c r="AV509" i="10"/>
  <c r="AX509" i="10" s="1"/>
  <c r="AD467" i="10"/>
  <c r="AV512" i="10"/>
  <c r="AW512" i="10" s="1"/>
  <c r="AV181" i="10"/>
  <c r="AX181" i="10" s="1"/>
  <c r="AE138" i="10"/>
  <c r="AV88" i="10"/>
  <c r="AX88" i="10" s="1"/>
  <c r="AV446" i="10"/>
  <c r="AW446" i="10" s="1"/>
  <c r="AD78" i="10"/>
  <c r="AE322" i="10"/>
  <c r="AV497" i="10"/>
  <c r="AW497" i="10" s="1"/>
  <c r="AE536" i="10"/>
  <c r="AD80" i="10"/>
  <c r="AD374" i="5"/>
  <c r="AD442" i="10"/>
  <c r="AD122" i="10"/>
  <c r="AV363" i="10"/>
  <c r="AX363" i="10" s="1"/>
  <c r="AD405" i="10"/>
  <c r="AV320" i="10"/>
  <c r="AW320" i="10" s="1"/>
  <c r="AE139" i="10"/>
  <c r="AD152" i="10"/>
  <c r="AE205" i="10"/>
  <c r="AD79" i="10"/>
  <c r="AE104" i="10"/>
  <c r="AE469" i="10"/>
  <c r="AD221" i="10"/>
  <c r="AE443" i="10"/>
  <c r="AX469" i="10"/>
  <c r="AV389" i="10"/>
  <c r="AX389" i="10" s="1"/>
  <c r="AE442" i="10"/>
  <c r="AV271" i="10"/>
  <c r="AW271" i="10" s="1"/>
  <c r="AV302" i="10"/>
  <c r="AX302" i="10" s="1"/>
  <c r="AE275" i="10"/>
  <c r="AE363" i="10"/>
  <c r="AD420" i="10"/>
  <c r="AD512" i="10"/>
  <c r="AV138" i="10"/>
  <c r="AW138" i="10" s="1"/>
  <c r="AD320" i="10"/>
  <c r="AV97" i="10"/>
  <c r="AW97" i="10" s="1"/>
  <c r="AE126" i="10"/>
  <c r="AE547" i="10"/>
  <c r="AV139" i="10"/>
  <c r="AX139" i="10" s="1"/>
  <c r="AV538" i="10"/>
  <c r="AX538" i="10" s="1"/>
  <c r="AD111" i="10"/>
  <c r="AE88" i="10"/>
  <c r="AE152" i="10"/>
  <c r="AD422" i="10"/>
  <c r="AD446" i="10"/>
  <c r="AE497" i="10"/>
  <c r="AE350" i="10"/>
  <c r="AV205" i="10"/>
  <c r="AX205" i="10" s="1"/>
  <c r="AW480" i="10"/>
  <c r="AV323" i="10"/>
  <c r="AW323" i="10" s="1"/>
  <c r="AV61" i="10"/>
  <c r="AX61" i="10" s="1"/>
  <c r="AE79" i="10"/>
  <c r="AV338" i="10"/>
  <c r="AW338" i="10" s="1"/>
  <c r="AE85" i="10"/>
  <c r="AD469" i="10"/>
  <c r="AV221" i="10"/>
  <c r="AW221" i="10" s="1"/>
  <c r="AV85" i="10"/>
  <c r="AX85" i="10" s="1"/>
  <c r="AV301" i="10"/>
  <c r="AX301" i="10" s="1"/>
  <c r="AX385" i="10"/>
  <c r="AE389" i="10"/>
  <c r="AE122" i="10"/>
  <c r="AV434" i="10"/>
  <c r="AX434" i="10" s="1"/>
  <c r="AV515" i="10"/>
  <c r="AX515" i="10" s="1"/>
  <c r="AE420" i="10"/>
  <c r="AD181" i="10"/>
  <c r="AE252" i="10"/>
  <c r="AV405" i="10"/>
  <c r="AX405" i="10" s="1"/>
  <c r="AD492" i="10"/>
  <c r="AV126" i="10"/>
  <c r="AX126" i="10" s="1"/>
  <c r="AD468" i="10"/>
  <c r="AE538" i="10"/>
  <c r="AE111" i="10"/>
  <c r="AV422" i="10"/>
  <c r="AX422" i="10" s="1"/>
  <c r="AE78" i="10"/>
  <c r="AE280" i="10"/>
  <c r="AD322" i="10"/>
  <c r="AV536" i="10"/>
  <c r="AX536" i="10" s="1"/>
  <c r="AD323" i="10"/>
  <c r="AE61" i="10"/>
  <c r="AV104" i="10"/>
  <c r="AW104" i="10" s="1"/>
  <c r="AE383" i="10"/>
  <c r="AD385" i="10"/>
  <c r="AV80" i="10"/>
  <c r="AX80" i="10" s="1"/>
  <c r="AE385" i="10"/>
  <c r="AV560" i="10"/>
  <c r="AW560" i="10" s="1"/>
  <c r="AD37" i="10"/>
  <c r="AE301" i="10"/>
  <c r="AV266" i="10"/>
  <c r="AX266" i="10" s="1"/>
  <c r="AD366" i="10"/>
  <c r="AV457" i="10"/>
  <c r="AW457" i="10" s="1"/>
  <c r="AV68" i="10"/>
  <c r="AX68" i="10" s="1"/>
  <c r="AD277" i="10"/>
  <c r="AV451" i="10"/>
  <c r="AX451" i="10" s="1"/>
  <c r="AE509" i="10"/>
  <c r="AD151" i="10"/>
  <c r="AV151" i="10"/>
  <c r="AX151" i="10" s="1"/>
  <c r="AV435" i="10"/>
  <c r="AW435" i="10" s="1"/>
  <c r="AD10" i="10"/>
  <c r="AE37" i="10"/>
  <c r="AV105" i="10"/>
  <c r="AX105" i="10" s="1"/>
  <c r="AE319" i="10"/>
  <c r="AV86" i="10"/>
  <c r="AW86" i="10" s="1"/>
  <c r="AV491" i="10"/>
  <c r="AX491" i="10" s="1"/>
  <c r="AE62" i="10"/>
  <c r="AV182" i="10"/>
  <c r="AW182" i="10" s="1"/>
  <c r="AV477" i="10"/>
  <c r="AX477" i="10" s="1"/>
  <c r="AV507" i="10"/>
  <c r="AX507" i="10" s="1"/>
  <c r="AD173" i="10"/>
  <c r="AD117" i="10"/>
  <c r="AV195" i="10"/>
  <c r="AW195" i="10" s="1"/>
  <c r="AE297" i="10"/>
  <c r="AV341" i="10"/>
  <c r="AW341" i="10" s="1"/>
  <c r="AD354" i="10"/>
  <c r="AV413" i="10"/>
  <c r="AW413" i="10" s="1"/>
  <c r="AE528" i="10"/>
  <c r="AV167" i="10"/>
  <c r="AX167" i="10" s="1"/>
  <c r="AE539" i="10"/>
  <c r="AV123" i="10"/>
  <c r="AX123" i="10" s="1"/>
  <c r="AV240" i="10"/>
  <c r="AW240" i="10" s="1"/>
  <c r="AD355" i="10"/>
  <c r="AE77" i="10"/>
  <c r="AD261" i="10"/>
  <c r="AD318" i="10"/>
  <c r="AV406" i="10"/>
  <c r="AW406" i="10" s="1"/>
  <c r="AV462" i="10"/>
  <c r="AW462" i="10" s="1"/>
  <c r="AV372" i="10"/>
  <c r="AX372" i="10" s="1"/>
  <c r="AE295" i="10"/>
  <c r="AV485" i="10"/>
  <c r="AW485" i="10" s="1"/>
  <c r="AE225" i="10"/>
  <c r="AE255" i="10"/>
  <c r="AV292" i="10"/>
  <c r="AX292" i="10" s="1"/>
  <c r="AV336" i="10"/>
  <c r="AX336" i="10" s="1"/>
  <c r="AD437" i="10"/>
  <c r="AD493" i="10"/>
  <c r="AV388" i="10"/>
  <c r="AW388" i="10" s="1"/>
  <c r="AV156" i="10"/>
  <c r="AW156" i="10" s="1"/>
  <c r="AD218" i="10"/>
  <c r="AD153" i="10"/>
  <c r="AD194" i="10"/>
  <c r="AV419" i="10"/>
  <c r="AX419" i="10" s="1"/>
  <c r="AD30" i="10"/>
  <c r="AE230" i="10"/>
  <c r="AD463" i="10"/>
  <c r="AE65" i="10"/>
  <c r="AE296" i="10"/>
  <c r="AE325" i="10"/>
  <c r="AV474" i="10"/>
  <c r="AW474" i="10" s="1"/>
  <c r="AV176" i="10"/>
  <c r="AX176" i="10" s="1"/>
  <c r="AV112" i="10"/>
  <c r="AW112" i="10" s="1"/>
  <c r="AV269" i="10"/>
  <c r="AW269" i="10" s="1"/>
  <c r="AD342" i="10"/>
  <c r="AD369" i="10"/>
  <c r="AV7" i="10"/>
  <c r="AX7" i="10" s="1"/>
  <c r="AI11" i="10"/>
  <c r="AL11" i="10"/>
  <c r="AV319" i="10"/>
  <c r="AX319" i="10" s="1"/>
  <c r="AD150" i="10"/>
  <c r="AD227" i="10"/>
  <c r="AE339" i="10"/>
  <c r="AD491" i="10"/>
  <c r="AE196" i="10"/>
  <c r="AE495" i="10"/>
  <c r="AE328" i="10"/>
  <c r="AD531" i="10"/>
  <c r="AE75" i="10"/>
  <c r="AD123" i="10"/>
  <c r="AV304" i="10"/>
  <c r="AX304" i="10" s="1"/>
  <c r="AD77" i="10"/>
  <c r="AV212" i="10"/>
  <c r="AX212" i="10" s="1"/>
  <c r="AE370" i="10"/>
  <c r="AV286" i="10"/>
  <c r="AX286" i="10" s="1"/>
  <c r="AD295" i="10"/>
  <c r="AW358" i="10"/>
  <c r="AV291" i="10"/>
  <c r="AW291" i="10" s="1"/>
  <c r="AE178" i="10"/>
  <c r="AD63" i="10"/>
  <c r="AV228" i="10"/>
  <c r="AX228" i="10" s="1"/>
  <c r="AV334" i="10"/>
  <c r="AW334" i="10" s="1"/>
  <c r="AV47" i="10"/>
  <c r="AX47" i="10" s="1"/>
  <c r="AE216" i="10"/>
  <c r="AD388" i="10"/>
  <c r="AV410" i="10"/>
  <c r="AX410" i="10" s="1"/>
  <c r="AD466" i="10"/>
  <c r="AV27" i="10"/>
  <c r="AW27" i="10" s="1"/>
  <c r="AV218" i="10"/>
  <c r="AW218" i="10" s="1"/>
  <c r="AV340" i="10"/>
  <c r="AX340" i="10" s="1"/>
  <c r="AE52" i="10"/>
  <c r="AE194" i="10"/>
  <c r="AD145" i="10"/>
  <c r="AE166" i="10"/>
  <c r="AV463" i="10"/>
  <c r="AX463" i="10" s="1"/>
  <c r="AV64" i="10"/>
  <c r="AX64" i="10" s="1"/>
  <c r="AE115" i="10"/>
  <c r="AV128" i="10"/>
  <c r="AW128" i="10" s="1"/>
  <c r="AE128" i="10"/>
  <c r="AV130" i="10"/>
  <c r="AW130" i="10" s="1"/>
  <c r="AE112" i="10"/>
  <c r="AE98" i="10"/>
  <c r="AV8" i="10"/>
  <c r="AW8" i="10" s="1"/>
  <c r="AV369" i="10"/>
  <c r="AW369" i="10" s="1"/>
  <c r="AV119" i="10"/>
  <c r="AW119" i="10" s="1"/>
  <c r="AE86" i="10"/>
  <c r="AV171" i="10"/>
  <c r="AW171" i="10" s="1"/>
  <c r="AE332" i="10"/>
  <c r="AD81" i="10"/>
  <c r="AV495" i="10"/>
  <c r="AW495" i="10" s="1"/>
  <c r="AW98" i="10"/>
  <c r="AE379" i="10"/>
  <c r="AV328" i="10"/>
  <c r="AW328" i="10" s="1"/>
  <c r="AE531" i="10"/>
  <c r="AV75" i="10"/>
  <c r="AX75" i="10" s="1"/>
  <c r="AV243" i="10"/>
  <c r="AW243" i="10" s="1"/>
  <c r="AV133" i="10"/>
  <c r="AX133" i="10" s="1"/>
  <c r="AE372" i="10"/>
  <c r="AV453" i="10"/>
  <c r="AW453" i="10" s="1"/>
  <c r="AV178" i="10"/>
  <c r="AX178" i="10" s="1"/>
  <c r="AE336" i="10"/>
  <c r="AE158" i="10"/>
  <c r="AV71" i="10"/>
  <c r="AW71" i="10" s="1"/>
  <c r="AV166" i="10"/>
  <c r="AX166" i="10" s="1"/>
  <c r="AD65" i="10"/>
  <c r="AV335" i="10"/>
  <c r="AW335" i="10" s="1"/>
  <c r="AV360" i="10"/>
  <c r="AX360" i="10" s="1"/>
  <c r="AD358" i="10"/>
  <c r="AD176" i="10"/>
  <c r="AD98" i="10"/>
  <c r="AU252" i="5"/>
  <c r="AV248" i="10"/>
  <c r="AX248" i="10" s="1"/>
  <c r="AD38" i="10"/>
  <c r="AE36" i="10"/>
  <c r="AE125" i="10"/>
  <c r="AD455" i="10"/>
  <c r="AD330" i="10"/>
  <c r="AV361" i="10"/>
  <c r="AW361" i="10" s="1"/>
  <c r="AV38" i="10"/>
  <c r="AX38" i="10" s="1"/>
  <c r="AD282" i="10"/>
  <c r="AD387" i="10"/>
  <c r="AE43" i="10"/>
  <c r="AD526" i="10"/>
  <c r="AD263" i="10"/>
  <c r="AD124" i="10"/>
  <c r="AD188" i="10"/>
  <c r="AD362" i="10"/>
  <c r="AV93" i="10"/>
  <c r="AX93" i="10" s="1"/>
  <c r="AV90" i="10"/>
  <c r="AX90" i="10" s="1"/>
  <c r="AD510" i="10"/>
  <c r="AD309" i="10"/>
  <c r="AD490" i="10"/>
  <c r="AE168" i="10"/>
  <c r="AV452" i="10"/>
  <c r="AW452" i="10" s="1"/>
  <c r="AD501" i="10"/>
  <c r="AE285" i="10"/>
  <c r="AD285" i="10"/>
  <c r="AE399" i="10"/>
  <c r="AD367" i="10"/>
  <c r="AD552" i="10"/>
  <c r="AE425" i="10"/>
  <c r="AD500" i="10"/>
  <c r="AD219" i="10"/>
  <c r="AV258" i="10"/>
  <c r="AW258" i="10" s="1"/>
  <c r="AV436" i="10"/>
  <c r="AW436" i="10" s="1"/>
  <c r="AV513" i="10"/>
  <c r="AW513" i="10" s="1"/>
  <c r="AV501" i="10"/>
  <c r="AX501" i="10" s="1"/>
  <c r="AV552" i="10"/>
  <c r="AX552" i="10" s="1"/>
  <c r="AD143" i="10"/>
  <c r="AV217" i="10"/>
  <c r="AW217" i="10" s="1"/>
  <c r="AE306" i="10"/>
  <c r="AV362" i="10"/>
  <c r="AW362" i="10" s="1"/>
  <c r="AV494" i="10"/>
  <c r="AW494" i="10" s="1"/>
  <c r="AV487" i="10"/>
  <c r="AW487" i="10" s="1"/>
  <c r="AE416" i="10"/>
  <c r="AE367" i="10"/>
  <c r="AV83" i="10"/>
  <c r="AW83" i="10" s="1"/>
  <c r="AE252" i="5"/>
  <c r="AE351" i="10"/>
  <c r="AD433" i="10"/>
  <c r="AD486" i="10"/>
  <c r="AD553" i="10"/>
  <c r="AV24" i="10"/>
  <c r="AX24" i="10" s="1"/>
  <c r="AE73" i="10"/>
  <c r="AV412" i="10"/>
  <c r="AX412" i="10" s="1"/>
  <c r="AD307" i="10"/>
  <c r="AD233" i="10"/>
  <c r="AE364" i="10"/>
  <c r="AD503" i="10"/>
  <c r="AD400" i="10"/>
  <c r="AE546" i="10"/>
  <c r="AV50" i="10"/>
  <c r="AX50" i="10" s="1"/>
  <c r="AV241" i="10"/>
  <c r="AW241" i="10" s="1"/>
  <c r="AV208" i="10"/>
  <c r="AW208" i="10" s="1"/>
  <c r="AD45" i="10"/>
  <c r="AV293" i="10"/>
  <c r="AW293" i="10" s="1"/>
  <c r="AV253" i="10"/>
  <c r="AW253" i="10" s="1"/>
  <c r="AE398" i="10"/>
  <c r="AE427" i="10"/>
  <c r="AD35" i="10"/>
  <c r="AE391" i="10"/>
  <c r="AE26" i="10"/>
  <c r="AE148" i="10"/>
  <c r="AV433" i="10"/>
  <c r="AX433" i="10" s="1"/>
  <c r="AD371" i="10"/>
  <c r="AV486" i="10"/>
  <c r="AW486" i="10" s="1"/>
  <c r="AE276" i="10"/>
  <c r="AD423" i="10"/>
  <c r="AE232" i="10"/>
  <c r="AV67" i="10"/>
  <c r="AW67" i="10" s="1"/>
  <c r="AD364" i="10"/>
  <c r="AE421" i="10"/>
  <c r="AE503" i="10"/>
  <c r="AE331" i="10"/>
  <c r="AE220" i="10"/>
  <c r="AV316" i="10"/>
  <c r="AX316" i="10" s="1"/>
  <c r="AD416" i="10"/>
  <c r="AD252" i="5"/>
  <c r="AD229" i="10"/>
  <c r="AD254" i="10"/>
  <c r="AD46" i="10"/>
  <c r="AE233" i="10"/>
  <c r="AD489" i="10"/>
  <c r="AD270" i="10"/>
  <c r="AE82" i="10"/>
  <c r="AE35" i="10"/>
  <c r="AE45" i="10"/>
  <c r="AE235" i="10"/>
  <c r="AV281" i="10"/>
  <c r="AW281" i="10" s="1"/>
  <c r="AD253" i="10"/>
  <c r="AV236" i="10"/>
  <c r="AW236" i="10" s="1"/>
  <c r="AV351" i="10"/>
  <c r="AW351" i="10" s="1"/>
  <c r="AV26" i="10"/>
  <c r="AW26" i="10" s="1"/>
  <c r="AV29" i="10"/>
  <c r="AW29" i="10" s="1"/>
  <c r="AE229" i="10"/>
  <c r="AV143" i="10"/>
  <c r="AW143" i="10" s="1"/>
  <c r="AE371" i="10"/>
  <c r="AX189" i="10"/>
  <c r="AV284" i="10"/>
  <c r="AX284" i="10" s="1"/>
  <c r="AW310" i="10"/>
  <c r="AD540" i="10"/>
  <c r="AD289" i="10"/>
  <c r="AD412" i="10"/>
  <c r="AD459" i="10"/>
  <c r="AD136" i="10"/>
  <c r="AV276" i="10"/>
  <c r="AW276" i="10" s="1"/>
  <c r="AV254" i="10"/>
  <c r="AX254" i="10" s="1"/>
  <c r="AV423" i="10"/>
  <c r="AW423" i="10" s="1"/>
  <c r="AE526" i="10"/>
  <c r="AV186" i="10"/>
  <c r="AW186" i="10" s="1"/>
  <c r="AE519" i="10"/>
  <c r="AE347" i="10"/>
  <c r="AV439" i="10"/>
  <c r="AX439" i="10" s="1"/>
  <c r="AE66" i="10"/>
  <c r="AD204" i="10"/>
  <c r="AW206" i="10"/>
  <c r="AD343" i="10"/>
  <c r="AE510" i="10"/>
  <c r="AE76" i="10"/>
  <c r="AV331" i="10"/>
  <c r="AW331" i="10" s="1"/>
  <c r="AE309" i="10"/>
  <c r="AD381" i="10"/>
  <c r="AV82" i="10"/>
  <c r="AX82" i="10" s="1"/>
  <c r="AD487" i="10"/>
  <c r="AD59" i="10"/>
  <c r="AD241" i="10"/>
  <c r="AE542" i="10"/>
  <c r="AE293" i="10"/>
  <c r="AE337" i="10"/>
  <c r="AD206" i="10"/>
  <c r="AD533" i="10"/>
  <c r="AV392" i="10"/>
  <c r="AX392" i="10" s="1"/>
  <c r="AE236" i="10"/>
  <c r="AD312" i="10"/>
  <c r="AD95" i="10"/>
  <c r="AV136" i="10"/>
  <c r="AX136" i="10" s="1"/>
  <c r="AV525" i="10"/>
  <c r="AX525" i="10" s="1"/>
  <c r="AE186" i="10"/>
  <c r="AD94" i="10"/>
  <c r="AD42" i="10"/>
  <c r="AD299" i="10"/>
  <c r="AV381" i="10"/>
  <c r="AW381" i="10" s="1"/>
  <c r="AE134" i="10"/>
  <c r="AD155" i="10"/>
  <c r="AD337" i="10"/>
  <c r="AD391" i="10"/>
  <c r="AV246" i="10"/>
  <c r="AW246" i="10" s="1"/>
  <c r="AV533" i="10"/>
  <c r="AX533" i="10" s="1"/>
  <c r="AE39" i="10"/>
  <c r="AD396" i="10"/>
  <c r="AD207" i="10"/>
  <c r="AD135" i="10"/>
  <c r="AE357" i="10"/>
  <c r="AE386" i="10"/>
  <c r="AD349" i="10"/>
  <c r="AE494" i="10"/>
  <c r="AV199" i="10"/>
  <c r="AX199" i="10" s="1"/>
  <c r="AV294" i="10"/>
  <c r="AX294" i="10" s="1"/>
  <c r="AD268" i="10"/>
  <c r="AE206" i="10"/>
  <c r="AD107" i="10"/>
  <c r="AD559" i="10"/>
  <c r="AE95" i="10"/>
  <c r="AV120" i="10"/>
  <c r="AW120" i="10" s="1"/>
  <c r="AE460" i="10"/>
  <c r="AV289" i="10"/>
  <c r="AX289" i="10" s="1"/>
  <c r="AE511" i="10"/>
  <c r="AD421" i="10"/>
  <c r="AV299" i="10"/>
  <c r="AW299" i="10" s="1"/>
  <c r="AE343" i="10"/>
  <c r="AD535" i="10"/>
  <c r="AD427" i="10"/>
  <c r="AV220" i="10"/>
  <c r="AX220" i="10" s="1"/>
  <c r="AE262" i="10"/>
  <c r="AE12" i="10"/>
  <c r="AE25" i="10"/>
  <c r="AE312" i="10"/>
  <c r="AW262" i="10"/>
  <c r="AD398" i="10"/>
  <c r="AE415" i="10"/>
  <c r="AE107" i="10"/>
  <c r="AV148" i="10"/>
  <c r="AW148" i="10" s="1"/>
  <c r="AD210" i="10"/>
  <c r="AV396" i="10"/>
  <c r="AX396" i="10" s="1"/>
  <c r="AV559" i="10"/>
  <c r="AX559" i="10" s="1"/>
  <c r="AE29" i="10"/>
  <c r="AV21" i="10"/>
  <c r="AX21" i="10" s="1"/>
  <c r="AD120" i="10"/>
  <c r="AE390" i="10"/>
  <c r="AE449" i="10"/>
  <c r="AE553" i="10"/>
  <c r="AE24" i="10"/>
  <c r="AV109" i="10"/>
  <c r="AX109" i="10" s="1"/>
  <c r="AV459" i="10"/>
  <c r="AX459" i="10" s="1"/>
  <c r="AV32" i="10"/>
  <c r="AX32" i="10" s="1"/>
  <c r="AE525" i="10"/>
  <c r="AE532" i="10"/>
  <c r="AV308" i="10"/>
  <c r="AW308" i="10" s="1"/>
  <c r="AD537" i="10"/>
  <c r="AD66" i="10"/>
  <c r="AD67" i="10"/>
  <c r="AE204" i="10"/>
  <c r="AD454" i="10"/>
  <c r="AE23" i="10"/>
  <c r="AV298" i="10"/>
  <c r="AX298" i="10" s="1"/>
  <c r="AV489" i="10"/>
  <c r="AX489" i="10" s="1"/>
  <c r="AD448" i="10"/>
  <c r="AE535" i="10"/>
  <c r="AD142" i="10"/>
  <c r="AD529" i="10"/>
  <c r="AD103" i="10"/>
  <c r="AV155" i="10"/>
  <c r="AW155" i="10" s="1"/>
  <c r="AE213" i="10"/>
  <c r="AE191" i="10"/>
  <c r="AV352" i="10"/>
  <c r="AW352" i="10" s="1"/>
  <c r="AD482" i="10"/>
  <c r="AD523" i="10"/>
  <c r="AV235" i="10"/>
  <c r="AW235" i="10" s="1"/>
  <c r="AE518" i="10"/>
  <c r="AV424" i="10"/>
  <c r="AX424" i="10" s="1"/>
  <c r="AD262" i="10"/>
  <c r="AE199" i="10"/>
  <c r="AE294" i="10"/>
  <c r="AD392" i="10"/>
  <c r="AX12" i="10"/>
  <c r="AD25" i="10"/>
  <c r="AD374" i="10"/>
  <c r="AV415" i="10"/>
  <c r="AX415" i="10" s="1"/>
  <c r="AE21" i="10"/>
  <c r="AD449" i="10"/>
  <c r="AE46" i="10"/>
  <c r="AE352" i="10"/>
  <c r="AV431" i="10"/>
  <c r="AW431" i="10" s="1"/>
  <c r="AV144" i="10"/>
  <c r="AW144" i="10" s="1"/>
  <c r="AD310" i="10"/>
  <c r="AV234" i="10"/>
  <c r="AW234" i="10" s="1"/>
  <c r="AV555" i="10"/>
  <c r="AX555" i="10" s="1"/>
  <c r="AD333" i="10"/>
  <c r="AV481" i="10"/>
  <c r="AW481" i="10" s="1"/>
  <c r="AV329" i="10"/>
  <c r="AW329" i="10" s="1"/>
  <c r="AV483" i="10"/>
  <c r="AX483" i="10" s="1"/>
  <c r="AV163" i="10"/>
  <c r="AX163" i="10" s="1"/>
  <c r="AV324" i="10"/>
  <c r="AX324" i="10" s="1"/>
  <c r="AD223" i="10"/>
  <c r="AD402" i="10"/>
  <c r="AD424" i="10"/>
  <c r="AV96" i="10"/>
  <c r="AW96" i="10" s="1"/>
  <c r="AE310" i="10"/>
  <c r="AD12" i="10"/>
  <c r="AW401" i="10"/>
  <c r="AD368" i="10"/>
  <c r="AV450" i="10"/>
  <c r="AX450" i="10" s="1"/>
  <c r="AV106" i="10"/>
  <c r="AW106" i="10" s="1"/>
  <c r="AD517" i="10"/>
  <c r="AD119" i="10"/>
  <c r="AV549" i="10"/>
  <c r="AX549" i="10" s="1"/>
  <c r="AD171" i="10"/>
  <c r="AV339" i="10"/>
  <c r="AX339" i="10" s="1"/>
  <c r="AV332" i="10"/>
  <c r="AX332" i="10" s="1"/>
  <c r="AD527" i="10"/>
  <c r="AD62" i="10"/>
  <c r="AV57" i="10"/>
  <c r="AX57" i="10" s="1"/>
  <c r="AV184" i="10"/>
  <c r="AX184" i="10" s="1"/>
  <c r="AV196" i="10"/>
  <c r="AX196" i="10" s="1"/>
  <c r="AV81" i="10"/>
  <c r="AX81" i="10" s="1"/>
  <c r="AD341" i="10"/>
  <c r="AV528" i="10"/>
  <c r="AX528" i="10" s="1"/>
  <c r="AV379" i="10"/>
  <c r="AW379" i="10" s="1"/>
  <c r="AV414" i="10"/>
  <c r="AW414" i="10" s="1"/>
  <c r="AV496" i="10"/>
  <c r="AX496" i="10" s="1"/>
  <c r="AD243" i="10"/>
  <c r="AE521" i="10"/>
  <c r="AD198" i="10"/>
  <c r="AD327" i="10"/>
  <c r="AD133" i="10"/>
  <c r="AV394" i="10"/>
  <c r="AW394" i="10" s="1"/>
  <c r="AD44" i="10"/>
  <c r="AW192" i="10"/>
  <c r="AV256" i="10"/>
  <c r="AX256" i="10" s="1"/>
  <c r="AD445" i="10"/>
  <c r="AE175" i="10"/>
  <c r="AV214" i="10"/>
  <c r="AX214" i="10" s="1"/>
  <c r="AE493" i="10"/>
  <c r="AE193" i="10"/>
  <c r="AV216" i="10"/>
  <c r="AX216" i="10" s="1"/>
  <c r="AE265" i="10"/>
  <c r="AV158" i="10"/>
  <c r="AW158" i="10" s="1"/>
  <c r="AD52" i="10"/>
  <c r="AE70" i="10"/>
  <c r="AE30" i="10"/>
  <c r="AD106" i="10"/>
  <c r="AV101" i="10"/>
  <c r="AW101" i="10" s="1"/>
  <c r="AD192" i="10"/>
  <c r="AE517" i="10"/>
  <c r="AE401" i="10"/>
  <c r="AV239" i="10"/>
  <c r="AX239" i="10" s="1"/>
  <c r="AE247" i="10"/>
  <c r="AE271" i="10"/>
  <c r="AE366" i="10"/>
  <c r="AD505" i="10"/>
  <c r="AE68" i="10"/>
  <c r="AD175" i="10"/>
  <c r="AE140" i="10"/>
  <c r="AV404" i="10"/>
  <c r="AX404" i="10" s="1"/>
  <c r="AD550" i="10"/>
  <c r="AV345" i="10"/>
  <c r="AW345" i="10" s="1"/>
  <c r="AV70" i="10"/>
  <c r="AW70" i="10" s="1"/>
  <c r="AD451" i="10"/>
  <c r="AD266" i="10"/>
  <c r="AE527" i="10"/>
  <c r="AV407" i="10"/>
  <c r="AW407" i="10" s="1"/>
  <c r="AE515" i="10"/>
  <c r="AV313" i="10"/>
  <c r="AX313" i="10" s="1"/>
  <c r="AE414" i="10"/>
  <c r="AD346" i="10"/>
  <c r="AD267" i="10"/>
  <c r="AD384" i="10"/>
  <c r="AE472" i="10"/>
  <c r="AV183" i="10"/>
  <c r="AX183" i="10" s="1"/>
  <c r="AE277" i="10"/>
  <c r="AD321" i="10"/>
  <c r="AV193" i="10"/>
  <c r="AW193" i="10" s="1"/>
  <c r="AV359" i="10"/>
  <c r="AX359" i="10" s="1"/>
  <c r="AD474" i="10"/>
  <c r="AE360" i="10"/>
  <c r="AE269" i="10"/>
  <c r="AD39" i="10"/>
  <c r="AV161" i="10"/>
  <c r="AW161" i="10" s="1"/>
  <c r="AE333" i="10"/>
  <c r="AV447" i="10"/>
  <c r="AX447" i="10" s="1"/>
  <c r="AE479" i="10"/>
  <c r="AV546" i="10"/>
  <c r="AX546" i="10" s="1"/>
  <c r="AX430" i="10"/>
  <c r="AD169" i="10"/>
  <c r="AE162" i="10"/>
  <c r="AV114" i="10"/>
  <c r="AX114" i="10" s="1"/>
  <c r="AD344" i="10"/>
  <c r="AV49" i="10"/>
  <c r="AW49" i="10" s="1"/>
  <c r="AV238" i="10"/>
  <c r="AX238" i="10" s="1"/>
  <c r="AE7" i="10"/>
  <c r="AD239" i="10"/>
  <c r="AE376" i="10"/>
  <c r="AD549" i="10"/>
  <c r="AD247" i="10"/>
  <c r="AV60" i="10"/>
  <c r="AW60" i="10" s="1"/>
  <c r="AE506" i="10"/>
  <c r="AE57" i="10"/>
  <c r="AD161" i="10"/>
  <c r="AV260" i="10"/>
  <c r="AX260" i="10" s="1"/>
  <c r="AD390" i="10"/>
  <c r="AE407" i="10"/>
  <c r="AD217" i="10"/>
  <c r="AE131" i="10"/>
  <c r="AV467" i="10"/>
  <c r="AX467" i="10" s="1"/>
  <c r="AE146" i="10"/>
  <c r="AV135" i="10"/>
  <c r="AW135" i="10" s="1"/>
  <c r="AV252" i="10"/>
  <c r="AW252" i="10" s="1"/>
  <c r="AD313" i="10"/>
  <c r="AD417" i="10"/>
  <c r="AE109" i="10"/>
  <c r="AV226" i="10"/>
  <c r="AX226" i="10" s="1"/>
  <c r="AD447" i="10"/>
  <c r="AV159" i="10"/>
  <c r="AW159" i="10" s="1"/>
  <c r="AE198" i="10"/>
  <c r="AE384" i="10"/>
  <c r="AD303" i="10"/>
  <c r="AD264" i="10"/>
  <c r="AV479" i="10"/>
  <c r="AW479" i="10" s="1"/>
  <c r="AE481" i="10"/>
  <c r="AV347" i="10"/>
  <c r="AW347" i="10" s="1"/>
  <c r="AD450" i="10"/>
  <c r="AD183" i="10"/>
  <c r="AD329" i="10"/>
  <c r="AV504" i="10"/>
  <c r="AW504" i="10" s="1"/>
  <c r="AW517" i="10"/>
  <c r="AD386" i="10"/>
  <c r="AV349" i="10"/>
  <c r="AW349" i="10" s="1"/>
  <c r="AE445" i="10"/>
  <c r="AE214" i="10"/>
  <c r="AE321" i="10"/>
  <c r="AV400" i="10"/>
  <c r="AX400" i="10" s="1"/>
  <c r="AE50" i="10"/>
  <c r="AE142" i="10"/>
  <c r="AD163" i="10"/>
  <c r="AV140" i="10"/>
  <c r="AX140" i="10" s="1"/>
  <c r="AE524" i="10"/>
  <c r="AE550" i="10"/>
  <c r="AE87" i="10"/>
  <c r="AV103" i="10"/>
  <c r="AX103" i="10" s="1"/>
  <c r="AD345" i="10"/>
  <c r="AE169" i="10"/>
  <c r="AV438" i="10"/>
  <c r="AX438" i="10" s="1"/>
  <c r="AD177" i="10"/>
  <c r="AV191" i="10"/>
  <c r="AX191" i="10" s="1"/>
  <c r="AD359" i="10"/>
  <c r="AD101" i="10"/>
  <c r="AV179" i="10"/>
  <c r="AX179" i="10" s="1"/>
  <c r="AD401" i="10"/>
  <c r="AD49" i="10"/>
  <c r="AV268" i="10"/>
  <c r="AW268" i="10" s="1"/>
  <c r="AE435" i="10"/>
  <c r="AD376" i="10"/>
  <c r="AE418" i="10"/>
  <c r="AD506" i="10"/>
  <c r="AE260" i="10"/>
  <c r="AD131" i="10"/>
  <c r="AE555" i="10"/>
  <c r="AD32" i="10"/>
  <c r="AE307" i="10"/>
  <c r="AD22" i="10"/>
  <c r="AV147" i="10"/>
  <c r="AX147" i="10" s="1"/>
  <c r="AD308" i="10"/>
  <c r="AV545" i="10"/>
  <c r="AW545" i="10" s="1"/>
  <c r="AV232" i="10"/>
  <c r="AX232" i="10" s="1"/>
  <c r="AE40" i="10"/>
  <c r="AE298" i="10"/>
  <c r="AE375" i="10"/>
  <c r="AE529" i="10"/>
  <c r="AD87" i="10"/>
  <c r="AD230" i="10"/>
  <c r="AE482" i="10"/>
  <c r="AV518" i="10"/>
  <c r="AX518" i="10" s="1"/>
  <c r="AS374" i="5"/>
  <c r="AU374" i="5" s="1"/>
  <c r="AD190" i="10"/>
  <c r="AV146" i="10"/>
  <c r="AX146" i="10" s="1"/>
  <c r="AV429" i="10"/>
  <c r="AX429" i="10" s="1"/>
  <c r="AV454" i="10"/>
  <c r="AW454" i="10" s="1"/>
  <c r="AE154" i="10"/>
  <c r="AE20" i="10"/>
  <c r="AD476" i="10"/>
  <c r="AD287" i="10"/>
  <c r="AW162" i="10"/>
  <c r="AV223" i="10"/>
  <c r="AX223" i="10" s="1"/>
  <c r="AD114" i="10"/>
  <c r="AE192" i="10"/>
  <c r="AE480" i="10"/>
  <c r="AD189" i="10"/>
  <c r="AE189" i="10"/>
  <c r="V11" i="10"/>
  <c r="AD238" i="10"/>
  <c r="AV31" i="10"/>
  <c r="AW31" i="10" s="1"/>
  <c r="AV74" i="10"/>
  <c r="AW74" i="10" s="1"/>
  <c r="AV357" i="10"/>
  <c r="AX357" i="10" s="1"/>
  <c r="AV519" i="10"/>
  <c r="AX519" i="10" s="1"/>
  <c r="AV270" i="10"/>
  <c r="AX270" i="10" s="1"/>
  <c r="AD542" i="10"/>
  <c r="AV213" i="10"/>
  <c r="AX213" i="10" s="1"/>
  <c r="AE408" i="10"/>
  <c r="AV210" i="10"/>
  <c r="AW210" i="10" s="1"/>
  <c r="AD273" i="10"/>
  <c r="AD418" i="10"/>
  <c r="AE484" i="10"/>
  <c r="AD31" i="10"/>
  <c r="AE207" i="10"/>
  <c r="AD83" i="10"/>
  <c r="AD234" i="10"/>
  <c r="AD187" i="10"/>
  <c r="AE226" i="10"/>
  <c r="AE282" i="10"/>
  <c r="AE74" i="10"/>
  <c r="AD159" i="10"/>
  <c r="AE22" i="10"/>
  <c r="AE99" i="10"/>
  <c r="AD147" i="10"/>
  <c r="AD306" i="10"/>
  <c r="AV511" i="10"/>
  <c r="AW511" i="10" s="1"/>
  <c r="AD545" i="10"/>
  <c r="AE94" i="10"/>
  <c r="AD439" i="10"/>
  <c r="AV40" i="10"/>
  <c r="AX40" i="10" s="1"/>
  <c r="AV23" i="10"/>
  <c r="AX23" i="10" s="1"/>
  <c r="AV42" i="10"/>
  <c r="AW42" i="10" s="1"/>
  <c r="AV154" i="10"/>
  <c r="AW154" i="10" s="1"/>
  <c r="AE448" i="10"/>
  <c r="AV375" i="10"/>
  <c r="AX375" i="10" s="1"/>
  <c r="AE476" i="10"/>
  <c r="AV524" i="10"/>
  <c r="AW524" i="10" s="1"/>
  <c r="AV287" i="10"/>
  <c r="AW287" i="10" s="1"/>
  <c r="AD134" i="10"/>
  <c r="AE402" i="10"/>
  <c r="AD438" i="10"/>
  <c r="AE177" i="10"/>
  <c r="AV461" i="10"/>
  <c r="AW461" i="10" s="1"/>
  <c r="AV523" i="10"/>
  <c r="AX523" i="10" s="1"/>
  <c r="AE281" i="10"/>
  <c r="AD246" i="10"/>
  <c r="AD431" i="10"/>
  <c r="AV19" i="10"/>
  <c r="AX19" i="10" s="1"/>
  <c r="AD430" i="10"/>
  <c r="AE430" i="10"/>
  <c r="AV344" i="10"/>
  <c r="AW344" i="10" s="1"/>
  <c r="AD96" i="10"/>
  <c r="AC11" i="10"/>
  <c r="AE11" i="10" s="1"/>
  <c r="AE374" i="10"/>
  <c r="AD408" i="10"/>
  <c r="AE273" i="10"/>
  <c r="AD484" i="10"/>
  <c r="AV460" i="10"/>
  <c r="AX460" i="10" s="1"/>
  <c r="AV187" i="10"/>
  <c r="AX187" i="10" s="1"/>
  <c r="AD532" i="10"/>
  <c r="AD99" i="10"/>
  <c r="AE537" i="10"/>
  <c r="AD483" i="10"/>
  <c r="AD76" i="10"/>
  <c r="AD324" i="10"/>
  <c r="AE461" i="10"/>
  <c r="AV237" i="10"/>
  <c r="AX237" i="10" s="1"/>
  <c r="AE237" i="10"/>
  <c r="AE19" i="10"/>
  <c r="AD162" i="10"/>
  <c r="AD144" i="10"/>
  <c r="AA11" i="10"/>
  <c r="AV190" i="10"/>
  <c r="AX190" i="10" s="1"/>
  <c r="AV84" i="10"/>
  <c r="AX84" i="10" s="1"/>
  <c r="AE311" i="10"/>
  <c r="AE368" i="10"/>
  <c r="AE417" i="10"/>
  <c r="AE457" i="10"/>
  <c r="AV505" i="10"/>
  <c r="AW505" i="10" s="1"/>
  <c r="AV327" i="10"/>
  <c r="AX327" i="10" s="1"/>
  <c r="AD97" i="10"/>
  <c r="AV264" i="10"/>
  <c r="AX264" i="10" s="1"/>
  <c r="AD394" i="10"/>
  <c r="AV201" i="10"/>
  <c r="AX201" i="10" s="1"/>
  <c r="AV91" i="10"/>
  <c r="AX91" i="10" s="1"/>
  <c r="AD20" i="10"/>
  <c r="AE404" i="10"/>
  <c r="AV554" i="10"/>
  <c r="AX554" i="10" s="1"/>
  <c r="AD409" i="10"/>
  <c r="AB11" i="10"/>
  <c r="AO11" i="10"/>
  <c r="AE10" i="10"/>
  <c r="AV311" i="10"/>
  <c r="AX311" i="10" s="1"/>
  <c r="AV267" i="10"/>
  <c r="AW267" i="10" s="1"/>
  <c r="AE429" i="10"/>
  <c r="AD201" i="10"/>
  <c r="AD504" i="10"/>
  <c r="AD91" i="10"/>
  <c r="AD554" i="10"/>
  <c r="AV409" i="10"/>
  <c r="AW409" i="10" s="1"/>
  <c r="AD179" i="10"/>
  <c r="AS11" i="10"/>
  <c r="AE240" i="10"/>
  <c r="AV521" i="10"/>
  <c r="AX521" i="10" s="1"/>
  <c r="AD472" i="10"/>
  <c r="AD370" i="10"/>
  <c r="AE453" i="10"/>
  <c r="AV255" i="10"/>
  <c r="AW255" i="10" s="1"/>
  <c r="AE149" i="10"/>
  <c r="AE27" i="10"/>
  <c r="AD397" i="10"/>
  <c r="AE470" i="10"/>
  <c r="AE508" i="10"/>
  <c r="AV149" i="10"/>
  <c r="AW149" i="10" s="1"/>
  <c r="AV397" i="10"/>
  <c r="AX397" i="10" s="1"/>
  <c r="AV470" i="10"/>
  <c r="AX470" i="10" s="1"/>
  <c r="AE71" i="10"/>
  <c r="AV508" i="10"/>
  <c r="AX508" i="10" s="1"/>
  <c r="AR11" i="10"/>
  <c r="AS329" i="5"/>
  <c r="AT329" i="5" s="1"/>
  <c r="AS52" i="5"/>
  <c r="AU52" i="5" s="1"/>
  <c r="AD52" i="5"/>
  <c r="AD266" i="5"/>
  <c r="AS481" i="5"/>
  <c r="AT481" i="5" s="1"/>
  <c r="AS274" i="5"/>
  <c r="AU274" i="5" s="1"/>
  <c r="AD205" i="5"/>
  <c r="AD115" i="5"/>
  <c r="AS205" i="5"/>
  <c r="AU205" i="5" s="1"/>
  <c r="AE274" i="5"/>
  <c r="AD481" i="5"/>
  <c r="AS115" i="5"/>
  <c r="AT115" i="5" s="1"/>
  <c r="AS440" i="5"/>
  <c r="AT440" i="5" s="1"/>
  <c r="AS204" i="5"/>
  <c r="AU204" i="5" s="1"/>
  <c r="AS470" i="5"/>
  <c r="AT470" i="5" s="1"/>
  <c r="AS288" i="5"/>
  <c r="AU288" i="5" s="1"/>
  <c r="AE288" i="5"/>
  <c r="AS229" i="5"/>
  <c r="AU229" i="5" s="1"/>
  <c r="AS22" i="5"/>
  <c r="AU22" i="5" s="1"/>
  <c r="AS19" i="5"/>
  <c r="AT19" i="5" s="1"/>
  <c r="AS65" i="5"/>
  <c r="AU65" i="5" s="1"/>
  <c r="AE229" i="5"/>
  <c r="AU216" i="5"/>
  <c r="AD540" i="5"/>
  <c r="AE240" i="5"/>
  <c r="AE216" i="5"/>
  <c r="AS540" i="5"/>
  <c r="AT540" i="5" s="1"/>
  <c r="AD216" i="5"/>
  <c r="AS30" i="5"/>
  <c r="AT30" i="5" s="1"/>
  <c r="AE388" i="5"/>
  <c r="AS515" i="5"/>
  <c r="AT515" i="5" s="1"/>
  <c r="AE470" i="5"/>
  <c r="AD194" i="5"/>
  <c r="AS42" i="5"/>
  <c r="AU42" i="5" s="1"/>
  <c r="AD411" i="5"/>
  <c r="AS95" i="5"/>
  <c r="AT95" i="5" s="1"/>
  <c r="AS397" i="5"/>
  <c r="AT397" i="5" s="1"/>
  <c r="AE440" i="5"/>
  <c r="AE397" i="5"/>
  <c r="AS411" i="5"/>
  <c r="AU411" i="5" s="1"/>
  <c r="AU422" i="5"/>
  <c r="AS306" i="5"/>
  <c r="AU306" i="5" s="1"/>
  <c r="AD204" i="5"/>
  <c r="AE30" i="5"/>
  <c r="AD422" i="5"/>
  <c r="AE422" i="5"/>
  <c r="AE9" i="10"/>
  <c r="AD306" i="5"/>
  <c r="AS138" i="5"/>
  <c r="AT138" i="5" s="1"/>
  <c r="AE504" i="5"/>
  <c r="AD504" i="5"/>
  <c r="AD434" i="5"/>
  <c r="AD347" i="5"/>
  <c r="AP11" i="5"/>
  <c r="AR11" i="5" s="1"/>
  <c r="AE522" i="5"/>
  <c r="AT366" i="5"/>
  <c r="AD346" i="5"/>
  <c r="AD246" i="5"/>
  <c r="AE393" i="5"/>
  <c r="AE190" i="5"/>
  <c r="AD42" i="5"/>
  <c r="AD366" i="5"/>
  <c r="AU434" i="5"/>
  <c r="AS266" i="5"/>
  <c r="AT266" i="5" s="1"/>
  <c r="AD483" i="5"/>
  <c r="AS525" i="5"/>
  <c r="AT525" i="5" s="1"/>
  <c r="AE515" i="5"/>
  <c r="AT160" i="5"/>
  <c r="AS437" i="5"/>
  <c r="AT437" i="5" s="1"/>
  <c r="AS240" i="5"/>
  <c r="AU240" i="5" s="1"/>
  <c r="AD525" i="5"/>
  <c r="AD95" i="5"/>
  <c r="AT117" i="5"/>
  <c r="AS194" i="5"/>
  <c r="AU194" i="5" s="1"/>
  <c r="AD193" i="5"/>
  <c r="AE366" i="5"/>
  <c r="AE160" i="5"/>
  <c r="AD281" i="5"/>
  <c r="AN11" i="5"/>
  <c r="AD107" i="5"/>
  <c r="AE117" i="5"/>
  <c r="AD117" i="5"/>
  <c r="AS549" i="5"/>
  <c r="AU549" i="5" s="1"/>
  <c r="AD19" i="5"/>
  <c r="AU504" i="5"/>
  <c r="AD160" i="5"/>
  <c r="AS347" i="5"/>
  <c r="AT347" i="5" s="1"/>
  <c r="AV9" i="10"/>
  <c r="AW9" i="10" s="1"/>
  <c r="AS73" i="5"/>
  <c r="AT73" i="5" s="1"/>
  <c r="AS522" i="5"/>
  <c r="AU522" i="5" s="1"/>
  <c r="AE408" i="5"/>
  <c r="AD492" i="5"/>
  <c r="AD22" i="5"/>
  <c r="AS287" i="5"/>
  <c r="AT287" i="5" s="1"/>
  <c r="AE287" i="5"/>
  <c r="AE434" i="5"/>
  <c r="AE363" i="5"/>
  <c r="AE189" i="5"/>
  <c r="AS363" i="5"/>
  <c r="AU363" i="5" s="1"/>
  <c r="AS351" i="5"/>
  <c r="AT351" i="5" s="1"/>
  <c r="AS189" i="5"/>
  <c r="AT189" i="5" s="1"/>
  <c r="AD213" i="5"/>
  <c r="AS89" i="5"/>
  <c r="AU89" i="5" s="1"/>
  <c r="AD408" i="5"/>
  <c r="AD73" i="5"/>
  <c r="AE147" i="5"/>
  <c r="AS193" i="5"/>
  <c r="AU193" i="5" s="1"/>
  <c r="AS483" i="5"/>
  <c r="AT483" i="5" s="1"/>
  <c r="AD393" i="5"/>
  <c r="AS342" i="5"/>
  <c r="AT342" i="5" s="1"/>
  <c r="AT9" i="10"/>
  <c r="AU9" i="10"/>
  <c r="AW10" i="10"/>
  <c r="AX10" i="10"/>
  <c r="AT408" i="5"/>
  <c r="AD147" i="5"/>
  <c r="AE33" i="5"/>
  <c r="AU33" i="5"/>
  <c r="AE519" i="5"/>
  <c r="AE403" i="5"/>
  <c r="AE89" i="5"/>
  <c r="AS403" i="5"/>
  <c r="AT403" i="5" s="1"/>
  <c r="AE342" i="5"/>
  <c r="AE437" i="5"/>
  <c r="AD33" i="5"/>
  <c r="AS107" i="5"/>
  <c r="AU107" i="5" s="1"/>
  <c r="AE83" i="5"/>
  <c r="AS83" i="5"/>
  <c r="AT83" i="5" s="1"/>
  <c r="AE281" i="5"/>
  <c r="AS492" i="5"/>
  <c r="AT492" i="5" s="1"/>
  <c r="AT147" i="5"/>
  <c r="AT213" i="5"/>
  <c r="AW552" i="10"/>
  <c r="AX160" i="10"/>
  <c r="AW28" i="10"/>
  <c r="AT281" i="5"/>
  <c r="AT188" i="5"/>
  <c r="AS530" i="5"/>
  <c r="AT530" i="5" s="1"/>
  <c r="AU70" i="5"/>
  <c r="AS190" i="5"/>
  <c r="AU190" i="5" s="1"/>
  <c r="AE65" i="5"/>
  <c r="AD70" i="5"/>
  <c r="AS346" i="5"/>
  <c r="AT346" i="5" s="1"/>
  <c r="AS203" i="5"/>
  <c r="AU203" i="5" s="1"/>
  <c r="AS394" i="5"/>
  <c r="AU394" i="5" s="1"/>
  <c r="AD400" i="5"/>
  <c r="AE203" i="5"/>
  <c r="AE530" i="5"/>
  <c r="AE279" i="5"/>
  <c r="AS388" i="5"/>
  <c r="AU388" i="5" s="1"/>
  <c r="V11" i="5"/>
  <c r="AE188" i="5"/>
  <c r="AE207" i="5"/>
  <c r="AT279" i="5"/>
  <c r="AD279" i="5"/>
  <c r="AS400" i="5"/>
  <c r="AU400" i="5" s="1"/>
  <c r="AD188" i="5"/>
  <c r="AE70" i="5"/>
  <c r="AD207" i="5"/>
  <c r="AD311" i="5"/>
  <c r="AD170" i="5"/>
  <c r="AE213" i="5"/>
  <c r="AE100" i="5"/>
  <c r="AS519" i="5"/>
  <c r="AT519" i="5" s="1"/>
  <c r="AE138" i="5"/>
  <c r="AD329" i="5"/>
  <c r="AW312" i="10"/>
  <c r="AX312" i="10"/>
  <c r="AX527" i="10"/>
  <c r="AW527" i="10"/>
  <c r="AW122" i="10"/>
  <c r="AX122" i="10"/>
  <c r="AW371" i="10"/>
  <c r="AX371" i="10"/>
  <c r="AW198" i="10"/>
  <c r="AX198" i="10"/>
  <c r="AX472" i="10"/>
  <c r="AW472" i="10"/>
  <c r="AX46" i="10"/>
  <c r="AW46" i="10"/>
  <c r="AX306" i="10"/>
  <c r="AW306" i="10"/>
  <c r="AW204" i="10"/>
  <c r="AX204" i="10"/>
  <c r="AW421" i="10"/>
  <c r="AX421" i="10"/>
  <c r="AW142" i="10"/>
  <c r="AX142" i="10"/>
  <c r="AX476" i="10"/>
  <c r="AW476" i="10"/>
  <c r="AW498" i="10"/>
  <c r="AX498" i="10"/>
  <c r="AX79" i="10"/>
  <c r="AW79" i="10"/>
  <c r="AW383" i="10"/>
  <c r="AX383" i="10"/>
  <c r="AD60" i="5"/>
  <c r="AX443" i="10"/>
  <c r="AW443" i="10"/>
  <c r="AW56" i="10"/>
  <c r="AX56" i="10"/>
  <c r="AX247" i="10"/>
  <c r="AW247" i="10"/>
  <c r="AW54" i="10"/>
  <c r="AX54" i="10"/>
  <c r="AW224" i="10"/>
  <c r="AX224" i="10"/>
  <c r="AX506" i="10"/>
  <c r="AW506" i="10"/>
  <c r="AX207" i="10"/>
  <c r="AW207" i="10"/>
  <c r="AW368" i="10"/>
  <c r="AX368" i="10"/>
  <c r="AX449" i="10"/>
  <c r="AW449" i="10"/>
  <c r="AX117" i="10"/>
  <c r="AW117" i="10"/>
  <c r="AX131" i="10"/>
  <c r="AW131" i="10"/>
  <c r="AX108" i="10"/>
  <c r="AW108" i="10"/>
  <c r="AX297" i="10"/>
  <c r="AW297" i="10"/>
  <c r="AW417" i="10"/>
  <c r="AX417" i="10"/>
  <c r="AX259" i="10"/>
  <c r="AW259" i="10"/>
  <c r="AW387" i="10"/>
  <c r="AX387" i="10"/>
  <c r="AX478" i="10"/>
  <c r="AW478" i="10"/>
  <c r="AW520" i="10"/>
  <c r="AX520" i="10"/>
  <c r="AX124" i="10"/>
  <c r="AW124" i="10"/>
  <c r="AX370" i="10"/>
  <c r="AW370" i="10"/>
  <c r="AX547" i="10"/>
  <c r="AW547" i="10"/>
  <c r="AW92" i="10"/>
  <c r="AX92" i="10"/>
  <c r="AX386" i="10"/>
  <c r="AW386" i="10"/>
  <c r="AW364" i="10"/>
  <c r="AX364" i="10"/>
  <c r="AX428" i="10"/>
  <c r="AW428" i="10"/>
  <c r="AX445" i="10"/>
  <c r="AW445" i="10"/>
  <c r="AX503" i="10"/>
  <c r="AW503" i="10"/>
  <c r="AX152" i="10"/>
  <c r="AW152" i="10"/>
  <c r="AW493" i="10"/>
  <c r="AX493" i="10"/>
  <c r="AW78" i="10"/>
  <c r="AX78" i="10"/>
  <c r="AW280" i="10"/>
  <c r="AX280" i="10"/>
  <c r="AX309" i="10"/>
  <c r="AW309" i="10"/>
  <c r="AX551" i="10"/>
  <c r="AW551" i="10"/>
  <c r="AW52" i="10"/>
  <c r="AX52" i="10"/>
  <c r="AX169" i="10"/>
  <c r="AW169" i="10"/>
  <c r="AW45" i="10"/>
  <c r="AX45" i="10"/>
  <c r="AX127" i="10"/>
  <c r="AW127" i="10"/>
  <c r="AX416" i="10"/>
  <c r="AW416" i="10"/>
  <c r="AX115" i="10"/>
  <c r="AW115" i="10"/>
  <c r="AX426" i="10"/>
  <c r="AW426" i="10"/>
  <c r="AX398" i="10"/>
  <c r="AW398" i="10"/>
  <c r="AW62" i="10"/>
  <c r="AX62" i="10"/>
  <c r="AX229" i="10"/>
  <c r="AW229" i="10"/>
  <c r="AX245" i="10"/>
  <c r="AW245" i="10"/>
  <c r="AX390" i="10"/>
  <c r="AW390" i="10"/>
  <c r="AW172" i="10"/>
  <c r="AX172" i="10"/>
  <c r="AW553" i="10"/>
  <c r="AX553" i="10"/>
  <c r="AX282" i="10"/>
  <c r="AW282" i="10"/>
  <c r="AX22" i="10"/>
  <c r="AW22" i="10"/>
  <c r="AX295" i="10"/>
  <c r="AW295" i="10"/>
  <c r="AX510" i="10"/>
  <c r="AW510" i="10"/>
  <c r="AX185" i="10"/>
  <c r="AW185" i="10"/>
  <c r="AX529" i="10"/>
  <c r="AW529" i="10"/>
  <c r="AW542" i="10"/>
  <c r="AX542" i="10"/>
  <c r="AW230" i="10"/>
  <c r="AX230" i="10"/>
  <c r="AD176" i="5"/>
  <c r="AE423" i="5"/>
  <c r="AX25" i="10"/>
  <c r="AW25" i="10"/>
  <c r="AX374" i="10"/>
  <c r="AW374" i="10"/>
  <c r="AX408" i="10"/>
  <c r="AW408" i="10"/>
  <c r="AX157" i="10"/>
  <c r="AW157" i="10"/>
  <c r="AX442" i="10"/>
  <c r="AW442" i="10"/>
  <c r="AX95" i="10"/>
  <c r="AW95" i="10"/>
  <c r="AX173" i="10"/>
  <c r="AW173" i="10"/>
  <c r="AW170" i="10"/>
  <c r="AX170" i="10"/>
  <c r="AX531" i="10"/>
  <c r="AW531" i="10"/>
  <c r="AX355" i="10"/>
  <c r="AW355" i="10"/>
  <c r="AW348" i="10"/>
  <c r="AX348" i="10"/>
  <c r="AX333" i="10"/>
  <c r="AW333" i="10"/>
  <c r="AX77" i="10"/>
  <c r="AW77" i="10"/>
  <c r="AX307" i="10"/>
  <c r="AW307" i="10"/>
  <c r="AX384" i="10"/>
  <c r="AW384" i="10"/>
  <c r="AW532" i="10"/>
  <c r="AX532" i="10"/>
  <c r="AX233" i="10"/>
  <c r="AW233" i="10"/>
  <c r="AX249" i="10"/>
  <c r="AW249" i="10"/>
  <c r="AW516" i="10"/>
  <c r="AX516" i="10"/>
  <c r="AW180" i="10"/>
  <c r="AX180" i="10"/>
  <c r="AX111" i="10"/>
  <c r="AW111" i="10"/>
  <c r="AX277" i="10"/>
  <c r="AW277" i="10"/>
  <c r="AX322" i="10"/>
  <c r="AW322" i="10"/>
  <c r="AW427" i="10"/>
  <c r="AX427" i="10"/>
  <c r="AW134" i="10"/>
  <c r="AX134" i="10"/>
  <c r="AW194" i="10"/>
  <c r="AX194" i="10"/>
  <c r="AX257" i="10"/>
  <c r="AW257" i="10"/>
  <c r="AX402" i="10"/>
  <c r="AW402" i="10"/>
  <c r="AW30" i="10"/>
  <c r="AX30" i="10"/>
  <c r="AX177" i="10"/>
  <c r="AW177" i="10"/>
  <c r="AX337" i="10"/>
  <c r="AW337" i="10"/>
  <c r="AW391" i="10"/>
  <c r="AX391" i="10"/>
  <c r="AX317" i="10"/>
  <c r="AW317" i="10"/>
  <c r="AX366" i="10"/>
  <c r="AW366" i="10"/>
  <c r="AW395" i="10"/>
  <c r="AX395" i="10"/>
  <c r="AW526" i="10"/>
  <c r="AX526" i="10"/>
  <c r="AX99" i="10"/>
  <c r="AW99" i="10"/>
  <c r="AX231" i="10"/>
  <c r="AW231" i="10"/>
  <c r="AX437" i="10"/>
  <c r="AW437" i="10"/>
  <c r="AW76" i="10"/>
  <c r="AX76" i="10"/>
  <c r="AX153" i="10"/>
  <c r="AW153" i="10"/>
  <c r="AX35" i="10"/>
  <c r="AW35" i="10"/>
  <c r="AX211" i="10"/>
  <c r="AW211" i="10"/>
  <c r="AW380" i="10"/>
  <c r="AX380" i="10"/>
  <c r="AW168" i="10"/>
  <c r="AX168" i="10"/>
  <c r="AX65" i="10"/>
  <c r="AW65" i="10"/>
  <c r="AE529" i="5"/>
  <c r="AE215" i="5"/>
  <c r="AD215" i="5"/>
  <c r="AS482" i="5"/>
  <c r="AU482" i="5" s="1"/>
  <c r="AD305" i="5"/>
  <c r="AE305" i="5"/>
  <c r="AT305" i="5"/>
  <c r="AS90" i="5"/>
  <c r="AT90" i="5" s="1"/>
  <c r="AD90" i="5"/>
  <c r="AX39" i="10"/>
  <c r="AW39" i="10"/>
  <c r="AW376" i="10"/>
  <c r="AX376" i="10"/>
  <c r="AX107" i="10"/>
  <c r="AW107" i="10"/>
  <c r="AX273" i="10"/>
  <c r="AW273" i="10"/>
  <c r="AX418" i="10"/>
  <c r="AW418" i="10"/>
  <c r="AX484" i="10"/>
  <c r="AW484" i="10"/>
  <c r="AX543" i="10"/>
  <c r="AW543" i="10"/>
  <c r="AX541" i="10"/>
  <c r="AW541" i="10"/>
  <c r="AW34" i="10"/>
  <c r="AX34" i="10"/>
  <c r="AX420" i="10"/>
  <c r="AW420" i="10"/>
  <c r="AX113" i="10"/>
  <c r="AW113" i="10"/>
  <c r="AX303" i="10"/>
  <c r="AW303" i="10"/>
  <c r="AW94" i="10"/>
  <c r="AX94" i="10"/>
  <c r="AX274" i="10"/>
  <c r="AW274" i="10"/>
  <c r="AX537" i="10"/>
  <c r="AW537" i="10"/>
  <c r="AX66" i="10"/>
  <c r="AW66" i="10"/>
  <c r="AX125" i="10"/>
  <c r="AW125" i="10"/>
  <c r="AX456" i="10"/>
  <c r="AW456" i="10"/>
  <c r="AX305" i="10"/>
  <c r="AW305" i="10"/>
  <c r="AX175" i="10"/>
  <c r="AW175" i="10"/>
  <c r="AX343" i="10"/>
  <c r="AW343" i="10"/>
  <c r="AX321" i="10"/>
  <c r="AW321" i="10"/>
  <c r="AW448" i="10"/>
  <c r="AX448" i="10"/>
  <c r="AX535" i="10"/>
  <c r="AW535" i="10"/>
  <c r="AX20" i="10"/>
  <c r="AW20" i="10"/>
  <c r="AX550" i="10"/>
  <c r="AW550" i="10"/>
  <c r="AX87" i="10"/>
  <c r="AW87" i="10"/>
  <c r="AX41" i="10"/>
  <c r="AW41" i="10"/>
  <c r="AX488" i="10"/>
  <c r="AW488" i="10"/>
  <c r="AX482" i="10"/>
  <c r="AW482" i="10"/>
  <c r="AW514" i="10"/>
  <c r="AX514" i="10"/>
  <c r="AT373" i="5"/>
  <c r="AT207" i="5"/>
  <c r="AU100" i="5"/>
  <c r="AT393" i="5"/>
  <c r="AT256" i="5"/>
  <c r="AU253" i="5"/>
  <c r="AU337" i="5"/>
  <c r="AS176" i="5"/>
  <c r="AT176" i="5" s="1"/>
  <c r="AD529" i="5"/>
  <c r="AD100" i="5"/>
  <c r="AE60" i="5"/>
  <c r="AD94" i="5"/>
  <c r="AS94" i="5"/>
  <c r="AT94" i="5" s="1"/>
  <c r="AE360" i="5"/>
  <c r="AS170" i="5"/>
  <c r="AT170" i="5" s="1"/>
  <c r="AS257" i="5"/>
  <c r="AU257" i="5" s="1"/>
  <c r="AE61" i="5"/>
  <c r="AD410" i="5"/>
  <c r="AD373" i="5"/>
  <c r="AD326" i="5"/>
  <c r="AE355" i="5"/>
  <c r="AS355" i="5"/>
  <c r="AT355" i="5" s="1"/>
  <c r="AD421" i="5"/>
  <c r="AS292" i="5"/>
  <c r="AU292" i="5" s="1"/>
  <c r="AS545" i="5"/>
  <c r="AT545" i="5" s="1"/>
  <c r="AE256" i="5"/>
  <c r="AD383" i="5"/>
  <c r="AE394" i="5"/>
  <c r="AD162" i="5"/>
  <c r="AU162" i="5"/>
  <c r="AE86" i="5"/>
  <c r="AS421" i="5"/>
  <c r="AT421" i="5" s="1"/>
  <c r="AD47" i="5"/>
  <c r="AD549" i="5"/>
  <c r="AS47" i="5"/>
  <c r="AT47" i="5" s="1"/>
  <c r="AD239" i="5"/>
  <c r="AS239" i="5"/>
  <c r="AU239" i="5" s="1"/>
  <c r="AD201" i="5"/>
  <c r="AE201" i="5"/>
  <c r="AS410" i="5"/>
  <c r="AT410" i="5" s="1"/>
  <c r="AD500" i="5"/>
  <c r="AE311" i="5"/>
  <c r="AU201" i="5"/>
  <c r="AE109" i="5"/>
  <c r="AT109" i="5"/>
  <c r="AE541" i="5"/>
  <c r="AU541" i="5"/>
  <c r="AE520" i="5"/>
  <c r="AU520" i="5"/>
  <c r="AD541" i="5"/>
  <c r="AD296" i="5"/>
  <c r="AS246" i="5"/>
  <c r="AU246" i="5" s="1"/>
  <c r="AE351" i="5"/>
  <c r="AE292" i="5"/>
  <c r="AS296" i="5"/>
  <c r="AT296" i="5" s="1"/>
  <c r="AS503" i="5"/>
  <c r="AT503" i="5" s="1"/>
  <c r="AS196" i="5"/>
  <c r="AU196" i="5" s="1"/>
  <c r="AS383" i="5"/>
  <c r="AU383" i="5" s="1"/>
  <c r="AD109" i="5"/>
  <c r="AE227" i="5"/>
  <c r="AS154" i="5"/>
  <c r="AT154" i="5" s="1"/>
  <c r="AD196" i="5"/>
  <c r="AD520" i="5"/>
  <c r="AT311" i="5"/>
  <c r="AS67" i="5"/>
  <c r="AU67" i="5" s="1"/>
  <c r="AS423" i="5"/>
  <c r="AT423" i="5" s="1"/>
  <c r="AS86" i="5"/>
  <c r="AU86" i="5" s="1"/>
  <c r="AE257" i="5"/>
  <c r="AD61" i="5"/>
  <c r="AE337" i="5"/>
  <c r="AD337" i="5"/>
  <c r="AD253" i="5"/>
  <c r="AE460" i="5"/>
  <c r="AS326" i="5"/>
  <c r="AT326" i="5" s="1"/>
  <c r="AS127" i="5"/>
  <c r="AT127" i="5" s="1"/>
  <c r="AE373" i="5"/>
  <c r="AE472" i="5"/>
  <c r="AD256" i="5"/>
  <c r="AU360" i="5"/>
  <c r="AD27" i="5"/>
  <c r="AB11" i="5"/>
  <c r="AT215" i="5"/>
  <c r="AD67" i="5"/>
  <c r="AD432" i="5"/>
  <c r="AE162" i="5"/>
  <c r="AE253" i="5"/>
  <c r="AT61" i="5"/>
  <c r="AD127" i="5"/>
  <c r="AE496" i="5"/>
  <c r="AD482" i="5"/>
  <c r="AS496" i="5"/>
  <c r="AT496" i="5" s="1"/>
  <c r="AD360" i="5"/>
  <c r="AE536" i="5"/>
  <c r="AT227" i="5"/>
  <c r="AS191" i="5"/>
  <c r="AU191" i="5" s="1"/>
  <c r="AS114" i="5"/>
  <c r="AT114" i="5" s="1"/>
  <c r="AD227" i="5"/>
  <c r="AS536" i="5"/>
  <c r="AT536" i="5" s="1"/>
  <c r="AT54" i="5"/>
  <c r="AD335" i="5"/>
  <c r="AE544" i="5"/>
  <c r="AE480" i="5"/>
  <c r="AS156" i="5"/>
  <c r="AT156" i="5" s="1"/>
  <c r="AE114" i="5"/>
  <c r="AU51" i="5"/>
  <c r="AT280" i="5"/>
  <c r="AD319" i="5"/>
  <c r="AD219" i="5"/>
  <c r="AS380" i="5"/>
  <c r="AU380" i="5" s="1"/>
  <c r="AU484" i="5"/>
  <c r="AD179" i="5"/>
  <c r="AE420" i="5"/>
  <c r="AE111" i="5"/>
  <c r="AS354" i="5"/>
  <c r="AU354" i="5" s="1"/>
  <c r="AE128" i="5"/>
  <c r="AS226" i="5"/>
  <c r="AT226" i="5" s="1"/>
  <c r="AS271" i="5"/>
  <c r="AT271" i="5" s="1"/>
  <c r="AD268" i="5"/>
  <c r="AD442" i="5"/>
  <c r="AD484" i="5"/>
  <c r="AE183" i="5"/>
  <c r="AE545" i="5"/>
  <c r="AE118" i="5"/>
  <c r="AE435" i="5"/>
  <c r="AT413" i="5"/>
  <c r="AE200" i="5"/>
  <c r="AS111" i="5"/>
  <c r="AU111" i="5" s="1"/>
  <c r="AD395" i="5"/>
  <c r="AD259" i="5"/>
  <c r="AE395" i="5"/>
  <c r="AT200" i="5"/>
  <c r="AT217" i="5"/>
  <c r="AE210" i="5"/>
  <c r="AE212" i="5"/>
  <c r="AS532" i="5"/>
  <c r="AT532" i="5" s="1"/>
  <c r="AS546" i="5"/>
  <c r="AU546" i="5" s="1"/>
  <c r="AE442" i="5"/>
  <c r="AE226" i="5"/>
  <c r="AU502" i="5"/>
  <c r="AS210" i="5"/>
  <c r="AU210" i="5" s="1"/>
  <c r="AD183" i="5"/>
  <c r="AS39" i="5"/>
  <c r="AT39" i="5" s="1"/>
  <c r="AS75" i="5"/>
  <c r="AU75" i="5" s="1"/>
  <c r="AD51" i="5"/>
  <c r="AE280" i="5"/>
  <c r="AE179" i="5"/>
  <c r="AD110" i="5"/>
  <c r="AD137" i="5"/>
  <c r="AU128" i="5"/>
  <c r="AS336" i="5"/>
  <c r="AT336" i="5" s="1"/>
  <c r="AE547" i="5"/>
  <c r="AT448" i="5"/>
  <c r="AU49" i="5"/>
  <c r="AD280" i="5"/>
  <c r="AS544" i="5"/>
  <c r="AU544" i="5" s="1"/>
  <c r="AE502" i="5"/>
  <c r="AD217" i="5"/>
  <c r="AD113" i="5"/>
  <c r="AS444" i="5"/>
  <c r="AT444" i="5" s="1"/>
  <c r="AE381" i="5"/>
  <c r="AS212" i="5"/>
  <c r="AU212" i="5" s="1"/>
  <c r="AS435" i="5"/>
  <c r="AU435" i="5" s="1"/>
  <c r="AD156" i="5"/>
  <c r="AD149" i="5"/>
  <c r="AE71" i="5"/>
  <c r="AE532" i="5"/>
  <c r="AE546" i="5"/>
  <c r="AD200" i="5"/>
  <c r="AS235" i="5"/>
  <c r="AT235" i="5" s="1"/>
  <c r="AD191" i="5"/>
  <c r="AE137" i="5"/>
  <c r="AS259" i="5"/>
  <c r="AT259" i="5" s="1"/>
  <c r="AE336" i="5"/>
  <c r="AE484" i="5"/>
  <c r="AD514" i="5"/>
  <c r="AS514" i="5"/>
  <c r="AU514" i="5" s="1"/>
  <c r="AE533" i="5"/>
  <c r="AS426" i="5"/>
  <c r="AT426" i="5" s="1"/>
  <c r="AD241" i="5"/>
  <c r="AS378" i="5"/>
  <c r="AU378" i="5" s="1"/>
  <c r="AE97" i="5"/>
  <c r="AD244" i="5"/>
  <c r="AD136" i="5"/>
  <c r="AS35" i="5"/>
  <c r="AT35" i="5" s="1"/>
  <c r="AE136" i="5"/>
  <c r="AD66" i="5"/>
  <c r="AE102" i="5"/>
  <c r="AS300" i="5"/>
  <c r="AT300" i="5" s="1"/>
  <c r="AE35" i="5"/>
  <c r="AT66" i="5"/>
  <c r="AE66" i="5"/>
  <c r="AU206" i="5"/>
  <c r="AT364" i="5"/>
  <c r="AD503" i="5"/>
  <c r="AS244" i="5"/>
  <c r="AT244" i="5" s="1"/>
  <c r="AD177" i="5"/>
  <c r="AT341" i="5"/>
  <c r="AE241" i="5"/>
  <c r="AD369" i="5"/>
  <c r="AE293" i="5"/>
  <c r="AE177" i="5"/>
  <c r="AE69" i="5"/>
  <c r="AE341" i="5"/>
  <c r="AS102" i="5"/>
  <c r="AT102" i="5" s="1"/>
  <c r="AE426" i="5"/>
  <c r="AS417" i="5"/>
  <c r="AU417" i="5" s="1"/>
  <c r="AS97" i="5"/>
  <c r="AU97" i="5" s="1"/>
  <c r="AS324" i="5"/>
  <c r="AT324" i="5" s="1"/>
  <c r="AE378" i="5"/>
  <c r="AD371" i="5"/>
  <c r="AS371" i="5"/>
  <c r="AU371" i="5" s="1"/>
  <c r="AD154" i="5"/>
  <c r="AD324" i="5"/>
  <c r="AD417" i="5"/>
  <c r="AD206" i="5"/>
  <c r="AE452" i="5"/>
  <c r="AE553" i="5"/>
  <c r="AD518" i="5"/>
  <c r="AS518" i="5"/>
  <c r="AT518" i="5" s="1"/>
  <c r="AE75" i="5"/>
  <c r="AE217" i="5"/>
  <c r="AD444" i="5"/>
  <c r="AS79" i="5"/>
  <c r="AT79" i="5" s="1"/>
  <c r="AD413" i="5"/>
  <c r="AD271" i="5"/>
  <c r="AD118" i="5"/>
  <c r="AD480" i="5"/>
  <c r="AS368" i="5"/>
  <c r="AT368" i="5" s="1"/>
  <c r="AD71" i="5"/>
  <c r="AS313" i="5"/>
  <c r="AT313" i="5" s="1"/>
  <c r="AE354" i="5"/>
  <c r="AS278" i="5"/>
  <c r="AT278" i="5" s="1"/>
  <c r="AS268" i="5"/>
  <c r="AU268" i="5" s="1"/>
  <c r="AD278" i="5"/>
  <c r="AS219" i="5"/>
  <c r="AU219" i="5" s="1"/>
  <c r="AT110" i="5"/>
  <c r="AE339" i="5"/>
  <c r="AE110" i="5"/>
  <c r="AS335" i="5"/>
  <c r="AT335" i="5" s="1"/>
  <c r="AE235" i="5"/>
  <c r="AT442" i="5"/>
  <c r="AT137" i="5"/>
  <c r="AS318" i="5"/>
  <c r="AU318" i="5" s="1"/>
  <c r="AE53" i="5"/>
  <c r="AU395" i="5"/>
  <c r="AE143" i="5"/>
  <c r="AS330" i="5"/>
  <c r="AT330" i="5" s="1"/>
  <c r="AU113" i="5"/>
  <c r="AT339" i="5"/>
  <c r="AE51" i="5"/>
  <c r="AT183" i="5"/>
  <c r="AD172" i="5"/>
  <c r="AE319" i="5"/>
  <c r="AS420" i="5"/>
  <c r="AT420" i="5" s="1"/>
  <c r="AS460" i="5"/>
  <c r="AU460" i="5" s="1"/>
  <c r="AE54" i="5"/>
  <c r="AU179" i="5"/>
  <c r="AD502" i="5"/>
  <c r="AT319" i="5"/>
  <c r="AS172" i="5"/>
  <c r="AT172" i="5" s="1"/>
  <c r="AE79" i="5"/>
  <c r="AD380" i="5"/>
  <c r="AE413" i="5"/>
  <c r="AS149" i="5"/>
  <c r="AU149" i="5" s="1"/>
  <c r="AU118" i="5"/>
  <c r="AD461" i="5"/>
  <c r="AT480" i="5"/>
  <c r="AD368" i="5"/>
  <c r="AE113" i="5"/>
  <c r="AD313" i="5"/>
  <c r="AS381" i="5"/>
  <c r="AU381" i="5" s="1"/>
  <c r="AT71" i="5"/>
  <c r="AS53" i="5"/>
  <c r="AT53" i="5" s="1"/>
  <c r="AD448" i="5"/>
  <c r="AD339" i="5"/>
  <c r="AS250" i="5"/>
  <c r="AT250" i="5" s="1"/>
  <c r="AD128" i="5"/>
  <c r="AS367" i="5"/>
  <c r="AU367" i="5" s="1"/>
  <c r="AD250" i="5"/>
  <c r="AS463" i="5"/>
  <c r="AT463" i="5" s="1"/>
  <c r="AS547" i="5"/>
  <c r="AU547" i="5" s="1"/>
  <c r="AD54" i="5"/>
  <c r="AS273" i="5"/>
  <c r="AU273" i="5" s="1"/>
  <c r="AD169" i="5"/>
  <c r="AU553" i="5"/>
  <c r="AK11" i="5"/>
  <c r="AS459" i="5"/>
  <c r="AT459" i="5" s="1"/>
  <c r="AS143" i="5"/>
  <c r="AT143" i="5" s="1"/>
  <c r="AD416" i="5"/>
  <c r="AE461" i="5"/>
  <c r="AS416" i="5"/>
  <c r="AU416" i="5" s="1"/>
  <c r="AE330" i="5"/>
  <c r="AE169" i="5"/>
  <c r="AS500" i="5"/>
  <c r="AT500" i="5" s="1"/>
  <c r="AL11" i="5"/>
  <c r="AE459" i="5"/>
  <c r="AS452" i="5"/>
  <c r="AU452" i="5" s="1"/>
  <c r="AD273" i="5"/>
  <c r="AU169" i="5"/>
  <c r="AD542" i="5"/>
  <c r="AD553" i="5"/>
  <c r="AS199" i="5"/>
  <c r="AT199" i="5" s="1"/>
  <c r="AS166" i="5"/>
  <c r="AT166" i="5" s="1"/>
  <c r="AE450" i="5"/>
  <c r="AD465" i="5"/>
  <c r="AD450" i="5"/>
  <c r="AS407" i="5"/>
  <c r="AT407" i="5" s="1"/>
  <c r="AS348" i="5"/>
  <c r="AT348" i="5" s="1"/>
  <c r="AU81" i="5"/>
  <c r="AE157" i="5"/>
  <c r="AS68" i="5"/>
  <c r="AT68" i="5" s="1"/>
  <c r="AS552" i="5"/>
  <c r="AU552" i="5" s="1"/>
  <c r="AE105" i="5"/>
  <c r="AD105" i="5"/>
  <c r="AE81" i="5"/>
  <c r="AT450" i="5"/>
  <c r="AT357" i="5"/>
  <c r="AD157" i="5"/>
  <c r="AD263" i="5"/>
  <c r="AU105" i="5"/>
  <c r="AD81" i="5"/>
  <c r="AS441" i="5"/>
  <c r="AT441" i="5" s="1"/>
  <c r="AD382" i="5"/>
  <c r="AE99" i="5"/>
  <c r="AD405" i="5"/>
  <c r="AS369" i="5"/>
  <c r="AU369" i="5" s="1"/>
  <c r="AE527" i="5"/>
  <c r="AS293" i="5"/>
  <c r="AU293" i="5" s="1"/>
  <c r="AD477" i="5"/>
  <c r="AS477" i="5"/>
  <c r="AT477" i="5" s="1"/>
  <c r="AD341" i="5"/>
  <c r="AS533" i="5"/>
  <c r="AT533" i="5" s="1"/>
  <c r="AT241" i="5"/>
  <c r="AU69" i="5"/>
  <c r="AD69" i="5"/>
  <c r="AE10" i="5"/>
  <c r="AC11" i="5"/>
  <c r="AE11" i="5" s="1"/>
  <c r="AS391" i="5"/>
  <c r="AT391" i="5" s="1"/>
  <c r="AE206" i="5"/>
  <c r="AE391" i="5"/>
  <c r="AD300" i="5"/>
  <c r="Y11" i="5"/>
  <c r="AU27" i="5"/>
  <c r="AE284" i="5"/>
  <c r="AE465" i="5"/>
  <c r="AE552" i="5"/>
  <c r="AS429" i="5"/>
  <c r="AU429" i="5" s="1"/>
  <c r="AS560" i="5"/>
  <c r="AU560" i="5" s="1"/>
  <c r="AD462" i="5"/>
  <c r="AU238" i="5"/>
  <c r="AE429" i="5"/>
  <c r="AS432" i="5"/>
  <c r="AT432" i="5" s="1"/>
  <c r="AD192" i="5"/>
  <c r="AS99" i="5"/>
  <c r="AT99" i="5" s="1"/>
  <c r="AS370" i="5"/>
  <c r="AT370" i="5" s="1"/>
  <c r="AE357" i="5"/>
  <c r="AD238" i="5"/>
  <c r="AT192" i="5"/>
  <c r="AS221" i="5"/>
  <c r="AT221" i="5" s="1"/>
  <c r="AS263" i="5"/>
  <c r="AT263" i="5" s="1"/>
  <c r="AD221" i="5"/>
  <c r="AE387" i="5"/>
  <c r="AE68" i="5"/>
  <c r="AD199" i="5"/>
  <c r="AE166" i="5"/>
  <c r="AD303" i="5"/>
  <c r="AS334" i="5"/>
  <c r="AT334" i="5" s="1"/>
  <c r="AD175" i="5"/>
  <c r="AE334" i="5"/>
  <c r="AS382" i="5"/>
  <c r="AU382" i="5" s="1"/>
  <c r="AE29" i="5"/>
  <c r="AE370" i="5"/>
  <c r="AS405" i="5"/>
  <c r="AU405" i="5" s="1"/>
  <c r="AS554" i="5"/>
  <c r="AU554" i="5" s="1"/>
  <c r="AD554" i="5"/>
  <c r="AS387" i="5"/>
  <c r="AT387" i="5" s="1"/>
  <c r="AD357" i="5"/>
  <c r="AT157" i="5"/>
  <c r="AS175" i="5"/>
  <c r="AU175" i="5" s="1"/>
  <c r="AS472" i="5"/>
  <c r="AU472" i="5" s="1"/>
  <c r="AD43" i="5"/>
  <c r="AE560" i="5"/>
  <c r="AE27" i="5"/>
  <c r="AE462" i="5"/>
  <c r="AU462" i="5"/>
  <c r="S11" i="5"/>
  <c r="AS379" i="5"/>
  <c r="AU379" i="5" s="1"/>
  <c r="AS449" i="5"/>
  <c r="AU449" i="5" s="1"/>
  <c r="AS106" i="5"/>
  <c r="AU106" i="5" s="1"/>
  <c r="AS270" i="5"/>
  <c r="AT270" i="5" s="1"/>
  <c r="AS76" i="5"/>
  <c r="AU76" i="5" s="1"/>
  <c r="AE76" i="5"/>
  <c r="AD407" i="5"/>
  <c r="AS284" i="5"/>
  <c r="AT284" i="5" s="1"/>
  <c r="AE192" i="5"/>
  <c r="AS120" i="5"/>
  <c r="AT120" i="5" s="1"/>
  <c r="AE270" i="5"/>
  <c r="AS436" i="5"/>
  <c r="AT436" i="5" s="1"/>
  <c r="AD449" i="5"/>
  <c r="AS29" i="5"/>
  <c r="AU29" i="5" s="1"/>
  <c r="AE436" i="5"/>
  <c r="AS230" i="5"/>
  <c r="AT230" i="5" s="1"/>
  <c r="AS198" i="5"/>
  <c r="AT198" i="5" s="1"/>
  <c r="AT290" i="5"/>
  <c r="AT433" i="5"/>
  <c r="AS133" i="5"/>
  <c r="AT133" i="5" s="1"/>
  <c r="AE386" i="5"/>
  <c r="AE254" i="5"/>
  <c r="AE133" i="5"/>
  <c r="AD230" i="5"/>
  <c r="AS314" i="5"/>
  <c r="AT314" i="5" s="1"/>
  <c r="AE120" i="5"/>
  <c r="AS303" i="5"/>
  <c r="AU303" i="5" s="1"/>
  <c r="AE464" i="5"/>
  <c r="AE43" i="5"/>
  <c r="AT286" i="5"/>
  <c r="AE234" i="5"/>
  <c r="AE104" i="5"/>
  <c r="AS236" i="5"/>
  <c r="AU236" i="5" s="1"/>
  <c r="AE364" i="5"/>
  <c r="AU43" i="5"/>
  <c r="AS180" i="5"/>
  <c r="AT180" i="5" s="1"/>
  <c r="AS464" i="5"/>
  <c r="AU464" i="5" s="1"/>
  <c r="AD236" i="5"/>
  <c r="AE456" i="5"/>
  <c r="AS456" i="5"/>
  <c r="AT456" i="5" s="1"/>
  <c r="AT202" i="5"/>
  <c r="AU62" i="5"/>
  <c r="AT173" i="5"/>
  <c r="AS261" i="5"/>
  <c r="AU261" i="5" s="1"/>
  <c r="AE202" i="5"/>
  <c r="AE238" i="5"/>
  <c r="AT365" i="5"/>
  <c r="AE243" i="5"/>
  <c r="AS285" i="5"/>
  <c r="AT285" i="5" s="1"/>
  <c r="AE173" i="5"/>
  <c r="AD392" i="5"/>
  <c r="AT32" i="5"/>
  <c r="AD173" i="5"/>
  <c r="AD418" i="5"/>
  <c r="AU392" i="5"/>
  <c r="AD352" i="5"/>
  <c r="AS26" i="5"/>
  <c r="AU26" i="5" s="1"/>
  <c r="AD267" i="5"/>
  <c r="AE418" i="5"/>
  <c r="AS385" i="5"/>
  <c r="AT385" i="5" s="1"/>
  <c r="AD488" i="5"/>
  <c r="AS542" i="5"/>
  <c r="AU542" i="5" s="1"/>
  <c r="AS242" i="5"/>
  <c r="AT242" i="5" s="1"/>
  <c r="AD285" i="5"/>
  <c r="AE392" i="5"/>
  <c r="AE62" i="5"/>
  <c r="AD401" i="5"/>
  <c r="AE153" i="5"/>
  <c r="AS356" i="5"/>
  <c r="AU356" i="5" s="1"/>
  <c r="AD385" i="5"/>
  <c r="AD39" i="5"/>
  <c r="AD463" i="5"/>
  <c r="AD367" i="5"/>
  <c r="AS507" i="5"/>
  <c r="AT507" i="5" s="1"/>
  <c r="AS521" i="5"/>
  <c r="AU521" i="5" s="1"/>
  <c r="AS455" i="5"/>
  <c r="AU455" i="5" s="1"/>
  <c r="AS486" i="5"/>
  <c r="AU486" i="5" s="1"/>
  <c r="AE455" i="5"/>
  <c r="AE486" i="5"/>
  <c r="AD527" i="5"/>
  <c r="AE232" i="5"/>
  <c r="AE548" i="5"/>
  <c r="AE286" i="5"/>
  <c r="AE439" i="5"/>
  <c r="AS255" i="5"/>
  <c r="AU255" i="5" s="1"/>
  <c r="AS331" i="5"/>
  <c r="AT331" i="5" s="1"/>
  <c r="AT248" i="5"/>
  <c r="AT116" i="5"/>
  <c r="AU475" i="5"/>
  <c r="AE145" i="5"/>
  <c r="AD286" i="5"/>
  <c r="AE262" i="5"/>
  <c r="AE180" i="5"/>
  <c r="AU548" i="5"/>
  <c r="AE103" i="5"/>
  <c r="AS491" i="5"/>
  <c r="AT491" i="5" s="1"/>
  <c r="AE349" i="5"/>
  <c r="AT332" i="5"/>
  <c r="AE165" i="5"/>
  <c r="AS264" i="5"/>
  <c r="AU264" i="5" s="1"/>
  <c r="AS262" i="5"/>
  <c r="AT262" i="5" s="1"/>
  <c r="AE116" i="5"/>
  <c r="AS103" i="5"/>
  <c r="AT103" i="5" s="1"/>
  <c r="AD116" i="5"/>
  <c r="AD548" i="5"/>
  <c r="AE331" i="5"/>
  <c r="AE255" i="5"/>
  <c r="AD364" i="5"/>
  <c r="AT267" i="5"/>
  <c r="AU283" i="5"/>
  <c r="AS243" i="5"/>
  <c r="AU243" i="5" s="1"/>
  <c r="AD386" i="5"/>
  <c r="AE333" i="5"/>
  <c r="AD62" i="5"/>
  <c r="AD441" i="5"/>
  <c r="AD48" i="5"/>
  <c r="AD38" i="5"/>
  <c r="AD202" i="5"/>
  <c r="AS38" i="5"/>
  <c r="AT38" i="5" s="1"/>
  <c r="AU308" i="5"/>
  <c r="AE475" i="5"/>
  <c r="AE32" i="5"/>
  <c r="AE352" i="5"/>
  <c r="AS254" i="5"/>
  <c r="AT254" i="5" s="1"/>
  <c r="AD26" i="5"/>
  <c r="AE242" i="5"/>
  <c r="AE267" i="5"/>
  <c r="AD283" i="5"/>
  <c r="AS333" i="5"/>
  <c r="AU333" i="5" s="1"/>
  <c r="AT63" i="5"/>
  <c r="AS123" i="5"/>
  <c r="AU123" i="5" s="1"/>
  <c r="AD248" i="5"/>
  <c r="AD361" i="5"/>
  <c r="AE155" i="5"/>
  <c r="AD93" i="5"/>
  <c r="AD129" i="5"/>
  <c r="AD232" i="5"/>
  <c r="AT234" i="5"/>
  <c r="AU78" i="5"/>
  <c r="AD184" i="5"/>
  <c r="AS531" i="5"/>
  <c r="AT531" i="5" s="1"/>
  <c r="AE431" i="5"/>
  <c r="AE332" i="5"/>
  <c r="AD276" i="5"/>
  <c r="AD98" i="5"/>
  <c r="AE88" i="5"/>
  <c r="AD433" i="5"/>
  <c r="AD396" i="5"/>
  <c r="AD402" i="5"/>
  <c r="AE272" i="5"/>
  <c r="AT510" i="5"/>
  <c r="AS165" i="5"/>
  <c r="AT165" i="5" s="1"/>
  <c r="AE299" i="5"/>
  <c r="AE106" i="5"/>
  <c r="AS211" i="5"/>
  <c r="AT211" i="5" s="1"/>
  <c r="AD104" i="5"/>
  <c r="AS129" i="5"/>
  <c r="AU129" i="5" s="1"/>
  <c r="AS93" i="5"/>
  <c r="AT93" i="5" s="1"/>
  <c r="AE317" i="5"/>
  <c r="AE433" i="5"/>
  <c r="AD88" i="5"/>
  <c r="AS272" i="5"/>
  <c r="AU272" i="5" s="1"/>
  <c r="AE248" i="5"/>
  <c r="AD290" i="5"/>
  <c r="AE376" i="5"/>
  <c r="AS439" i="5"/>
  <c r="AT439" i="5" s="1"/>
  <c r="AS310" i="5"/>
  <c r="AU310" i="5" s="1"/>
  <c r="AU317" i="5"/>
  <c r="AS307" i="5"/>
  <c r="AT307" i="5" s="1"/>
  <c r="AD40" i="5"/>
  <c r="AD379" i="5"/>
  <c r="AS222" i="5"/>
  <c r="AT222" i="5" s="1"/>
  <c r="AS224" i="5"/>
  <c r="AT224" i="5" s="1"/>
  <c r="AD531" i="5"/>
  <c r="AD332" i="5"/>
  <c r="AS159" i="5"/>
  <c r="AT159" i="5" s="1"/>
  <c r="AS321" i="5"/>
  <c r="AT321" i="5" s="1"/>
  <c r="AE321" i="5"/>
  <c r="AD96" i="5"/>
  <c r="AE96" i="5"/>
  <c r="AD510" i="5"/>
  <c r="AD320" i="5"/>
  <c r="AE310" i="5"/>
  <c r="AE25" i="5"/>
  <c r="AE290" i="5"/>
  <c r="AE264" i="5"/>
  <c r="AU424" i="5"/>
  <c r="AE123" i="5"/>
  <c r="AE31" i="5"/>
  <c r="AE98" i="5"/>
  <c r="AE184" i="5"/>
  <c r="AD28" i="5"/>
  <c r="AE168" i="5"/>
  <c r="AD234" i="5"/>
  <c r="AS31" i="5"/>
  <c r="AT31" i="5" s="1"/>
  <c r="AS511" i="5"/>
  <c r="AT511" i="5" s="1"/>
  <c r="AD317" i="5"/>
  <c r="AS431" i="5"/>
  <c r="AU431" i="5" s="1"/>
  <c r="AD198" i="5"/>
  <c r="AS233" i="5"/>
  <c r="AT233" i="5" s="1"/>
  <c r="AE358" i="5"/>
  <c r="AD218" i="5"/>
  <c r="AE314" i="5"/>
  <c r="AD558" i="5"/>
  <c r="AS25" i="5"/>
  <c r="AU25" i="5" s="1"/>
  <c r="AS524" i="5"/>
  <c r="AU524" i="5" s="1"/>
  <c r="AT96" i="5"/>
  <c r="AS396" i="5"/>
  <c r="AT396" i="5" s="1"/>
  <c r="AD282" i="5"/>
  <c r="AD491" i="5"/>
  <c r="AE414" i="5"/>
  <c r="AS414" i="5"/>
  <c r="AT414" i="5" s="1"/>
  <c r="AD475" i="5"/>
  <c r="AD307" i="5"/>
  <c r="AD145" i="5"/>
  <c r="AD328" i="5"/>
  <c r="AS50" i="5"/>
  <c r="AT50" i="5" s="1"/>
  <c r="AE499" i="5"/>
  <c r="AS325" i="5"/>
  <c r="AU325" i="5" s="1"/>
  <c r="AD13" i="5"/>
  <c r="AE489" i="5"/>
  <c r="AT489" i="5"/>
  <c r="AS168" i="5"/>
  <c r="AT168" i="5" s="1"/>
  <c r="AS328" i="5"/>
  <c r="AT328" i="5" s="1"/>
  <c r="AD499" i="5"/>
  <c r="AT13" i="5"/>
  <c r="AS340" i="5"/>
  <c r="AT340" i="5" s="1"/>
  <c r="AD489" i="5"/>
  <c r="AD490" i="5"/>
  <c r="AE181" i="5"/>
  <c r="AT57" i="5"/>
  <c r="AD181" i="5"/>
  <c r="AD50" i="5"/>
  <c r="AD424" i="5"/>
  <c r="AU174" i="5"/>
  <c r="AD141" i="5"/>
  <c r="AU145" i="5"/>
  <c r="AE141" i="5"/>
  <c r="AE424" i="5"/>
  <c r="AS349" i="5"/>
  <c r="AT349" i="5" s="1"/>
  <c r="AD57" i="5"/>
  <c r="AS490" i="5"/>
  <c r="AT490" i="5" s="1"/>
  <c r="AE57" i="5"/>
  <c r="AE13" i="5"/>
  <c r="AT517" i="5"/>
  <c r="AU231" i="5"/>
  <c r="AT506" i="5"/>
  <c r="AD32" i="5"/>
  <c r="AT352" i="5"/>
  <c r="AE119" i="5"/>
  <c r="AE398" i="5"/>
  <c r="AE171" i="5"/>
  <c r="AD261" i="5"/>
  <c r="AS225" i="5"/>
  <c r="AT225" i="5" s="1"/>
  <c r="AS469" i="5"/>
  <c r="AT469" i="5" s="1"/>
  <c r="AE237" i="5"/>
  <c r="AD359" i="5"/>
  <c r="AD543" i="5"/>
  <c r="AD87" i="5"/>
  <c r="AU418" i="5"/>
  <c r="AS298" i="5"/>
  <c r="AU298" i="5" s="1"/>
  <c r="AE209" i="5"/>
  <c r="AE438" i="5"/>
  <c r="AT495" i="5"/>
  <c r="AS516" i="5"/>
  <c r="AT516" i="5" s="1"/>
  <c r="AE308" i="5"/>
  <c r="AE91" i="5"/>
  <c r="AD122" i="5"/>
  <c r="AE225" i="5"/>
  <c r="AE517" i="5"/>
  <c r="AD506" i="5"/>
  <c r="AS359" i="5"/>
  <c r="AU359" i="5" s="1"/>
  <c r="AD428" i="5"/>
  <c r="AE283" i="5"/>
  <c r="AS443" i="5"/>
  <c r="AU443" i="5" s="1"/>
  <c r="AD516" i="5"/>
  <c r="AS494" i="5"/>
  <c r="AU494" i="5" s="1"/>
  <c r="AD495" i="5"/>
  <c r="AS485" i="5"/>
  <c r="AU485" i="5" s="1"/>
  <c r="AE140" i="5"/>
  <c r="AS415" i="5"/>
  <c r="AT415" i="5" s="1"/>
  <c r="AS428" i="5"/>
  <c r="AU428" i="5" s="1"/>
  <c r="AE494" i="5"/>
  <c r="AD365" i="5"/>
  <c r="AE495" i="5"/>
  <c r="AD231" i="5"/>
  <c r="AS12" i="5"/>
  <c r="AT12" i="5" s="1"/>
  <c r="AT353" i="5"/>
  <c r="AS139" i="5"/>
  <c r="AT139" i="5" s="1"/>
  <c r="AT499" i="5"/>
  <c r="AE505" i="5"/>
  <c r="AS390" i="5"/>
  <c r="AU390" i="5" s="1"/>
  <c r="AS85" i="5"/>
  <c r="AU85" i="5" s="1"/>
  <c r="AT184" i="5"/>
  <c r="AS155" i="5"/>
  <c r="AU155" i="5" s="1"/>
  <c r="AE224" i="5"/>
  <c r="AT141" i="5"/>
  <c r="AD222" i="5"/>
  <c r="AE327" i="5"/>
  <c r="AD92" i="5"/>
  <c r="AE430" i="5"/>
  <c r="AE208" i="5"/>
  <c r="AE220" i="5"/>
  <c r="AS425" i="5"/>
  <c r="AT425" i="5" s="1"/>
  <c r="AD78" i="5"/>
  <c r="AE159" i="5"/>
  <c r="AS282" i="5"/>
  <c r="AU282" i="5" s="1"/>
  <c r="AS473" i="5"/>
  <c r="AU473" i="5" s="1"/>
  <c r="AT467" i="5"/>
  <c r="AD467" i="5"/>
  <c r="AE473" i="5"/>
  <c r="AS10" i="5"/>
  <c r="AT10" i="5" s="1"/>
  <c r="AD501" i="5"/>
  <c r="AE555" i="5"/>
  <c r="AS402" i="5"/>
  <c r="AT402" i="5" s="1"/>
  <c r="AS320" i="5"/>
  <c r="AT320" i="5" s="1"/>
  <c r="AT550" i="5"/>
  <c r="AE174" i="5"/>
  <c r="AE182" i="5"/>
  <c r="AS478" i="5"/>
  <c r="AU478" i="5" s="1"/>
  <c r="AT538" i="5"/>
  <c r="AS28" i="5"/>
  <c r="AU28" i="5" s="1"/>
  <c r="AS40" i="5"/>
  <c r="AU40" i="5" s="1"/>
  <c r="AE535" i="5"/>
  <c r="AE511" i="5"/>
  <c r="AD23" i="5"/>
  <c r="AD233" i="5"/>
  <c r="AS558" i="5"/>
  <c r="AT558" i="5" s="1"/>
  <c r="AE228" i="5"/>
  <c r="AS92" i="5"/>
  <c r="AT92" i="5" s="1"/>
  <c r="AE63" i="5"/>
  <c r="AD63" i="5"/>
  <c r="AS361" i="5"/>
  <c r="AU361" i="5" s="1"/>
  <c r="AS474" i="5"/>
  <c r="AU474" i="5" s="1"/>
  <c r="AS535" i="5"/>
  <c r="AT535" i="5" s="1"/>
  <c r="AS208" i="5"/>
  <c r="AT208" i="5" s="1"/>
  <c r="AD425" i="5"/>
  <c r="AS228" i="5"/>
  <c r="AT228" i="5" s="1"/>
  <c r="AE78" i="5"/>
  <c r="AT88" i="5"/>
  <c r="AS220" i="5"/>
  <c r="AU220" i="5" s="1"/>
  <c r="AE524" i="5"/>
  <c r="AS555" i="5"/>
  <c r="AT555" i="5" s="1"/>
  <c r="AS163" i="5"/>
  <c r="AU163" i="5" s="1"/>
  <c r="AE510" i="5"/>
  <c r="AE340" i="5"/>
  <c r="AS276" i="5"/>
  <c r="AT276" i="5" s="1"/>
  <c r="AD163" i="5"/>
  <c r="AD478" i="5"/>
  <c r="AS302" i="5"/>
  <c r="AT302" i="5" s="1"/>
  <c r="AE302" i="5"/>
  <c r="AS140" i="5"/>
  <c r="AT140" i="5" s="1"/>
  <c r="AE122" i="5"/>
  <c r="AD299" i="5"/>
  <c r="AD398" i="5"/>
  <c r="AD171" i="5"/>
  <c r="AE474" i="5"/>
  <c r="AS23" i="5"/>
  <c r="AT23" i="5" s="1"/>
  <c r="AS153" i="5"/>
  <c r="AT153" i="5" s="1"/>
  <c r="AS48" i="5"/>
  <c r="AU48" i="5" s="1"/>
  <c r="AE543" i="5"/>
  <c r="AE469" i="5"/>
  <c r="AE139" i="5"/>
  <c r="AS269" i="5"/>
  <c r="AT269" i="5" s="1"/>
  <c r="AD298" i="5"/>
  <c r="AS209" i="5"/>
  <c r="AT209" i="5" s="1"/>
  <c r="AE338" i="5"/>
  <c r="AS438" i="5"/>
  <c r="AU438" i="5" s="1"/>
  <c r="AU299" i="5"/>
  <c r="AD195" i="5"/>
  <c r="AE251" i="5"/>
  <c r="AE325" i="5"/>
  <c r="AE467" i="5"/>
  <c r="AE231" i="5"/>
  <c r="AS406" i="5"/>
  <c r="AT406" i="5" s="1"/>
  <c r="AD308" i="5"/>
  <c r="AS377" i="5"/>
  <c r="AT377" i="5" s="1"/>
  <c r="AS91" i="5"/>
  <c r="AT91" i="5" s="1"/>
  <c r="AT171" i="5"/>
  <c r="AS119" i="5"/>
  <c r="AU119" i="5" s="1"/>
  <c r="AS82" i="5"/>
  <c r="AU82" i="5" s="1"/>
  <c r="AD82" i="5"/>
  <c r="AD415" i="5"/>
  <c r="AS358" i="5"/>
  <c r="AT358" i="5" s="1"/>
  <c r="AE211" i="5"/>
  <c r="AD41" i="5"/>
  <c r="AD517" i="5"/>
  <c r="AS185" i="5"/>
  <c r="AU185" i="5" s="1"/>
  <c r="AS195" i="5"/>
  <c r="AU195" i="5" s="1"/>
  <c r="AS87" i="5"/>
  <c r="AU87" i="5" s="1"/>
  <c r="AD338" i="5"/>
  <c r="AD21" i="5"/>
  <c r="AS237" i="5"/>
  <c r="AT237" i="5" s="1"/>
  <c r="AD174" i="5"/>
  <c r="AS135" i="5"/>
  <c r="AT135" i="5" s="1"/>
  <c r="AT338" i="5"/>
  <c r="AE506" i="5"/>
  <c r="AD269" i="5"/>
  <c r="AE365" i="5"/>
  <c r="AE485" i="5"/>
  <c r="AE21" i="5"/>
  <c r="AS161" i="5"/>
  <c r="AU161" i="5" s="1"/>
  <c r="AD443" i="5"/>
  <c r="AE134" i="5"/>
  <c r="AE12" i="5"/>
  <c r="AT251" i="5"/>
  <c r="AE377" i="5"/>
  <c r="AD251" i="5"/>
  <c r="AS24" i="5"/>
  <c r="AT24" i="5" s="1"/>
  <c r="AS101" i="5"/>
  <c r="AU101" i="5" s="1"/>
  <c r="AD294" i="5"/>
  <c r="AE348" i="5"/>
  <c r="AD312" i="5"/>
  <c r="AS343" i="5"/>
  <c r="AT343" i="5" s="1"/>
  <c r="AE356" i="5"/>
  <c r="AS401" i="5"/>
  <c r="AT401" i="5" s="1"/>
  <c r="AE457" i="5"/>
  <c r="AD131" i="5"/>
  <c r="AE448" i="5"/>
  <c r="AE507" i="5"/>
  <c r="AS131" i="5"/>
  <c r="AU131" i="5" s="1"/>
  <c r="AD557" i="5"/>
  <c r="AE345" i="5"/>
  <c r="AU557" i="5"/>
  <c r="AD101" i="5"/>
  <c r="AD304" i="5"/>
  <c r="AS312" i="5"/>
  <c r="AU312" i="5" s="1"/>
  <c r="AE24" i="5"/>
  <c r="AE343" i="5"/>
  <c r="AS457" i="5"/>
  <c r="AT457" i="5" s="1"/>
  <c r="AS551" i="5"/>
  <c r="AT551" i="5" s="1"/>
  <c r="AD223" i="5"/>
  <c r="AE223" i="5"/>
  <c r="AU223" i="5"/>
  <c r="AD49" i="5"/>
  <c r="AE557" i="5"/>
  <c r="AD493" i="5"/>
  <c r="AE493" i="5"/>
  <c r="AS304" i="5"/>
  <c r="AT304" i="5" s="1"/>
  <c r="AS294" i="5"/>
  <c r="AT294" i="5" s="1"/>
  <c r="AE49" i="5"/>
  <c r="AE318" i="5"/>
  <c r="AS488" i="5"/>
  <c r="AT488" i="5" s="1"/>
  <c r="AD521" i="5"/>
  <c r="AS345" i="5"/>
  <c r="AT345" i="5" s="1"/>
  <c r="AU493" i="5"/>
  <c r="AS167" i="5"/>
  <c r="AU167" i="5" s="1"/>
  <c r="AD275" i="5"/>
  <c r="AE135" i="5"/>
  <c r="AS132" i="5"/>
  <c r="AT132" i="5" s="1"/>
  <c r="AD430" i="5"/>
  <c r="AS130" i="5"/>
  <c r="AU130" i="5" s="1"/>
  <c r="AD353" i="5"/>
  <c r="AD550" i="5"/>
  <c r="AD85" i="5"/>
  <c r="AE501" i="5"/>
  <c r="AD406" i="5"/>
  <c r="AT501" i="5"/>
  <c r="AE384" i="5"/>
  <c r="AE353" i="5"/>
  <c r="AE479" i="5"/>
  <c r="AU384" i="5"/>
  <c r="AS427" i="5"/>
  <c r="AU427" i="5" s="1"/>
  <c r="AT21" i="5"/>
  <c r="AD182" i="5"/>
  <c r="AT430" i="5"/>
  <c r="AD132" i="5"/>
  <c r="AE46" i="5"/>
  <c r="AU46" i="5"/>
  <c r="AD384" i="5"/>
  <c r="AD479" i="5"/>
  <c r="AS295" i="5"/>
  <c r="AU295" i="5" s="1"/>
  <c r="AU275" i="5"/>
  <c r="AU479" i="5"/>
  <c r="AE295" i="5"/>
  <c r="AS327" i="5"/>
  <c r="AU327" i="5" s="1"/>
  <c r="AU182" i="5"/>
  <c r="AS41" i="5"/>
  <c r="AU41" i="5" s="1"/>
  <c r="AE185" i="5"/>
  <c r="AE167" i="5"/>
  <c r="AE275" i="5"/>
  <c r="AE390" i="5"/>
  <c r="AD161" i="5"/>
  <c r="AE130" i="5"/>
  <c r="AE550" i="5"/>
  <c r="AD427" i="5"/>
  <c r="AS419" i="5"/>
  <c r="AU419" i="5" s="1"/>
  <c r="AE20" i="5"/>
  <c r="AT344" i="5"/>
  <c r="AS20" i="5"/>
  <c r="AU20" i="5" s="1"/>
  <c r="AE551" i="5"/>
  <c r="AD56" i="5"/>
  <c r="AU301" i="5"/>
  <c r="AS559" i="5"/>
  <c r="AT559" i="5" s="1"/>
  <c r="B106" i="2"/>
  <c r="H32" i="1" s="1"/>
  <c r="AS291" i="5"/>
  <c r="AT291" i="5" s="1"/>
  <c r="AE559" i="5"/>
  <c r="AD46" i="5"/>
  <c r="AS505" i="5"/>
  <c r="AT505" i="5" s="1"/>
  <c r="AE344" i="5"/>
  <c r="AD344" i="5"/>
  <c r="AD134" i="5"/>
  <c r="AD301" i="5"/>
  <c r="AE301" i="5"/>
  <c r="AT134" i="5"/>
  <c r="AS376" i="5"/>
  <c r="AU376" i="5" s="1"/>
  <c r="AD538" i="5"/>
  <c r="AE55" i="5"/>
  <c r="AE218" i="5"/>
  <c r="AE538" i="5"/>
  <c r="AE419" i="5"/>
  <c r="AS158" i="5"/>
  <c r="AT158" i="5" s="1"/>
  <c r="AS55" i="5"/>
  <c r="AT55" i="5" s="1"/>
  <c r="AD158" i="5"/>
  <c r="AU218" i="5"/>
  <c r="AU249" i="5"/>
  <c r="AE164" i="5"/>
  <c r="AE537" i="5"/>
  <c r="AE249" i="5"/>
  <c r="AS164" i="5"/>
  <c r="AT164" i="5" s="1"/>
  <c r="AS56" i="5"/>
  <c r="AU56" i="5" s="1"/>
  <c r="AD249" i="5"/>
  <c r="AS537" i="5"/>
  <c r="AU537" i="5" s="1"/>
  <c r="AS197" i="5"/>
  <c r="AT197" i="5" s="1"/>
  <c r="AD468" i="5"/>
  <c r="AU468" i="5"/>
  <c r="AE197" i="5"/>
  <c r="AE468" i="5"/>
  <c r="AD291" i="5"/>
  <c r="AD409" i="5"/>
  <c r="AS409" i="5"/>
  <c r="AU409" i="5" s="1"/>
  <c r="AS9" i="5"/>
  <c r="AU9" i="5" s="1"/>
  <c r="AE7" i="4"/>
  <c r="BX7" i="4" s="1"/>
  <c r="AU509" i="5"/>
  <c r="AU44" i="5"/>
  <c r="AT375" i="5"/>
  <c r="AU58" i="5"/>
  <c r="AT497" i="5"/>
  <c r="AT526" i="5"/>
  <c r="AU186" i="5"/>
  <c r="AE9" i="5"/>
  <c r="F87" i="1"/>
  <c r="AU148" i="5"/>
  <c r="AT150" i="5"/>
  <c r="AT323" i="5"/>
  <c r="AT289" i="5"/>
  <c r="AU534" i="5"/>
  <c r="AT37" i="5"/>
  <c r="AT64" i="5"/>
  <c r="AU45" i="5"/>
  <c r="AT513" i="5"/>
  <c r="AR9" i="5"/>
  <c r="AQ9" i="5"/>
  <c r="AU362" i="5"/>
  <c r="AT458" i="5"/>
  <c r="AT523" i="5"/>
  <c r="AT399" i="5"/>
  <c r="AU277" i="5"/>
  <c r="AU453" i="5"/>
  <c r="AU265" i="5"/>
  <c r="AT125" i="5"/>
  <c r="AU445" i="5"/>
  <c r="AU350" i="5"/>
  <c r="AU309" i="5"/>
  <c r="AT543" i="5"/>
  <c r="AU59" i="5"/>
  <c r="AT72" i="5"/>
  <c r="AU72" i="5"/>
  <c r="AT461" i="5"/>
  <c r="AU461" i="5"/>
  <c r="AU187" i="5"/>
  <c r="AT315" i="5"/>
  <c r="AU466" i="5"/>
  <c r="AT232" i="5"/>
  <c r="AU36" i="5"/>
  <c r="AT136" i="5"/>
  <c r="AT465" i="5"/>
  <c r="AU465" i="5"/>
  <c r="AT177" i="5"/>
  <c r="AU177" i="5"/>
  <c r="AU60" i="5"/>
  <c r="AT60" i="5"/>
  <c r="AU124" i="5"/>
  <c r="AU112" i="5"/>
  <c r="AT539" i="5"/>
  <c r="AU539" i="5"/>
  <c r="AU74" i="5"/>
  <c r="AT245" i="5"/>
  <c r="AU322" i="5"/>
  <c r="AU527" i="5"/>
  <c r="AT527" i="5"/>
  <c r="AU297" i="5"/>
  <c r="AU121" i="5"/>
  <c r="AU104" i="5"/>
  <c r="AT104" i="5"/>
  <c r="AT80" i="5"/>
  <c r="AU80" i="5"/>
  <c r="AU529" i="5"/>
  <c r="AT529" i="5"/>
  <c r="AT122" i="5"/>
  <c r="AU122" i="5"/>
  <c r="AU404" i="5"/>
  <c r="AT476" i="5"/>
  <c r="AU476" i="5"/>
  <c r="AT181" i="5"/>
  <c r="AU181" i="5"/>
  <c r="AT398" i="5"/>
  <c r="AU398" i="5"/>
  <c r="AU316" i="5"/>
  <c r="AU386" i="5"/>
  <c r="AT386" i="5"/>
  <c r="AT98" i="5"/>
  <c r="AU98" i="5"/>
  <c r="AX440" i="10" l="1"/>
  <c r="AU487" i="5"/>
  <c r="AX278" i="10"/>
  <c r="AU77" i="5"/>
  <c r="AU84" i="5"/>
  <c r="AU34" i="5"/>
  <c r="AX279" i="10"/>
  <c r="AW129" i="10"/>
  <c r="AW242" i="10"/>
  <c r="AW53" i="10"/>
  <c r="AU556" i="5"/>
  <c r="AX200" i="10"/>
  <c r="AW250" i="10"/>
  <c r="AX69" i="10"/>
  <c r="AW465" i="10"/>
  <c r="AX548" i="10"/>
  <c r="AQ153" i="4"/>
  <c r="AR153" i="4" s="1"/>
  <c r="AS153" i="4" s="1"/>
  <c r="AO154" i="4"/>
  <c r="AQ154" i="4" s="1"/>
  <c r="AR154" i="4" s="1"/>
  <c r="AO152" i="4"/>
  <c r="AN152" i="4" s="1"/>
  <c r="AO122" i="4"/>
  <c r="AQ122" i="4" s="1"/>
  <c r="AR122" i="4" s="1"/>
  <c r="AO150" i="4"/>
  <c r="AQ150" i="4" s="1"/>
  <c r="AR150" i="4" s="1"/>
  <c r="AO157" i="4"/>
  <c r="AN157" i="4" s="1"/>
  <c r="AO126" i="4"/>
  <c r="AN126" i="4" s="1"/>
  <c r="AO133" i="4"/>
  <c r="AN133" i="4" s="1"/>
  <c r="AX164" i="10"/>
  <c r="AX534" i="10"/>
  <c r="AN121" i="4"/>
  <c r="BI112" i="4"/>
  <c r="AW100" i="10"/>
  <c r="AX219" i="10"/>
  <c r="AQ72" i="4"/>
  <c r="AR72" i="4" s="1"/>
  <c r="AS72" i="4" s="1"/>
  <c r="BI154" i="4"/>
  <c r="AH10" i="4"/>
  <c r="AJ10" i="4" s="1"/>
  <c r="BU10" i="4"/>
  <c r="AH135" i="4"/>
  <c r="BU135" i="4"/>
  <c r="AH99" i="4"/>
  <c r="BU99" i="4"/>
  <c r="AH58" i="4"/>
  <c r="BU58" i="4"/>
  <c r="AH56" i="4"/>
  <c r="BU56" i="4"/>
  <c r="AH41" i="4"/>
  <c r="BU41" i="4"/>
  <c r="AH130" i="4"/>
  <c r="BU130" i="4"/>
  <c r="AH109" i="4"/>
  <c r="BU109" i="4"/>
  <c r="AH105" i="4"/>
  <c r="BU105" i="4"/>
  <c r="AH31" i="4"/>
  <c r="BU31" i="4"/>
  <c r="AH95" i="4"/>
  <c r="BU95" i="4"/>
  <c r="AH87" i="4"/>
  <c r="BU87" i="4"/>
  <c r="AH57" i="4"/>
  <c r="BU57" i="4"/>
  <c r="AH89" i="4"/>
  <c r="BU89" i="4"/>
  <c r="AH45" i="4"/>
  <c r="BU45" i="4"/>
  <c r="AH34" i="4"/>
  <c r="AJ34" i="4" s="1"/>
  <c r="BU34" i="4"/>
  <c r="AH17" i="4"/>
  <c r="AJ17" i="4" s="1"/>
  <c r="BU17" i="4"/>
  <c r="AH29" i="4"/>
  <c r="BU29" i="4"/>
  <c r="AH33" i="4"/>
  <c r="BU33" i="4"/>
  <c r="AH25" i="4"/>
  <c r="BU25" i="4"/>
  <c r="AH55" i="4"/>
  <c r="BU55" i="4"/>
  <c r="AH116" i="4"/>
  <c r="BU116" i="4"/>
  <c r="AH91" i="4"/>
  <c r="BU91" i="4"/>
  <c r="AH37" i="4"/>
  <c r="BU37" i="4"/>
  <c r="AN42" i="4"/>
  <c r="AS42" i="4" s="1"/>
  <c r="AD133" i="4"/>
  <c r="AE133" i="4" s="1"/>
  <c r="BX133" i="4" s="1"/>
  <c r="AH133" i="4"/>
  <c r="AD13" i="4"/>
  <c r="AE13" i="4" s="1"/>
  <c r="BX13" i="4" s="1"/>
  <c r="AH13" i="4"/>
  <c r="AJ13" i="4" s="1"/>
  <c r="AD127" i="4"/>
  <c r="AE127" i="4" s="1"/>
  <c r="BX127" i="4" s="1"/>
  <c r="AH127" i="4"/>
  <c r="AJ127" i="4" s="1"/>
  <c r="AD147" i="4"/>
  <c r="AE147" i="4" s="1"/>
  <c r="BX147" i="4" s="1"/>
  <c r="AH147" i="4"/>
  <c r="AJ147" i="4" s="1"/>
  <c r="AD76" i="4"/>
  <c r="AE76" i="4" s="1"/>
  <c r="BX76" i="4" s="1"/>
  <c r="AH76" i="4"/>
  <c r="AD73" i="4"/>
  <c r="AE73" i="4" s="1"/>
  <c r="BX73" i="4" s="1"/>
  <c r="AH73" i="4"/>
  <c r="AJ73" i="4" s="1"/>
  <c r="AD62" i="4"/>
  <c r="AE62" i="4" s="1"/>
  <c r="BX62" i="4" s="1"/>
  <c r="AH62" i="4"/>
  <c r="AD145" i="4"/>
  <c r="AE145" i="4" s="1"/>
  <c r="BX145" i="4" s="1"/>
  <c r="AH145" i="4"/>
  <c r="AJ145" i="4" s="1"/>
  <c r="AD75" i="4"/>
  <c r="AE75" i="4" s="1"/>
  <c r="BX75" i="4" s="1"/>
  <c r="AH75" i="4"/>
  <c r="AD66" i="4"/>
  <c r="AE66" i="4" s="1"/>
  <c r="BX66" i="4" s="1"/>
  <c r="AH66" i="4"/>
  <c r="AJ66" i="4" s="1"/>
  <c r="AD30" i="4"/>
  <c r="AE30" i="4" s="1"/>
  <c r="BX30" i="4" s="1"/>
  <c r="AH30" i="4"/>
  <c r="AJ30" i="4" s="1"/>
  <c r="AD96" i="4"/>
  <c r="AE96" i="4" s="1"/>
  <c r="BX96" i="4" s="1"/>
  <c r="AH96" i="4"/>
  <c r="AJ96" i="4" s="1"/>
  <c r="AD84" i="4"/>
  <c r="AE84" i="4" s="1"/>
  <c r="BX84" i="4" s="1"/>
  <c r="AH84" i="4"/>
  <c r="AJ84" i="4" s="1"/>
  <c r="AD50" i="4"/>
  <c r="AE50" i="4" s="1"/>
  <c r="BX50" i="4" s="1"/>
  <c r="AH50" i="4"/>
  <c r="AJ50" i="4" s="1"/>
  <c r="AD27" i="4"/>
  <c r="AE27" i="4" s="1"/>
  <c r="BX27" i="4" s="1"/>
  <c r="AH27" i="4"/>
  <c r="AJ27" i="4" s="1"/>
  <c r="AD22" i="4"/>
  <c r="AE22" i="4" s="1"/>
  <c r="BX22" i="4" s="1"/>
  <c r="AH22" i="4"/>
  <c r="AJ22" i="4" s="1"/>
  <c r="AD20" i="4"/>
  <c r="AE20" i="4" s="1"/>
  <c r="BX20" i="4" s="1"/>
  <c r="AH20" i="4"/>
  <c r="AJ20" i="4" s="1"/>
  <c r="AD78" i="4"/>
  <c r="AE78" i="4" s="1"/>
  <c r="BX78" i="4" s="1"/>
  <c r="AH78" i="4"/>
  <c r="AJ78" i="4" s="1"/>
  <c r="AD16" i="4"/>
  <c r="AE16" i="4" s="1"/>
  <c r="BX16" i="4" s="1"/>
  <c r="AH16" i="4"/>
  <c r="AD80" i="4"/>
  <c r="AE80" i="4" s="1"/>
  <c r="BX80" i="4" s="1"/>
  <c r="AH80" i="4"/>
  <c r="AJ80" i="4" s="1"/>
  <c r="AD153" i="4"/>
  <c r="AE153" i="4" s="1"/>
  <c r="BX153" i="4" s="1"/>
  <c r="AH153" i="4"/>
  <c r="AJ153" i="4" s="1"/>
  <c r="AD44" i="4"/>
  <c r="AE44" i="4" s="1"/>
  <c r="BX44" i="4" s="1"/>
  <c r="AH44" i="4"/>
  <c r="AJ44" i="4" s="1"/>
  <c r="AD12" i="4"/>
  <c r="AE12" i="4" s="1"/>
  <c r="BX12" i="4" s="1"/>
  <c r="AH12" i="4"/>
  <c r="AJ12" i="4" s="1"/>
  <c r="AD131" i="4"/>
  <c r="AE131" i="4" s="1"/>
  <c r="BX131" i="4" s="1"/>
  <c r="AH131" i="4"/>
  <c r="AJ131" i="4" s="1"/>
  <c r="AD139" i="4"/>
  <c r="AE139" i="4" s="1"/>
  <c r="BX139" i="4" s="1"/>
  <c r="AH139" i="4"/>
  <c r="AJ139" i="4" s="1"/>
  <c r="AD93" i="4"/>
  <c r="AE93" i="4" s="1"/>
  <c r="BX93" i="4" s="1"/>
  <c r="AH93" i="4"/>
  <c r="AJ93" i="4" s="1"/>
  <c r="AD23" i="4"/>
  <c r="AE23" i="4" s="1"/>
  <c r="BX23" i="4" s="1"/>
  <c r="AH23" i="4"/>
  <c r="AJ23" i="4" s="1"/>
  <c r="AD121" i="4"/>
  <c r="AE121" i="4" s="1"/>
  <c r="BX121" i="4" s="1"/>
  <c r="AH121" i="4"/>
  <c r="AJ121" i="4" s="1"/>
  <c r="AD52" i="4"/>
  <c r="AE52" i="4" s="1"/>
  <c r="BX52" i="4" s="1"/>
  <c r="AH52" i="4"/>
  <c r="AD38" i="4"/>
  <c r="AE38" i="4" s="1"/>
  <c r="BX38" i="4" s="1"/>
  <c r="AH38" i="4"/>
  <c r="AJ38" i="4" s="1"/>
  <c r="AD97" i="4"/>
  <c r="AE97" i="4" s="1"/>
  <c r="BX97" i="4" s="1"/>
  <c r="AH97" i="4"/>
  <c r="AD132" i="4"/>
  <c r="AE132" i="4" s="1"/>
  <c r="BX132" i="4" s="1"/>
  <c r="AH132" i="4"/>
  <c r="AJ132" i="4" s="1"/>
  <c r="AD74" i="4"/>
  <c r="AE74" i="4" s="1"/>
  <c r="BX74" i="4" s="1"/>
  <c r="AH74" i="4"/>
  <c r="AJ74" i="4" s="1"/>
  <c r="AD100" i="4"/>
  <c r="AE100" i="4" s="1"/>
  <c r="BX100" i="4" s="1"/>
  <c r="AH100" i="4"/>
  <c r="AJ100" i="4" s="1"/>
  <c r="AD18" i="4"/>
  <c r="AE18" i="4" s="1"/>
  <c r="BX18" i="4" s="1"/>
  <c r="AH18" i="4"/>
  <c r="AJ18" i="4" s="1"/>
  <c r="AD69" i="4"/>
  <c r="AE69" i="4" s="1"/>
  <c r="BX69" i="4" s="1"/>
  <c r="AH69" i="4"/>
  <c r="AD141" i="4"/>
  <c r="AE141" i="4" s="1"/>
  <c r="BX141" i="4" s="1"/>
  <c r="AH141" i="4"/>
  <c r="AJ141" i="4" s="1"/>
  <c r="AD128" i="4"/>
  <c r="AE128" i="4" s="1"/>
  <c r="BX128" i="4" s="1"/>
  <c r="AH128" i="4"/>
  <c r="AJ128" i="4" s="1"/>
  <c r="AD40" i="4"/>
  <c r="AE40" i="4" s="1"/>
  <c r="BX40" i="4" s="1"/>
  <c r="AH40" i="4"/>
  <c r="AJ40" i="4" s="1"/>
  <c r="AD88" i="4"/>
  <c r="AE88" i="4" s="1"/>
  <c r="BX88" i="4" s="1"/>
  <c r="AH88" i="4"/>
  <c r="AJ88" i="4" s="1"/>
  <c r="AD67" i="4"/>
  <c r="AE67" i="4" s="1"/>
  <c r="BX67" i="4" s="1"/>
  <c r="AH67" i="4"/>
  <c r="AJ67" i="4" s="1"/>
  <c r="AD60" i="4"/>
  <c r="AE60" i="4" s="1"/>
  <c r="BX60" i="4" s="1"/>
  <c r="AH60" i="4"/>
  <c r="AJ60" i="4" s="1"/>
  <c r="AD107" i="4"/>
  <c r="AE107" i="4" s="1"/>
  <c r="BX107" i="4" s="1"/>
  <c r="AH107" i="4"/>
  <c r="AD61" i="4"/>
  <c r="AE61" i="4" s="1"/>
  <c r="BX61" i="4" s="1"/>
  <c r="AH61" i="4"/>
  <c r="AJ61" i="4" s="1"/>
  <c r="AD144" i="4"/>
  <c r="AE144" i="4" s="1"/>
  <c r="BX144" i="4" s="1"/>
  <c r="AH144" i="4"/>
  <c r="AJ144" i="4" s="1"/>
  <c r="AD72" i="4"/>
  <c r="AE72" i="4" s="1"/>
  <c r="BX72" i="4" s="1"/>
  <c r="AH72" i="4"/>
  <c r="AD92" i="4"/>
  <c r="AE92" i="4" s="1"/>
  <c r="BX92" i="4" s="1"/>
  <c r="AH92" i="4"/>
  <c r="AJ92" i="4" s="1"/>
  <c r="AD114" i="4"/>
  <c r="AE114" i="4" s="1"/>
  <c r="BX114" i="4" s="1"/>
  <c r="AH114" i="4"/>
  <c r="AJ114" i="4" s="1"/>
  <c r="AD86" i="4"/>
  <c r="AE86" i="4" s="1"/>
  <c r="BX86" i="4" s="1"/>
  <c r="AH86" i="4"/>
  <c r="AJ86" i="4" s="1"/>
  <c r="AD15" i="4"/>
  <c r="AE15" i="4" s="1"/>
  <c r="BX15" i="4" s="1"/>
  <c r="AH15" i="4"/>
  <c r="AJ15" i="4" s="1"/>
  <c r="AD151" i="4"/>
  <c r="AE151" i="4" s="1"/>
  <c r="BX151" i="4" s="1"/>
  <c r="AH151" i="4"/>
  <c r="AJ151" i="4" s="1"/>
  <c r="AD155" i="4"/>
  <c r="AE155" i="4" s="1"/>
  <c r="BX155" i="4" s="1"/>
  <c r="AH155" i="4"/>
  <c r="AD101" i="4"/>
  <c r="AE101" i="4" s="1"/>
  <c r="BX101" i="4" s="1"/>
  <c r="AH101" i="4"/>
  <c r="AJ101" i="4" s="1"/>
  <c r="AD129" i="4"/>
  <c r="AE129" i="4" s="1"/>
  <c r="BX129" i="4" s="1"/>
  <c r="AH129" i="4"/>
  <c r="AJ129" i="4" s="1"/>
  <c r="AD103" i="4"/>
  <c r="AE103" i="4" s="1"/>
  <c r="BX103" i="4" s="1"/>
  <c r="AH103" i="4"/>
  <c r="AJ103" i="4" s="1"/>
  <c r="AD138" i="4"/>
  <c r="AE138" i="4" s="1"/>
  <c r="BX138" i="4" s="1"/>
  <c r="AH138" i="4"/>
  <c r="AJ138" i="4" s="1"/>
  <c r="AQ91" i="4"/>
  <c r="AR91" i="4" s="1"/>
  <c r="AS91" i="4" s="1"/>
  <c r="AD28" i="4"/>
  <c r="AE28" i="4" s="1"/>
  <c r="BX28" i="4" s="1"/>
  <c r="AH28" i="4"/>
  <c r="AJ28" i="4" s="1"/>
  <c r="AQ102" i="4"/>
  <c r="AR102" i="4" s="1"/>
  <c r="AS102" i="4" s="1"/>
  <c r="AD115" i="4"/>
  <c r="AE115" i="4" s="1"/>
  <c r="BX115" i="4" s="1"/>
  <c r="AH115" i="4"/>
  <c r="AJ115" i="4" s="1"/>
  <c r="AD35" i="4"/>
  <c r="AE35" i="4" s="1"/>
  <c r="BX35" i="4" s="1"/>
  <c r="AH35" i="4"/>
  <c r="AJ35" i="4" s="1"/>
  <c r="AD90" i="4"/>
  <c r="AE90" i="4" s="1"/>
  <c r="BX90" i="4" s="1"/>
  <c r="AH90" i="4"/>
  <c r="AD150" i="4"/>
  <c r="AE150" i="4" s="1"/>
  <c r="BX150" i="4" s="1"/>
  <c r="AH150" i="4"/>
  <c r="AD154" i="4"/>
  <c r="AE154" i="4" s="1"/>
  <c r="BX154" i="4" s="1"/>
  <c r="AH154" i="4"/>
  <c r="AJ154" i="4" s="1"/>
  <c r="AD152" i="4"/>
  <c r="AE152" i="4" s="1"/>
  <c r="BX152" i="4" s="1"/>
  <c r="AH152" i="4"/>
  <c r="AD134" i="4"/>
  <c r="AE134" i="4" s="1"/>
  <c r="BX134" i="4" s="1"/>
  <c r="AH134" i="4"/>
  <c r="AJ134" i="4" s="1"/>
  <c r="AD119" i="4"/>
  <c r="AE119" i="4" s="1"/>
  <c r="BX119" i="4" s="1"/>
  <c r="AH119" i="4"/>
  <c r="AJ119" i="4" s="1"/>
  <c r="AD68" i="4"/>
  <c r="AE68" i="4" s="1"/>
  <c r="BX68" i="4" s="1"/>
  <c r="AH68" i="4"/>
  <c r="AJ68" i="4" s="1"/>
  <c r="AD42" i="4"/>
  <c r="AE42" i="4" s="1"/>
  <c r="BX42" i="4" s="1"/>
  <c r="AH42" i="4"/>
  <c r="AJ42" i="4" s="1"/>
  <c r="AD70" i="4"/>
  <c r="AE70" i="4" s="1"/>
  <c r="BX70" i="4" s="1"/>
  <c r="AH70" i="4"/>
  <c r="AJ70" i="4" s="1"/>
  <c r="AD112" i="4"/>
  <c r="AE112" i="4" s="1"/>
  <c r="BX112" i="4" s="1"/>
  <c r="AH112" i="4"/>
  <c r="AJ112" i="4" s="1"/>
  <c r="AD123" i="4"/>
  <c r="AE123" i="4" s="1"/>
  <c r="BX123" i="4" s="1"/>
  <c r="AH123" i="4"/>
  <c r="AD108" i="4"/>
  <c r="AE108" i="4" s="1"/>
  <c r="BX108" i="4" s="1"/>
  <c r="AH108" i="4"/>
  <c r="AD142" i="4"/>
  <c r="AE142" i="4" s="1"/>
  <c r="BX142" i="4" s="1"/>
  <c r="AH142" i="4"/>
  <c r="AD9" i="4"/>
  <c r="AE9" i="4" s="1"/>
  <c r="BX9" i="4" s="1"/>
  <c r="AH9" i="4"/>
  <c r="AJ9" i="4" s="1"/>
  <c r="AD43" i="4"/>
  <c r="AE43" i="4" s="1"/>
  <c r="BX43" i="4" s="1"/>
  <c r="AH43" i="4"/>
  <c r="AJ43" i="4" s="1"/>
  <c r="AD8" i="4"/>
  <c r="AE8" i="4" s="1"/>
  <c r="AJ8" i="4"/>
  <c r="AD53" i="4"/>
  <c r="AE53" i="4" s="1"/>
  <c r="BX53" i="4" s="1"/>
  <c r="AH53" i="4"/>
  <c r="AJ53" i="4" s="1"/>
  <c r="AD83" i="4"/>
  <c r="AE83" i="4" s="1"/>
  <c r="BX83" i="4" s="1"/>
  <c r="AH83" i="4"/>
  <c r="AD51" i="4"/>
  <c r="AE51" i="4" s="1"/>
  <c r="BX51" i="4" s="1"/>
  <c r="AH51" i="4"/>
  <c r="AJ51" i="4" s="1"/>
  <c r="AD77" i="4"/>
  <c r="AE77" i="4" s="1"/>
  <c r="BX77" i="4" s="1"/>
  <c r="AH77" i="4"/>
  <c r="AJ77" i="4" s="1"/>
  <c r="AD120" i="4"/>
  <c r="AE120" i="4" s="1"/>
  <c r="BX120" i="4" s="1"/>
  <c r="AH120" i="4"/>
  <c r="AD71" i="4"/>
  <c r="AE71" i="4" s="1"/>
  <c r="BX71" i="4" s="1"/>
  <c r="AH71" i="4"/>
  <c r="AJ71" i="4" s="1"/>
  <c r="AD85" i="4"/>
  <c r="AE85" i="4" s="1"/>
  <c r="BX85" i="4" s="1"/>
  <c r="AH85" i="4"/>
  <c r="AJ85" i="4" s="1"/>
  <c r="AD14" i="4"/>
  <c r="AE14" i="4" s="1"/>
  <c r="BX14" i="4" s="1"/>
  <c r="AH14" i="4"/>
  <c r="AJ14" i="4" s="1"/>
  <c r="AD98" i="4"/>
  <c r="AE98" i="4" s="1"/>
  <c r="BX98" i="4" s="1"/>
  <c r="AH98" i="4"/>
  <c r="AJ98" i="4" s="1"/>
  <c r="AD36" i="4"/>
  <c r="AE36" i="4" s="1"/>
  <c r="BX36" i="4" s="1"/>
  <c r="AH36" i="4"/>
  <c r="AJ36" i="4" s="1"/>
  <c r="AD63" i="4"/>
  <c r="AE63" i="4" s="1"/>
  <c r="BX63" i="4" s="1"/>
  <c r="AH63" i="4"/>
  <c r="AJ63" i="4" s="1"/>
  <c r="AD125" i="4"/>
  <c r="AE125" i="4" s="1"/>
  <c r="BX125" i="4" s="1"/>
  <c r="AH125" i="4"/>
  <c r="AJ125" i="4" s="1"/>
  <c r="AD11" i="4"/>
  <c r="AE11" i="4" s="1"/>
  <c r="BX11" i="4" s="1"/>
  <c r="AH11" i="4"/>
  <c r="AJ11" i="4" s="1"/>
  <c r="AX365" i="10"/>
  <c r="AN105" i="4"/>
  <c r="AS105" i="4" s="1"/>
  <c r="BI130" i="4"/>
  <c r="AN85" i="4"/>
  <c r="AS85" i="4" s="1"/>
  <c r="AQ155" i="4"/>
  <c r="AQ121" i="4"/>
  <c r="AR121" i="4" s="1"/>
  <c r="BI21" i="4"/>
  <c r="BI157" i="4"/>
  <c r="AB140" i="4"/>
  <c r="BU140" i="4" s="1"/>
  <c r="AN56" i="4"/>
  <c r="AS56" i="4" s="1"/>
  <c r="BI145" i="4"/>
  <c r="AQ9" i="4"/>
  <c r="AR9" i="4" s="1"/>
  <c r="AS9" i="4" s="1"/>
  <c r="AN66" i="4"/>
  <c r="AS66" i="4" s="1"/>
  <c r="BI54" i="4"/>
  <c r="AN35" i="4"/>
  <c r="AS35" i="4" s="1"/>
  <c r="BI152" i="4"/>
  <c r="AB39" i="4"/>
  <c r="BU39" i="4" s="1"/>
  <c r="BI19" i="4"/>
  <c r="AQ17" i="4"/>
  <c r="AR17" i="4" s="1"/>
  <c r="AQ50" i="4"/>
  <c r="AR50" i="4" s="1"/>
  <c r="AQ89" i="4"/>
  <c r="AR89" i="4" s="1"/>
  <c r="BI149" i="4"/>
  <c r="AN27" i="4"/>
  <c r="AN109" i="4"/>
  <c r="AB59" i="4"/>
  <c r="BU59" i="4" s="1"/>
  <c r="AN89" i="4"/>
  <c r="AN141" i="4"/>
  <c r="AQ94" i="4"/>
  <c r="AR94" i="4" s="1"/>
  <c r="BI49" i="4"/>
  <c r="BQ8" i="4"/>
  <c r="AX403" i="10"/>
  <c r="AX512" i="10"/>
  <c r="AN50" i="4"/>
  <c r="AN16" i="4"/>
  <c r="AN20" i="4"/>
  <c r="AS20" i="4" s="1"/>
  <c r="AQ93" i="4"/>
  <c r="AR93" i="4" s="1"/>
  <c r="BI41" i="4"/>
  <c r="BI37" i="4"/>
  <c r="BI59" i="4"/>
  <c r="AN12" i="4"/>
  <c r="AN13" i="4"/>
  <c r="AS13" i="4" s="1"/>
  <c r="AQ101" i="4"/>
  <c r="AR101" i="4" s="1"/>
  <c r="AS101" i="4" s="1"/>
  <c r="AQ62" i="4"/>
  <c r="AR62" i="4" s="1"/>
  <c r="AS62" i="4" s="1"/>
  <c r="AQ76" i="4"/>
  <c r="AR76" i="4" s="1"/>
  <c r="AN30" i="4"/>
  <c r="AN80" i="4"/>
  <c r="AN61" i="4"/>
  <c r="AN151" i="4"/>
  <c r="AQ141" i="4"/>
  <c r="AR141" i="4" s="1"/>
  <c r="AQ27" i="4"/>
  <c r="AR27" i="4" s="1"/>
  <c r="BI69" i="4"/>
  <c r="BI32" i="4"/>
  <c r="BI137" i="4"/>
  <c r="AQ109" i="4"/>
  <c r="AR109" i="4" s="1"/>
  <c r="AQ12" i="4"/>
  <c r="AR12" i="4" s="1"/>
  <c r="AQ16" i="4"/>
  <c r="AR16" i="4" s="1"/>
  <c r="AN17" i="4"/>
  <c r="AN76" i="4"/>
  <c r="AQ30" i="4"/>
  <c r="AR30" i="4" s="1"/>
  <c r="AQ80" i="4"/>
  <c r="AR80" i="4" s="1"/>
  <c r="AQ61" i="4"/>
  <c r="AR61" i="4" s="1"/>
  <c r="AQ151" i="4"/>
  <c r="AR151" i="4" s="1"/>
  <c r="AN93" i="4"/>
  <c r="AN39" i="4"/>
  <c r="AQ39" i="4"/>
  <c r="AR39" i="4" s="1"/>
  <c r="AN69" i="4"/>
  <c r="AQ69" i="4"/>
  <c r="AR69" i="4" s="1"/>
  <c r="AN75" i="4"/>
  <c r="AN88" i="4"/>
  <c r="AQ73" i="4"/>
  <c r="AR73" i="4" s="1"/>
  <c r="AN125" i="4"/>
  <c r="AS125" i="4" s="1"/>
  <c r="AN138" i="4"/>
  <c r="AS138" i="4" s="1"/>
  <c r="AN115" i="4"/>
  <c r="AS115" i="4" s="1"/>
  <c r="AQ57" i="4"/>
  <c r="AR57" i="4" s="1"/>
  <c r="AN111" i="4"/>
  <c r="AS111" i="4" s="1"/>
  <c r="AN11" i="4"/>
  <c r="AS11" i="4" s="1"/>
  <c r="AN94" i="4"/>
  <c r="AQ63" i="4"/>
  <c r="AR63" i="4" s="1"/>
  <c r="AN53" i="4"/>
  <c r="AN45" i="4"/>
  <c r="AS45" i="4" s="1"/>
  <c r="AN29" i="4"/>
  <c r="AN34" i="4"/>
  <c r="AQ70" i="4"/>
  <c r="AR70" i="4" s="1"/>
  <c r="AQ131" i="4"/>
  <c r="AQ139" i="4"/>
  <c r="AR139" i="4" s="1"/>
  <c r="AS139" i="4" s="1"/>
  <c r="AQ52" i="4"/>
  <c r="AR52" i="4" s="1"/>
  <c r="AN15" i="4"/>
  <c r="AN147" i="4"/>
  <c r="AS147" i="4" s="1"/>
  <c r="AQ88" i="4"/>
  <c r="AR88" i="4" s="1"/>
  <c r="AN129" i="4"/>
  <c r="AS129" i="4" s="1"/>
  <c r="AQ55" i="4"/>
  <c r="AR55" i="4" s="1"/>
  <c r="AS55" i="4" s="1"/>
  <c r="AN31" i="4"/>
  <c r="AQ51" i="4"/>
  <c r="AR51" i="4" s="1"/>
  <c r="AN58" i="4"/>
  <c r="AQ84" i="4"/>
  <c r="AR84" i="4" s="1"/>
  <c r="AS84" i="4" s="1"/>
  <c r="AQ144" i="4"/>
  <c r="AR144" i="4" s="1"/>
  <c r="AQ43" i="4"/>
  <c r="AR43" i="4" s="1"/>
  <c r="AN77" i="4"/>
  <c r="AS77" i="4" s="1"/>
  <c r="AN103" i="4"/>
  <c r="AN119" i="4"/>
  <c r="AN37" i="4"/>
  <c r="AS37" i="4" s="1"/>
  <c r="AN25" i="4"/>
  <c r="AQ38" i="4"/>
  <c r="AR38" i="4" s="1"/>
  <c r="AQ25" i="4"/>
  <c r="AR25" i="4" s="1"/>
  <c r="AN57" i="4"/>
  <c r="AN38" i="4"/>
  <c r="AQ31" i="4"/>
  <c r="AR31" i="4" s="1"/>
  <c r="AN51" i="4"/>
  <c r="AQ82" i="4"/>
  <c r="AR82" i="4" s="1"/>
  <c r="AN90" i="4"/>
  <c r="AN33" i="4"/>
  <c r="AS33" i="4" s="1"/>
  <c r="AQ135" i="4"/>
  <c r="AR135" i="4" s="1"/>
  <c r="AS135" i="4" s="1"/>
  <c r="AN127" i="4"/>
  <c r="AN67" i="4"/>
  <c r="AQ41" i="4"/>
  <c r="AR41" i="4" s="1"/>
  <c r="AQ59" i="4"/>
  <c r="AR59" i="4" s="1"/>
  <c r="AS59" i="4" s="1"/>
  <c r="AQ8" i="4"/>
  <c r="AR8" i="4" s="1"/>
  <c r="AQ23" i="4"/>
  <c r="AR23" i="4" s="1"/>
  <c r="AQ97" i="4"/>
  <c r="AR97" i="4" s="1"/>
  <c r="AN97" i="4"/>
  <c r="AN23" i="4"/>
  <c r="AQ67" i="4"/>
  <c r="AR67" i="4" s="1"/>
  <c r="AN43" i="4"/>
  <c r="AO116" i="4"/>
  <c r="AQ127" i="4"/>
  <c r="AQ58" i="4"/>
  <c r="AR58" i="4" s="1"/>
  <c r="AN144" i="4"/>
  <c r="AQ29" i="4"/>
  <c r="AR29" i="4" s="1"/>
  <c r="BI104" i="4"/>
  <c r="BI64" i="4"/>
  <c r="BI111" i="4"/>
  <c r="AB126" i="4"/>
  <c r="BU126" i="4" s="1"/>
  <c r="AO130" i="4"/>
  <c r="AN130" i="4" s="1"/>
  <c r="BI136" i="4"/>
  <c r="AN41" i="4"/>
  <c r="AB102" i="4"/>
  <c r="BU102" i="4" s="1"/>
  <c r="AB111" i="4"/>
  <c r="BU111" i="4" s="1"/>
  <c r="AQ119" i="4"/>
  <c r="AR119" i="4" s="1"/>
  <c r="AQ15" i="4"/>
  <c r="AR15" i="4" s="1"/>
  <c r="AN63" i="4"/>
  <c r="AN73" i="4"/>
  <c r="AQ53" i="4"/>
  <c r="AR53" i="4" s="1"/>
  <c r="BI26" i="4"/>
  <c r="AN8" i="4"/>
  <c r="BI123" i="4"/>
  <c r="AO110" i="4"/>
  <c r="AB122" i="4"/>
  <c r="BU122" i="4" s="1"/>
  <c r="AO21" i="4"/>
  <c r="AN70" i="4"/>
  <c r="AQ103" i="4"/>
  <c r="AR103" i="4" s="1"/>
  <c r="AQ34" i="4"/>
  <c r="AR34" i="4" s="1"/>
  <c r="AO137" i="4"/>
  <c r="AO19" i="4"/>
  <c r="AN19" i="4" s="1"/>
  <c r="AO156" i="4"/>
  <c r="AO148" i="4"/>
  <c r="AQ148" i="4" s="1"/>
  <c r="AR148" i="4" s="1"/>
  <c r="BI97" i="4"/>
  <c r="BI126" i="4"/>
  <c r="BI142" i="4"/>
  <c r="AO113" i="4"/>
  <c r="AN131" i="4"/>
  <c r="AO146" i="4"/>
  <c r="AO136" i="4"/>
  <c r="AQ136" i="4" s="1"/>
  <c r="AR136" i="4" s="1"/>
  <c r="AO24" i="4"/>
  <c r="AO143" i="4"/>
  <c r="AO117" i="4"/>
  <c r="AQ117" i="4" s="1"/>
  <c r="AR117" i="4" s="1"/>
  <c r="AO124" i="4"/>
  <c r="AO145" i="4"/>
  <c r="AO108" i="4"/>
  <c r="BI90" i="4"/>
  <c r="BI91" i="4"/>
  <c r="BI150" i="4"/>
  <c r="BI122" i="4"/>
  <c r="AO142" i="4"/>
  <c r="AO54" i="4"/>
  <c r="AO49" i="4"/>
  <c r="AN49" i="4" s="1"/>
  <c r="AO65" i="4"/>
  <c r="AO149" i="4"/>
  <c r="AO81" i="4"/>
  <c r="AQ81" i="4" s="1"/>
  <c r="AR81" i="4" s="1"/>
  <c r="AO123" i="4"/>
  <c r="AO140" i="4"/>
  <c r="BI140" i="4"/>
  <c r="AB94" i="4"/>
  <c r="BU94" i="4" s="1"/>
  <c r="AQ90" i="4"/>
  <c r="AR90" i="4" s="1"/>
  <c r="AN52" i="4"/>
  <c r="AX471" i="10"/>
  <c r="BI156" i="4"/>
  <c r="BI48" i="4"/>
  <c r="BI148" i="4"/>
  <c r="AQ75" i="4"/>
  <c r="AR75" i="4" s="1"/>
  <c r="BI143" i="4"/>
  <c r="BI117" i="4"/>
  <c r="BI82" i="4"/>
  <c r="BI124" i="4"/>
  <c r="AN82" i="4"/>
  <c r="AS83" i="4"/>
  <c r="AS99" i="4"/>
  <c r="AS40" i="4"/>
  <c r="AS87" i="4"/>
  <c r="AS98" i="4"/>
  <c r="AS86" i="4"/>
  <c r="AS68" i="4"/>
  <c r="AS10" i="4"/>
  <c r="AS14" i="4"/>
  <c r="AS120" i="4"/>
  <c r="AS28" i="4"/>
  <c r="AS71" i="4"/>
  <c r="AS95" i="4"/>
  <c r="AS78" i="4"/>
  <c r="AS36" i="4"/>
  <c r="AS74" i="4"/>
  <c r="AS22" i="4"/>
  <c r="AS60" i="4"/>
  <c r="AS18" i="4"/>
  <c r="AQ32" i="4"/>
  <c r="AR32" i="4" s="1"/>
  <c r="AN32" i="4"/>
  <c r="AQ112" i="4"/>
  <c r="AR112" i="4" s="1"/>
  <c r="AN112" i="4"/>
  <c r="AN26" i="4"/>
  <c r="AQ26" i="4"/>
  <c r="AR26" i="4" s="1"/>
  <c r="AQ134" i="4"/>
  <c r="AR134" i="4" s="1"/>
  <c r="AN134" i="4"/>
  <c r="AQ114" i="4"/>
  <c r="AR114" i="4" s="1"/>
  <c r="AN114" i="4"/>
  <c r="AQ44" i="4"/>
  <c r="AR44" i="4" s="1"/>
  <c r="AN44" i="4"/>
  <c r="AN96" i="4"/>
  <c r="AQ96" i="4"/>
  <c r="AR96" i="4" s="1"/>
  <c r="AQ132" i="4"/>
  <c r="AR132" i="4" s="1"/>
  <c r="AN132" i="4"/>
  <c r="AQ128" i="4"/>
  <c r="AR128" i="4" s="1"/>
  <c r="AN128" i="4"/>
  <c r="AN64" i="4"/>
  <c r="AQ64" i="4"/>
  <c r="AR64" i="4" s="1"/>
  <c r="AO47" i="4"/>
  <c r="AQ92" i="4"/>
  <c r="AR92" i="4" s="1"/>
  <c r="AN92" i="4"/>
  <c r="AO118" i="4"/>
  <c r="AQ79" i="4"/>
  <c r="AR79" i="4" s="1"/>
  <c r="AN79" i="4"/>
  <c r="AN106" i="4"/>
  <c r="AQ106" i="4"/>
  <c r="AR106" i="4" s="1"/>
  <c r="AO104" i="4"/>
  <c r="AO46" i="4"/>
  <c r="AN100" i="4"/>
  <c r="AQ100" i="4"/>
  <c r="AR100" i="4" s="1"/>
  <c r="AQ48" i="4"/>
  <c r="AR48" i="4" s="1"/>
  <c r="AN48" i="4"/>
  <c r="AB82" i="4"/>
  <c r="BU82" i="4" s="1"/>
  <c r="AB48" i="4"/>
  <c r="BU48" i="4" s="1"/>
  <c r="AB143" i="4"/>
  <c r="BU143" i="4" s="1"/>
  <c r="AB157" i="4"/>
  <c r="BU157" i="4" s="1"/>
  <c r="AB124" i="4"/>
  <c r="BU124" i="4" s="1"/>
  <c r="AB156" i="4"/>
  <c r="BU156" i="4" s="1"/>
  <c r="AB117" i="4"/>
  <c r="BU117" i="4" s="1"/>
  <c r="AB148" i="4"/>
  <c r="BU148" i="4" s="1"/>
  <c r="AX444" i="10"/>
  <c r="AB46" i="4"/>
  <c r="BU46" i="4" s="1"/>
  <c r="AB49" i="4"/>
  <c r="BU49" i="4" s="1"/>
  <c r="AB54" i="4"/>
  <c r="BU54" i="4" s="1"/>
  <c r="AB19" i="4"/>
  <c r="BU19" i="4" s="1"/>
  <c r="AB104" i="4"/>
  <c r="BU104" i="4" s="1"/>
  <c r="AB106" i="4"/>
  <c r="BU106" i="4" s="1"/>
  <c r="AB110" i="4"/>
  <c r="BU110" i="4" s="1"/>
  <c r="AB79" i="4"/>
  <c r="BU79" i="4" s="1"/>
  <c r="AB26" i="4"/>
  <c r="BU26" i="4" s="1"/>
  <c r="AB21" i="4"/>
  <c r="BU21" i="4" s="1"/>
  <c r="AB113" i="4"/>
  <c r="BU113" i="4" s="1"/>
  <c r="AB32" i="4"/>
  <c r="BU32" i="4" s="1"/>
  <c r="AB149" i="4"/>
  <c r="BU149" i="4" s="1"/>
  <c r="AB146" i="4"/>
  <c r="BU146" i="4" s="1"/>
  <c r="AB136" i="4"/>
  <c r="BU136" i="4" s="1"/>
  <c r="AB65" i="4"/>
  <c r="BU65" i="4" s="1"/>
  <c r="AB118" i="4"/>
  <c r="BU118" i="4" s="1"/>
  <c r="AB64" i="4"/>
  <c r="BU64" i="4" s="1"/>
  <c r="AB81" i="4"/>
  <c r="BU81" i="4" s="1"/>
  <c r="AB47" i="4"/>
  <c r="BU47" i="4" s="1"/>
  <c r="AB24" i="4"/>
  <c r="BU24" i="4" s="1"/>
  <c r="AB137" i="4"/>
  <c r="BU137" i="4" s="1"/>
  <c r="AX432" i="10"/>
  <c r="AX51" i="10"/>
  <c r="AW300" i="10"/>
  <c r="AD34" i="4"/>
  <c r="AW490" i="10"/>
  <c r="AX72" i="10"/>
  <c r="AW132" i="10"/>
  <c r="AW346" i="10"/>
  <c r="AX378" i="10"/>
  <c r="AW353" i="10"/>
  <c r="AX215" i="10"/>
  <c r="AX202" i="10"/>
  <c r="AD10" i="4"/>
  <c r="AX43" i="10"/>
  <c r="AX141" i="10"/>
  <c r="AX464" i="10"/>
  <c r="AW556" i="10"/>
  <c r="AW315" i="10"/>
  <c r="AD17" i="4"/>
  <c r="AW332" i="10"/>
  <c r="AW350" i="10"/>
  <c r="AW458" i="10"/>
  <c r="AW203" i="10"/>
  <c r="AW441" i="10"/>
  <c r="AX272" i="10"/>
  <c r="AX411" i="10"/>
  <c r="AX119" i="10"/>
  <c r="AX145" i="10"/>
  <c r="AX116" i="10"/>
  <c r="AW382" i="10"/>
  <c r="AW50" i="10"/>
  <c r="AW290" i="10"/>
  <c r="AX104" i="10"/>
  <c r="AX320" i="10"/>
  <c r="AX522" i="10"/>
  <c r="AW336" i="10"/>
  <c r="AX143" i="10"/>
  <c r="AX97" i="10"/>
  <c r="AX73" i="10"/>
  <c r="AW88" i="10"/>
  <c r="AX485" i="10"/>
  <c r="AX341" i="10"/>
  <c r="AW419" i="10"/>
  <c r="AX27" i="10"/>
  <c r="AW266" i="10"/>
  <c r="AW197" i="10"/>
  <c r="AW105" i="10"/>
  <c r="AX425" i="10"/>
  <c r="AX156" i="10"/>
  <c r="AX243" i="10"/>
  <c r="AW150" i="10"/>
  <c r="AX362" i="10"/>
  <c r="AX406" i="10"/>
  <c r="AX544" i="10"/>
  <c r="AX271" i="10"/>
  <c r="AW64" i="10"/>
  <c r="AX530" i="10"/>
  <c r="AW167" i="10"/>
  <c r="AD95" i="4"/>
  <c r="AD105" i="4"/>
  <c r="AD109" i="4"/>
  <c r="AD91" i="4"/>
  <c r="AD99" i="4"/>
  <c r="AD87" i="4"/>
  <c r="AD130" i="4"/>
  <c r="AD116" i="4"/>
  <c r="AD135" i="4"/>
  <c r="AD89" i="4"/>
  <c r="AW466" i="10"/>
  <c r="AX329" i="10"/>
  <c r="AX288" i="10"/>
  <c r="AX222" i="10"/>
  <c r="AX497" i="10"/>
  <c r="AX331" i="10"/>
  <c r="AX130" i="10"/>
  <c r="AW533" i="10"/>
  <c r="AX468" i="10"/>
  <c r="AX475" i="10"/>
  <c r="AW178" i="10"/>
  <c r="AX165" i="10"/>
  <c r="AW166" i="10"/>
  <c r="AW205" i="10"/>
  <c r="AW538" i="10"/>
  <c r="AW540" i="10"/>
  <c r="AW415" i="10"/>
  <c r="AX293" i="10"/>
  <c r="AW319" i="10"/>
  <c r="AW176" i="10"/>
  <c r="AX369" i="10"/>
  <c r="AW248" i="10"/>
  <c r="AX351" i="10"/>
  <c r="AW433" i="10"/>
  <c r="AW93" i="10"/>
  <c r="AX221" i="10"/>
  <c r="AW342" i="10"/>
  <c r="AW151" i="10"/>
  <c r="AX499" i="10"/>
  <c r="AW63" i="10"/>
  <c r="AX558" i="10"/>
  <c r="AX89" i="10"/>
  <c r="AW377" i="10"/>
  <c r="AW284" i="10"/>
  <c r="AW515" i="10"/>
  <c r="AW84" i="10"/>
  <c r="AW75" i="10"/>
  <c r="AX296" i="10"/>
  <c r="AX118" i="10"/>
  <c r="AW501" i="10"/>
  <c r="AW318" i="10"/>
  <c r="AX455" i="10"/>
  <c r="AX453" i="10"/>
  <c r="AX58" i="10"/>
  <c r="AX354" i="10"/>
  <c r="AW507" i="10"/>
  <c r="AX209" i="10"/>
  <c r="AW68" i="10"/>
  <c r="AW38" i="10"/>
  <c r="AX330" i="10"/>
  <c r="AW557" i="10"/>
  <c r="AX8" i="10"/>
  <c r="AX240" i="10"/>
  <c r="AX502" i="10"/>
  <c r="AW463" i="10"/>
  <c r="AX388" i="10"/>
  <c r="AW491" i="10"/>
  <c r="AW139" i="10"/>
  <c r="AW244" i="10"/>
  <c r="AX48" i="10"/>
  <c r="AX393" i="10"/>
  <c r="AW500" i="10"/>
  <c r="AX188" i="10"/>
  <c r="AW263" i="10"/>
  <c r="AW373" i="10"/>
  <c r="AW356" i="10"/>
  <c r="AW539" i="10"/>
  <c r="AX218" i="10"/>
  <c r="AW36" i="10"/>
  <c r="AX182" i="10"/>
  <c r="AW110" i="10"/>
  <c r="AW302" i="10"/>
  <c r="AX44" i="10"/>
  <c r="AX102" i="10"/>
  <c r="AX59" i="10"/>
  <c r="AW536" i="10"/>
  <c r="AX314" i="10"/>
  <c r="AX235" i="10"/>
  <c r="AX323" i="10"/>
  <c r="AX291" i="10"/>
  <c r="AW492" i="10"/>
  <c r="AW265" i="10"/>
  <c r="AW422" i="10"/>
  <c r="AW126" i="10"/>
  <c r="AW228" i="10"/>
  <c r="AX121" i="10"/>
  <c r="AX435" i="10"/>
  <c r="AX462" i="10"/>
  <c r="AX338" i="10"/>
  <c r="AX281" i="10"/>
  <c r="AX446" i="10"/>
  <c r="AX473" i="10"/>
  <c r="AW220" i="10"/>
  <c r="AX394" i="10"/>
  <c r="AW212" i="10"/>
  <c r="AW451" i="10"/>
  <c r="AW133" i="10"/>
  <c r="AW412" i="10"/>
  <c r="AX328" i="10"/>
  <c r="AW357" i="10"/>
  <c r="AX454" i="10"/>
  <c r="AW85" i="10"/>
  <c r="AX560" i="10"/>
  <c r="AW33" i="10"/>
  <c r="AX486" i="10"/>
  <c r="AX457" i="10"/>
  <c r="AX325" i="10"/>
  <c r="AW261" i="10"/>
  <c r="AW477" i="10"/>
  <c r="AW363" i="10"/>
  <c r="AX148" i="10"/>
  <c r="AW410" i="10"/>
  <c r="AW225" i="10"/>
  <c r="AW389" i="10"/>
  <c r="AX335" i="10"/>
  <c r="AW434" i="10"/>
  <c r="AW489" i="10"/>
  <c r="AW372" i="10"/>
  <c r="AX381" i="10"/>
  <c r="AW301" i="10"/>
  <c r="AX361" i="10"/>
  <c r="AW181" i="10"/>
  <c r="AX67" i="10"/>
  <c r="AW227" i="10"/>
  <c r="AX138" i="10"/>
  <c r="AX308" i="10"/>
  <c r="AX195" i="10"/>
  <c r="AW459" i="10"/>
  <c r="AW340" i="10"/>
  <c r="AX413" i="10"/>
  <c r="AX86" i="10"/>
  <c r="AX487" i="10"/>
  <c r="AW47" i="10"/>
  <c r="AW292" i="10"/>
  <c r="AX481" i="10"/>
  <c r="AX171" i="10"/>
  <c r="AW405" i="10"/>
  <c r="AW304" i="10"/>
  <c r="AW61" i="10"/>
  <c r="AX275" i="10"/>
  <c r="AX71" i="10"/>
  <c r="AW286" i="10"/>
  <c r="AW360" i="10"/>
  <c r="AW80" i="10"/>
  <c r="AX474" i="10"/>
  <c r="AW509" i="10"/>
  <c r="AX186" i="10"/>
  <c r="AW103" i="10"/>
  <c r="AX276" i="10"/>
  <c r="AW289" i="10"/>
  <c r="AX495" i="10"/>
  <c r="AX29" i="10"/>
  <c r="AX106" i="10"/>
  <c r="AW91" i="10"/>
  <c r="AX217" i="10"/>
  <c r="AX334" i="10"/>
  <c r="AW313" i="10"/>
  <c r="AX253" i="10"/>
  <c r="AX128" i="10"/>
  <c r="AX269" i="10"/>
  <c r="AX144" i="10"/>
  <c r="AW7" i="10"/>
  <c r="AX513" i="10"/>
  <c r="AW163" i="10"/>
  <c r="AW123" i="10"/>
  <c r="AX414" i="10"/>
  <c r="AW226" i="10"/>
  <c r="AX452" i="10"/>
  <c r="AX208" i="10"/>
  <c r="AX545" i="10"/>
  <c r="AX83" i="10"/>
  <c r="AW179" i="10"/>
  <c r="AW90" i="10"/>
  <c r="AX436" i="10"/>
  <c r="AW483" i="10"/>
  <c r="AW439" i="10"/>
  <c r="AX112" i="10"/>
  <c r="AW294" i="10"/>
  <c r="AW298" i="10"/>
  <c r="AW555" i="10"/>
  <c r="AX268" i="10"/>
  <c r="AW316" i="10"/>
  <c r="AX258" i="10"/>
  <c r="AX159" i="10"/>
  <c r="AX241" i="10"/>
  <c r="AX26" i="10"/>
  <c r="AX101" i="10"/>
  <c r="AX494" i="10"/>
  <c r="AW327" i="10"/>
  <c r="AW559" i="10"/>
  <c r="AW19" i="10"/>
  <c r="AX255" i="10"/>
  <c r="AW528" i="10"/>
  <c r="AW521" i="10"/>
  <c r="AX299" i="10"/>
  <c r="AW396" i="10"/>
  <c r="AW82" i="10"/>
  <c r="AW324" i="10"/>
  <c r="AW214" i="10"/>
  <c r="AX193" i="10"/>
  <c r="AW254" i="10"/>
  <c r="AW24" i="10"/>
  <c r="AW21" i="10"/>
  <c r="AX236" i="10"/>
  <c r="AW191" i="10"/>
  <c r="AW57" i="10"/>
  <c r="AX246" i="10"/>
  <c r="AX345" i="10"/>
  <c r="AW32" i="10"/>
  <c r="AW438" i="10"/>
  <c r="AW546" i="10"/>
  <c r="AW109" i="10"/>
  <c r="AW450" i="10"/>
  <c r="AT374" i="5"/>
  <c r="AW136" i="10"/>
  <c r="AX135" i="10"/>
  <c r="AW359" i="10"/>
  <c r="AX42" i="10"/>
  <c r="AX423" i="10"/>
  <c r="AW196" i="10"/>
  <c r="AW525" i="10"/>
  <c r="AX409" i="10"/>
  <c r="AX431" i="10"/>
  <c r="AW392" i="10"/>
  <c r="AX120" i="10"/>
  <c r="AX161" i="10"/>
  <c r="AW404" i="10"/>
  <c r="AW184" i="10"/>
  <c r="AX155" i="10"/>
  <c r="AW199" i="10"/>
  <c r="AW213" i="10"/>
  <c r="AX70" i="10"/>
  <c r="AW183" i="10"/>
  <c r="AW147" i="10"/>
  <c r="AT363" i="5"/>
  <c r="AW375" i="10"/>
  <c r="AW508" i="10"/>
  <c r="AX234" i="10"/>
  <c r="AX352" i="10"/>
  <c r="AW496" i="10"/>
  <c r="AX407" i="10"/>
  <c r="AX158" i="10"/>
  <c r="AW256" i="10"/>
  <c r="AW339" i="10"/>
  <c r="AX96" i="10"/>
  <c r="AX9" i="10"/>
  <c r="AW424" i="10"/>
  <c r="AW397" i="10"/>
  <c r="AX461" i="10"/>
  <c r="AW187" i="10"/>
  <c r="AW238" i="10"/>
  <c r="AX210" i="10"/>
  <c r="AX31" i="10"/>
  <c r="AX524" i="10"/>
  <c r="AW239" i="10"/>
  <c r="AW223" i="10"/>
  <c r="AW216" i="10"/>
  <c r="AW549" i="10"/>
  <c r="AW190" i="10"/>
  <c r="AW519" i="10"/>
  <c r="AX379" i="10"/>
  <c r="AW81" i="10"/>
  <c r="AW523" i="10"/>
  <c r="AW554" i="10"/>
  <c r="AW470" i="10"/>
  <c r="AW201" i="10"/>
  <c r="AX479" i="10"/>
  <c r="AW146" i="10"/>
  <c r="AW260" i="10"/>
  <c r="AW114" i="10"/>
  <c r="AX154" i="10"/>
  <c r="AX349" i="10"/>
  <c r="AW311" i="10"/>
  <c r="AU329" i="5"/>
  <c r="AW140" i="10"/>
  <c r="AX60" i="10"/>
  <c r="AW270" i="10"/>
  <c r="AV11" i="10"/>
  <c r="AW11" i="10" s="1"/>
  <c r="AX74" i="10"/>
  <c r="AW460" i="10"/>
  <c r="AX49" i="10"/>
  <c r="AX287" i="10"/>
  <c r="AX149" i="10"/>
  <c r="AX504" i="10"/>
  <c r="AX347" i="10"/>
  <c r="AW447" i="10"/>
  <c r="AX252" i="10"/>
  <c r="AW429" i="10"/>
  <c r="AW467" i="10"/>
  <c r="AW40" i="10"/>
  <c r="AW232" i="10"/>
  <c r="AX511" i="10"/>
  <c r="AW400" i="10"/>
  <c r="AW518" i="10"/>
  <c r="AD11" i="10"/>
  <c r="AX267" i="10"/>
  <c r="AW23" i="10"/>
  <c r="AU540" i="5"/>
  <c r="AX505" i="10"/>
  <c r="AW237" i="10"/>
  <c r="AU470" i="5"/>
  <c r="AX344" i="10"/>
  <c r="AW264" i="10"/>
  <c r="AT11" i="10"/>
  <c r="AU11" i="10"/>
  <c r="AU481" i="5"/>
  <c r="AU440" i="5"/>
  <c r="AT52" i="5"/>
  <c r="AT274" i="5"/>
  <c r="AT22" i="5"/>
  <c r="AU115" i="5"/>
  <c r="AU19" i="5"/>
  <c r="AT205" i="5"/>
  <c r="AT288" i="5"/>
  <c r="AT229" i="5"/>
  <c r="AT204" i="5"/>
  <c r="AT42" i="5"/>
  <c r="AT306" i="5"/>
  <c r="AT65" i="5"/>
  <c r="AU30" i="5"/>
  <c r="AU287" i="5"/>
  <c r="AU397" i="5"/>
  <c r="AU519" i="5"/>
  <c r="AT193" i="5"/>
  <c r="AU515" i="5"/>
  <c r="AT400" i="5"/>
  <c r="AT203" i="5"/>
  <c r="AT194" i="5"/>
  <c r="AU525" i="5"/>
  <c r="AU95" i="5"/>
  <c r="AT411" i="5"/>
  <c r="AT240" i="5"/>
  <c r="AU138" i="5"/>
  <c r="AU266" i="5"/>
  <c r="AU189" i="5"/>
  <c r="AQ11" i="5"/>
  <c r="AT89" i="5"/>
  <c r="AT549" i="5"/>
  <c r="AU437" i="5"/>
  <c r="AU347" i="5"/>
  <c r="AU73" i="5"/>
  <c r="AU83" i="5"/>
  <c r="AT522" i="5"/>
  <c r="AU483" i="5"/>
  <c r="AU351" i="5"/>
  <c r="AU342" i="5"/>
  <c r="AU346" i="5"/>
  <c r="AT107" i="5"/>
  <c r="AU492" i="5"/>
  <c r="AU403" i="5"/>
  <c r="AT394" i="5"/>
  <c r="AU530" i="5"/>
  <c r="AT388" i="5"/>
  <c r="AT190" i="5"/>
  <c r="AT482" i="5"/>
  <c r="AU90" i="5"/>
  <c r="AU154" i="5"/>
  <c r="AT257" i="5"/>
  <c r="AT196" i="5"/>
  <c r="AU94" i="5"/>
  <c r="AU156" i="5"/>
  <c r="AU423" i="5"/>
  <c r="AU176" i="5"/>
  <c r="AU503" i="5"/>
  <c r="AT292" i="5"/>
  <c r="AU410" i="5"/>
  <c r="AU421" i="5"/>
  <c r="AU170" i="5"/>
  <c r="AT435" i="5"/>
  <c r="AU39" i="5"/>
  <c r="AU47" i="5"/>
  <c r="AU296" i="5"/>
  <c r="AU420" i="5"/>
  <c r="AT354" i="5"/>
  <c r="AU355" i="5"/>
  <c r="AU536" i="5"/>
  <c r="AU326" i="5"/>
  <c r="AT383" i="5"/>
  <c r="AU545" i="5"/>
  <c r="AT75" i="5"/>
  <c r="AT239" i="5"/>
  <c r="AT246" i="5"/>
  <c r="AU532" i="5"/>
  <c r="AU114" i="5"/>
  <c r="AT273" i="5"/>
  <c r="AT97" i="5"/>
  <c r="AT452" i="5"/>
  <c r="AT544" i="5"/>
  <c r="AT86" i="5"/>
  <c r="AU444" i="5"/>
  <c r="AU166" i="5"/>
  <c r="AU407" i="5"/>
  <c r="AT67" i="5"/>
  <c r="AU68" i="5"/>
  <c r="AU79" i="5"/>
  <c r="AT429" i="5"/>
  <c r="AT212" i="5"/>
  <c r="AU127" i="5"/>
  <c r="AT191" i="5"/>
  <c r="AU370" i="5"/>
  <c r="AU335" i="5"/>
  <c r="AU518" i="5"/>
  <c r="AU334" i="5"/>
  <c r="AT371" i="5"/>
  <c r="AU244" i="5"/>
  <c r="AT111" i="5"/>
  <c r="AU496" i="5"/>
  <c r="AU226" i="5"/>
  <c r="AT210" i="5"/>
  <c r="AT546" i="5"/>
  <c r="AU271" i="5"/>
  <c r="AU235" i="5"/>
  <c r="AT293" i="5"/>
  <c r="AU259" i="5"/>
  <c r="AT268" i="5"/>
  <c r="AT380" i="5"/>
  <c r="AT547" i="5"/>
  <c r="AU199" i="5"/>
  <c r="AU284" i="5"/>
  <c r="AU533" i="5"/>
  <c r="AU336" i="5"/>
  <c r="AU300" i="5"/>
  <c r="AT514" i="5"/>
  <c r="AU348" i="5"/>
  <c r="AU426" i="5"/>
  <c r="AT472" i="5"/>
  <c r="AU500" i="5"/>
  <c r="AU172" i="5"/>
  <c r="AU324" i="5"/>
  <c r="AU102" i="5"/>
  <c r="AT552" i="5"/>
  <c r="AU250" i="5"/>
  <c r="AT542" i="5"/>
  <c r="AT149" i="5"/>
  <c r="AU278" i="5"/>
  <c r="AU463" i="5"/>
  <c r="AT378" i="5"/>
  <c r="AU368" i="5"/>
  <c r="AU143" i="5"/>
  <c r="AU432" i="5"/>
  <c r="AU35" i="5"/>
  <c r="AT417" i="5"/>
  <c r="AT367" i="5"/>
  <c r="AU313" i="5"/>
  <c r="AU285" i="5"/>
  <c r="AT26" i="5"/>
  <c r="AU262" i="5"/>
  <c r="AU459" i="5"/>
  <c r="AT464" i="5"/>
  <c r="AT379" i="5"/>
  <c r="AU330" i="5"/>
  <c r="AT416" i="5"/>
  <c r="AT318" i="5"/>
  <c r="AT486" i="5"/>
  <c r="AU198" i="5"/>
  <c r="AT460" i="5"/>
  <c r="AT381" i="5"/>
  <c r="AU53" i="5"/>
  <c r="AT219" i="5"/>
  <c r="AT175" i="5"/>
  <c r="AT123" i="5"/>
  <c r="AU535" i="5"/>
  <c r="AT303" i="5"/>
  <c r="AU230" i="5"/>
  <c r="AU165" i="5"/>
  <c r="AU414" i="5"/>
  <c r="AU133" i="5"/>
  <c r="AT382" i="5"/>
  <c r="AU391" i="5"/>
  <c r="AU441" i="5"/>
  <c r="AT369" i="5"/>
  <c r="AU477" i="5"/>
  <c r="AT455" i="5"/>
  <c r="AU456" i="5"/>
  <c r="AU221" i="5"/>
  <c r="AT356" i="5"/>
  <c r="AT521" i="5"/>
  <c r="AD11" i="5"/>
  <c r="AU242" i="5"/>
  <c r="AT106" i="5"/>
  <c r="AT325" i="5"/>
  <c r="AT405" i="5"/>
  <c r="AS11" i="5"/>
  <c r="AT11" i="5" s="1"/>
  <c r="AU153" i="5"/>
  <c r="AT443" i="5"/>
  <c r="AT419" i="5"/>
  <c r="AU99" i="5"/>
  <c r="AT560" i="5"/>
  <c r="AU263" i="5"/>
  <c r="AU180" i="5"/>
  <c r="AU270" i="5"/>
  <c r="AU436" i="5"/>
  <c r="AT554" i="5"/>
  <c r="AT449" i="5"/>
  <c r="AT474" i="5"/>
  <c r="AU387" i="5"/>
  <c r="AU120" i="5"/>
  <c r="AU23" i="5"/>
  <c r="AT29" i="5"/>
  <c r="AT236" i="5"/>
  <c r="AT129" i="5"/>
  <c r="AT333" i="5"/>
  <c r="AT255" i="5"/>
  <c r="AU314" i="5"/>
  <c r="AU415" i="5"/>
  <c r="AU228" i="5"/>
  <c r="AT87" i="5"/>
  <c r="AU92" i="5"/>
  <c r="AT76" i="5"/>
  <c r="AU331" i="5"/>
  <c r="AT431" i="5"/>
  <c r="AU302" i="5"/>
  <c r="AU507" i="5"/>
  <c r="AU439" i="5"/>
  <c r="AT264" i="5"/>
  <c r="AU349" i="5"/>
  <c r="AU385" i="5"/>
  <c r="AU254" i="5"/>
  <c r="AT261" i="5"/>
  <c r="AU491" i="5"/>
  <c r="AU168" i="5"/>
  <c r="AU211" i="5"/>
  <c r="AU31" i="5"/>
  <c r="AT131" i="5"/>
  <c r="AT272" i="5"/>
  <c r="AT243" i="5"/>
  <c r="AT155" i="5"/>
  <c r="AT40" i="5"/>
  <c r="AT41" i="5"/>
  <c r="AT485" i="5"/>
  <c r="AU12" i="5"/>
  <c r="AU340" i="5"/>
  <c r="AT310" i="5"/>
  <c r="AU24" i="5"/>
  <c r="AT101" i="5"/>
  <c r="AT28" i="5"/>
  <c r="AU209" i="5"/>
  <c r="AT428" i="5"/>
  <c r="AU91" i="5"/>
  <c r="AU103" i="5"/>
  <c r="AU469" i="5"/>
  <c r="AT524" i="5"/>
  <c r="AU38" i="5"/>
  <c r="AU345" i="5"/>
  <c r="AU225" i="5"/>
  <c r="AU93" i="5"/>
  <c r="AT161" i="5"/>
  <c r="AU490" i="5"/>
  <c r="AU50" i="5"/>
  <c r="AU531" i="5"/>
  <c r="AU321" i="5"/>
  <c r="AU222" i="5"/>
  <c r="AU233" i="5"/>
  <c r="AU159" i="5"/>
  <c r="AT85" i="5"/>
  <c r="AT25" i="5"/>
  <c r="AU307" i="5"/>
  <c r="AU511" i="5"/>
  <c r="AT220" i="5"/>
  <c r="AU396" i="5"/>
  <c r="AU516" i="5"/>
  <c r="AT298" i="5"/>
  <c r="AU224" i="5"/>
  <c r="AU139" i="5"/>
  <c r="AT390" i="5"/>
  <c r="AT361" i="5"/>
  <c r="AU237" i="5"/>
  <c r="AU377" i="5"/>
  <c r="AT494" i="5"/>
  <c r="AT438" i="5"/>
  <c r="AU328" i="5"/>
  <c r="AT185" i="5"/>
  <c r="AU320" i="5"/>
  <c r="AT473" i="5"/>
  <c r="AU10" i="5"/>
  <c r="AT427" i="5"/>
  <c r="AU269" i="5"/>
  <c r="AT312" i="5"/>
  <c r="AT167" i="5"/>
  <c r="AU358" i="5"/>
  <c r="AU558" i="5"/>
  <c r="AT119" i="5"/>
  <c r="AT48" i="5"/>
  <c r="AT359" i="5"/>
  <c r="AT163" i="5"/>
  <c r="AU140" i="5"/>
  <c r="AU304" i="5"/>
  <c r="AU208" i="5"/>
  <c r="AU551" i="5"/>
  <c r="AU488" i="5"/>
  <c r="AU425" i="5"/>
  <c r="AT478" i="5"/>
  <c r="AU135" i="5"/>
  <c r="AU132" i="5"/>
  <c r="AT282" i="5"/>
  <c r="AU406" i="5"/>
  <c r="AU402" i="5"/>
  <c r="AU457" i="5"/>
  <c r="AU555" i="5"/>
  <c r="AU276" i="5"/>
  <c r="AU343" i="5"/>
  <c r="AT195" i="5"/>
  <c r="AT82" i="5"/>
  <c r="AT295" i="5"/>
  <c r="AT327" i="5"/>
  <c r="AU401" i="5"/>
  <c r="AU294" i="5"/>
  <c r="AT130" i="5"/>
  <c r="AU505" i="5"/>
  <c r="AU158" i="5"/>
  <c r="AT20" i="5"/>
  <c r="AU559" i="5"/>
  <c r="AU291" i="5"/>
  <c r="AT376" i="5"/>
  <c r="AT56" i="5"/>
  <c r="AU55" i="5"/>
  <c r="AT537" i="5"/>
  <c r="AU164" i="5"/>
  <c r="AT9" i="5"/>
  <c r="AU197" i="5"/>
  <c r="AT409" i="5"/>
  <c r="AD56" i="4"/>
  <c r="AD55" i="4"/>
  <c r="AD57" i="4"/>
  <c r="AD58" i="4"/>
  <c r="AD33" i="4"/>
  <c r="AD29" i="4"/>
  <c r="AD25" i="4"/>
  <c r="AD45" i="4"/>
  <c r="AD31" i="4"/>
  <c r="AD41" i="4"/>
  <c r="AD37" i="4"/>
  <c r="AJ7" i="4"/>
  <c r="BY7" i="4" s="1"/>
  <c r="F88" i="1"/>
  <c r="AQ157" i="4" l="1"/>
  <c r="AR157" i="4" s="1"/>
  <c r="AS157" i="4" s="1"/>
  <c r="AQ133" i="4"/>
  <c r="AR133" i="4" s="1"/>
  <c r="AQ126" i="4"/>
  <c r="AR126" i="4" s="1"/>
  <c r="AS126" i="4" s="1"/>
  <c r="AN150" i="4"/>
  <c r="AS150" i="4" s="1"/>
  <c r="AQ152" i="4"/>
  <c r="AR152" i="4" s="1"/>
  <c r="AS152" i="4" s="1"/>
  <c r="AR131" i="4"/>
  <c r="AS131" i="4" s="1"/>
  <c r="AR127" i="4"/>
  <c r="AS127" i="4" s="1"/>
  <c r="AN122" i="4"/>
  <c r="AS122" i="4" s="1"/>
  <c r="AN154" i="4"/>
  <c r="AS154" i="4" s="1"/>
  <c r="AR155" i="4"/>
  <c r="AS155" i="4" s="1"/>
  <c r="AS121" i="4"/>
  <c r="BX8" i="4"/>
  <c r="AS15" i="4"/>
  <c r="BZ7" i="4"/>
  <c r="AS17" i="4"/>
  <c r="AS93" i="4"/>
  <c r="AS31" i="4"/>
  <c r="AS144" i="4"/>
  <c r="AS94" i="4"/>
  <c r="AS89" i="4"/>
  <c r="AS80" i="4"/>
  <c r="AD113" i="4"/>
  <c r="AE113" i="4" s="1"/>
  <c r="BX113" i="4" s="1"/>
  <c r="AH113" i="4"/>
  <c r="AJ113" i="4" s="1"/>
  <c r="AD104" i="4"/>
  <c r="AE104" i="4" s="1"/>
  <c r="BX104" i="4" s="1"/>
  <c r="AH104" i="4"/>
  <c r="AJ104" i="4" s="1"/>
  <c r="AD137" i="4"/>
  <c r="AE137" i="4" s="1"/>
  <c r="BX137" i="4" s="1"/>
  <c r="AH137" i="4"/>
  <c r="AJ137" i="4" s="1"/>
  <c r="AD65" i="4"/>
  <c r="AE65" i="4" s="1"/>
  <c r="BX65" i="4" s="1"/>
  <c r="AH65" i="4"/>
  <c r="AJ65" i="4" s="1"/>
  <c r="AD32" i="4"/>
  <c r="AE32" i="4" s="1"/>
  <c r="BX32" i="4" s="1"/>
  <c r="AH32" i="4"/>
  <c r="AJ32" i="4" s="1"/>
  <c r="AD106" i="4"/>
  <c r="AE106" i="4" s="1"/>
  <c r="BX106" i="4" s="1"/>
  <c r="AH106" i="4"/>
  <c r="AJ106" i="4" s="1"/>
  <c r="AD54" i="4"/>
  <c r="AE54" i="4" s="1"/>
  <c r="BX54" i="4" s="1"/>
  <c r="AH54" i="4"/>
  <c r="AJ54" i="4" s="1"/>
  <c r="AD148" i="4"/>
  <c r="AE148" i="4" s="1"/>
  <c r="BX148" i="4" s="1"/>
  <c r="AH148" i="4"/>
  <c r="AJ148" i="4" s="1"/>
  <c r="AD124" i="4"/>
  <c r="AE124" i="4" s="1"/>
  <c r="BX124" i="4" s="1"/>
  <c r="AH124" i="4"/>
  <c r="AJ124" i="4" s="1"/>
  <c r="AD82" i="4"/>
  <c r="AE82" i="4" s="1"/>
  <c r="BX82" i="4" s="1"/>
  <c r="AH82" i="4"/>
  <c r="AJ82" i="4" s="1"/>
  <c r="AD111" i="4"/>
  <c r="AE111" i="4" s="1"/>
  <c r="BX111" i="4" s="1"/>
  <c r="AH111" i="4"/>
  <c r="AJ111" i="4" s="1"/>
  <c r="AD47" i="4"/>
  <c r="AE47" i="4" s="1"/>
  <c r="BX47" i="4" s="1"/>
  <c r="AH47" i="4"/>
  <c r="AJ47" i="4" s="1"/>
  <c r="AD64" i="4"/>
  <c r="AE64" i="4" s="1"/>
  <c r="BX64" i="4" s="1"/>
  <c r="AH64" i="4"/>
  <c r="AJ64" i="4" s="1"/>
  <c r="AD146" i="4"/>
  <c r="AE146" i="4" s="1"/>
  <c r="BX146" i="4" s="1"/>
  <c r="AH146" i="4"/>
  <c r="AJ146" i="4" s="1"/>
  <c r="AD21" i="4"/>
  <c r="AE21" i="4" s="1"/>
  <c r="BX21" i="4" s="1"/>
  <c r="AH21" i="4"/>
  <c r="AJ21" i="4" s="1"/>
  <c r="AD79" i="4"/>
  <c r="AE79" i="4" s="1"/>
  <c r="BX79" i="4" s="1"/>
  <c r="AH79" i="4"/>
  <c r="AJ79" i="4" s="1"/>
  <c r="AD46" i="4"/>
  <c r="AE46" i="4" s="1"/>
  <c r="BX46" i="4" s="1"/>
  <c r="AH46" i="4"/>
  <c r="AJ46" i="4" s="1"/>
  <c r="AD117" i="4"/>
  <c r="AE117" i="4" s="1"/>
  <c r="BX117" i="4" s="1"/>
  <c r="AH117" i="4"/>
  <c r="AJ117" i="4" s="1"/>
  <c r="AD157" i="4"/>
  <c r="AE157" i="4" s="1"/>
  <c r="BX157" i="4" s="1"/>
  <c r="AH157" i="4"/>
  <c r="AJ157" i="4" s="1"/>
  <c r="AD143" i="4"/>
  <c r="AE143" i="4" s="1"/>
  <c r="BX143" i="4" s="1"/>
  <c r="AH143" i="4"/>
  <c r="AJ143" i="4" s="1"/>
  <c r="AD122" i="4"/>
  <c r="AE122" i="4" s="1"/>
  <c r="BX122" i="4" s="1"/>
  <c r="AH122" i="4"/>
  <c r="AJ122" i="4" s="1"/>
  <c r="AD59" i="4"/>
  <c r="AE59" i="4" s="1"/>
  <c r="BX59" i="4" s="1"/>
  <c r="AH59" i="4"/>
  <c r="AJ59" i="4" s="1"/>
  <c r="AD140" i="4"/>
  <c r="AE140" i="4" s="1"/>
  <c r="BX140" i="4" s="1"/>
  <c r="AH140" i="4"/>
  <c r="AJ140" i="4" s="1"/>
  <c r="AD24" i="4"/>
  <c r="AE24" i="4" s="1"/>
  <c r="BX24" i="4" s="1"/>
  <c r="AH24" i="4"/>
  <c r="AJ24" i="4" s="1"/>
  <c r="AD136" i="4"/>
  <c r="AE136" i="4" s="1"/>
  <c r="BX136" i="4" s="1"/>
  <c r="AH136" i="4"/>
  <c r="AJ136" i="4" s="1"/>
  <c r="AD49" i="4"/>
  <c r="AE49" i="4" s="1"/>
  <c r="BX49" i="4" s="1"/>
  <c r="AH49" i="4"/>
  <c r="AJ49" i="4" s="1"/>
  <c r="AD48" i="4"/>
  <c r="AE48" i="4" s="1"/>
  <c r="BX48" i="4" s="1"/>
  <c r="AH48" i="4"/>
  <c r="AJ48" i="4" s="1"/>
  <c r="AD94" i="4"/>
  <c r="AE94" i="4" s="1"/>
  <c r="BX94" i="4" s="1"/>
  <c r="AH94" i="4"/>
  <c r="AJ94" i="4" s="1"/>
  <c r="AD102" i="4"/>
  <c r="AE102" i="4" s="1"/>
  <c r="BX102" i="4" s="1"/>
  <c r="AH102" i="4"/>
  <c r="AJ102" i="4" s="1"/>
  <c r="AD39" i="4"/>
  <c r="AE39" i="4" s="1"/>
  <c r="BX39" i="4" s="1"/>
  <c r="AH39" i="4"/>
  <c r="AJ39" i="4" s="1"/>
  <c r="AD81" i="4"/>
  <c r="AE81" i="4" s="1"/>
  <c r="BX81" i="4" s="1"/>
  <c r="AH81" i="4"/>
  <c r="AJ81" i="4" s="1"/>
  <c r="AD118" i="4"/>
  <c r="AE118" i="4" s="1"/>
  <c r="BX118" i="4" s="1"/>
  <c r="AH118" i="4"/>
  <c r="AJ118" i="4" s="1"/>
  <c r="AD149" i="4"/>
  <c r="AE149" i="4" s="1"/>
  <c r="BX149" i="4" s="1"/>
  <c r="AH149" i="4"/>
  <c r="AJ149" i="4" s="1"/>
  <c r="AD26" i="4"/>
  <c r="AE26" i="4" s="1"/>
  <c r="BX26" i="4" s="1"/>
  <c r="AH26" i="4"/>
  <c r="AJ26" i="4" s="1"/>
  <c r="AD110" i="4"/>
  <c r="AE110" i="4" s="1"/>
  <c r="BX110" i="4" s="1"/>
  <c r="AH110" i="4"/>
  <c r="AJ110" i="4" s="1"/>
  <c r="AD19" i="4"/>
  <c r="AE19" i="4" s="1"/>
  <c r="BX19" i="4" s="1"/>
  <c r="AH19" i="4"/>
  <c r="AJ19" i="4" s="1"/>
  <c r="AD156" i="4"/>
  <c r="AE156" i="4" s="1"/>
  <c r="BX156" i="4" s="1"/>
  <c r="AH156" i="4"/>
  <c r="AJ156" i="4" s="1"/>
  <c r="AD126" i="4"/>
  <c r="AE126" i="4" s="1"/>
  <c r="BX126" i="4" s="1"/>
  <c r="AH126" i="4"/>
  <c r="AJ126" i="4" s="1"/>
  <c r="AS57" i="4"/>
  <c r="AS39" i="4"/>
  <c r="AS27" i="4"/>
  <c r="AS70" i="4"/>
  <c r="AS53" i="4"/>
  <c r="AS43" i="4"/>
  <c r="AS73" i="4"/>
  <c r="AS58" i="4"/>
  <c r="AS133" i="4"/>
  <c r="AJ97" i="4"/>
  <c r="AS88" i="4"/>
  <c r="AS103" i="4"/>
  <c r="AS25" i="4"/>
  <c r="AS50" i="4"/>
  <c r="AS97" i="4"/>
  <c r="AS61" i="4"/>
  <c r="AS151" i="4"/>
  <c r="AS76" i="4"/>
  <c r="AS12" i="4"/>
  <c r="AS16" i="4"/>
  <c r="AJ90" i="4"/>
  <c r="AS67" i="4"/>
  <c r="AS109" i="4"/>
  <c r="AN24" i="4"/>
  <c r="AS51" i="4"/>
  <c r="AS69" i="4"/>
  <c r="AS141" i="4"/>
  <c r="AS30" i="4"/>
  <c r="AS8" i="4"/>
  <c r="AN65" i="4"/>
  <c r="AS52" i="4"/>
  <c r="AS82" i="4"/>
  <c r="AN81" i="4"/>
  <c r="AS81" i="4" s="1"/>
  <c r="AS90" i="4"/>
  <c r="AS119" i="4"/>
  <c r="AS41" i="4"/>
  <c r="AS38" i="4"/>
  <c r="AE25" i="4"/>
  <c r="BX25" i="4" s="1"/>
  <c r="AE89" i="4"/>
  <c r="BX89" i="4" s="1"/>
  <c r="AQ145" i="4"/>
  <c r="AR145" i="4" s="1"/>
  <c r="AE41" i="4"/>
  <c r="BX41" i="4" s="1"/>
  <c r="AE55" i="4"/>
  <c r="BX55" i="4" s="1"/>
  <c r="AE31" i="4"/>
  <c r="BX31" i="4" s="1"/>
  <c r="AE33" i="4"/>
  <c r="BX33" i="4" s="1"/>
  <c r="AE56" i="4"/>
  <c r="BX56" i="4" s="1"/>
  <c r="AE37" i="4"/>
  <c r="BX37" i="4" s="1"/>
  <c r="AE45" i="4"/>
  <c r="BX45" i="4" s="1"/>
  <c r="AE58" i="4"/>
  <c r="BX58" i="4" s="1"/>
  <c r="AE130" i="4"/>
  <c r="BX130" i="4" s="1"/>
  <c r="AE109" i="4"/>
  <c r="BX109" i="4" s="1"/>
  <c r="AE34" i="4"/>
  <c r="BX34" i="4" s="1"/>
  <c r="AQ65" i="4"/>
  <c r="AR65" i="4" s="1"/>
  <c r="AQ19" i="4"/>
  <c r="AR19" i="4" s="1"/>
  <c r="AS19" i="4" s="1"/>
  <c r="AS75" i="4"/>
  <c r="AN149" i="4"/>
  <c r="AQ108" i="4"/>
  <c r="AR108" i="4" s="1"/>
  <c r="AQ143" i="4"/>
  <c r="AR143" i="4" s="1"/>
  <c r="AQ146" i="4"/>
  <c r="AR146" i="4" s="1"/>
  <c r="AN156" i="4"/>
  <c r="AN110" i="4"/>
  <c r="AS29" i="4"/>
  <c r="AN116" i="4"/>
  <c r="AS23" i="4"/>
  <c r="AE105" i="4"/>
  <c r="BX105" i="4" s="1"/>
  <c r="AE17" i="4"/>
  <c r="BX17" i="4" s="1"/>
  <c r="AE29" i="4"/>
  <c r="BX29" i="4" s="1"/>
  <c r="AE135" i="4"/>
  <c r="BX135" i="4" s="1"/>
  <c r="AE99" i="4"/>
  <c r="BX99" i="4" s="1"/>
  <c r="AE95" i="4"/>
  <c r="BX95" i="4" s="1"/>
  <c r="AQ24" i="4"/>
  <c r="AR24" i="4" s="1"/>
  <c r="AQ49" i="4"/>
  <c r="AR49" i="4" s="1"/>
  <c r="AS49" i="4" s="1"/>
  <c r="AN124" i="4"/>
  <c r="AN136" i="4"/>
  <c r="AS136" i="4" s="1"/>
  <c r="AQ137" i="4"/>
  <c r="AQ21" i="4"/>
  <c r="AR21" i="4" s="1"/>
  <c r="AE57" i="4"/>
  <c r="BX57" i="4" s="1"/>
  <c r="AE87" i="4"/>
  <c r="BX87" i="4" s="1"/>
  <c r="AE116" i="4"/>
  <c r="BX116" i="4" s="1"/>
  <c r="AE91" i="4"/>
  <c r="BX91" i="4" s="1"/>
  <c r="AE10" i="4"/>
  <c r="BX10" i="4" s="1"/>
  <c r="AN145" i="4"/>
  <c r="AQ54" i="4"/>
  <c r="AR54" i="4" s="1"/>
  <c r="AN117" i="4"/>
  <c r="AS117" i="4" s="1"/>
  <c r="AQ113" i="4"/>
  <c r="AR113" i="4" s="1"/>
  <c r="AN148" i="4"/>
  <c r="AS148" i="4" s="1"/>
  <c r="AS34" i="4"/>
  <c r="AS63" i="4"/>
  <c r="AQ130" i="4"/>
  <c r="AR130" i="4" s="1"/>
  <c r="AS130" i="4" s="1"/>
  <c r="BT8" i="4"/>
  <c r="AQ110" i="4"/>
  <c r="AR110" i="4" s="1"/>
  <c r="AN146" i="4"/>
  <c r="AN54" i="4"/>
  <c r="AQ116" i="4"/>
  <c r="AR116" i="4" s="1"/>
  <c r="AQ124" i="4"/>
  <c r="AR124" i="4" s="1"/>
  <c r="AJ52" i="4"/>
  <c r="AN21" i="4"/>
  <c r="AN108" i="4"/>
  <c r="AN143" i="4"/>
  <c r="AN142" i="4"/>
  <c r="AQ142" i="4"/>
  <c r="AR142" i="4" s="1"/>
  <c r="AN113" i="4"/>
  <c r="AN137" i="4"/>
  <c r="AQ149" i="4"/>
  <c r="AR149" i="4" s="1"/>
  <c r="AQ156" i="4"/>
  <c r="AR156" i="4" s="1"/>
  <c r="AN140" i="4"/>
  <c r="AQ140" i="4"/>
  <c r="AR140" i="4" s="1"/>
  <c r="AQ123" i="4"/>
  <c r="AN123" i="4"/>
  <c r="AJ123" i="4"/>
  <c r="AJ108" i="4"/>
  <c r="AS132" i="4"/>
  <c r="AS44" i="4"/>
  <c r="AS114" i="4"/>
  <c r="AS32" i="4"/>
  <c r="AS92" i="4"/>
  <c r="AS112" i="4"/>
  <c r="AS106" i="4"/>
  <c r="AS96" i="4"/>
  <c r="AS26" i="4"/>
  <c r="AS100" i="4"/>
  <c r="AS64" i="4"/>
  <c r="AS48" i="4"/>
  <c r="AS79" i="4"/>
  <c r="AS128" i="4"/>
  <c r="AS134" i="4"/>
  <c r="AQ118" i="4"/>
  <c r="AR118" i="4" s="1"/>
  <c r="AN118" i="4"/>
  <c r="AQ46" i="4"/>
  <c r="AR46" i="4" s="1"/>
  <c r="AN46" i="4"/>
  <c r="AN104" i="4"/>
  <c r="AQ104" i="4"/>
  <c r="AR104" i="4" s="1"/>
  <c r="AN47" i="4"/>
  <c r="AQ47" i="4"/>
  <c r="AR47" i="4" s="1"/>
  <c r="AJ16" i="4"/>
  <c r="AX11" i="10"/>
  <c r="AU11" i="5"/>
  <c r="AJ120" i="4"/>
  <c r="AJ95" i="4"/>
  <c r="AJ41" i="4"/>
  <c r="AJ87" i="4"/>
  <c r="AJ37" i="4"/>
  <c r="AJ133" i="4"/>
  <c r="AJ33" i="4"/>
  <c r="AJ25" i="4"/>
  <c r="AJ152" i="4"/>
  <c r="AJ57" i="4"/>
  <c r="AJ107" i="4"/>
  <c r="BY107" i="4" s="1"/>
  <c r="BZ107" i="4" s="1"/>
  <c r="AJ105" i="4"/>
  <c r="AJ55" i="4"/>
  <c r="AJ155" i="4"/>
  <c r="AJ83" i="4"/>
  <c r="AJ89" i="4"/>
  <c r="AJ62" i="4"/>
  <c r="AJ69" i="4"/>
  <c r="AJ29" i="4"/>
  <c r="AJ99" i="4"/>
  <c r="AJ75" i="4"/>
  <c r="AJ142" i="4"/>
  <c r="AJ116" i="4"/>
  <c r="AJ109" i="4"/>
  <c r="AJ76" i="4"/>
  <c r="AJ45" i="4"/>
  <c r="AJ58" i="4"/>
  <c r="AJ31" i="4"/>
  <c r="AJ56" i="4"/>
  <c r="AJ150" i="4"/>
  <c r="AJ130" i="4"/>
  <c r="AJ91" i="4"/>
  <c r="AJ135" i="4"/>
  <c r="AJ72" i="4"/>
  <c r="BY139" i="4" l="1"/>
  <c r="BZ139" i="4" s="1"/>
  <c r="BY121" i="4"/>
  <c r="BZ121" i="4" s="1"/>
  <c r="BY153" i="4"/>
  <c r="BZ153" i="4" s="1"/>
  <c r="AR123" i="4"/>
  <c r="AS123" i="4" s="1"/>
  <c r="AR137" i="4"/>
  <c r="AS137" i="4" s="1"/>
  <c r="BY151" i="4"/>
  <c r="BZ151" i="4" s="1"/>
  <c r="BY15" i="4"/>
  <c r="BZ15" i="4" s="1"/>
  <c r="BY93" i="4"/>
  <c r="BZ93" i="4" s="1"/>
  <c r="BY53" i="4"/>
  <c r="BZ53" i="4" s="1"/>
  <c r="BY17" i="4"/>
  <c r="BZ17" i="4" s="1"/>
  <c r="BY39" i="4"/>
  <c r="BZ39" i="4" s="1"/>
  <c r="BY66" i="4"/>
  <c r="BZ66" i="4" s="1"/>
  <c r="BY98" i="4"/>
  <c r="BZ98" i="4" s="1"/>
  <c r="BY11" i="4"/>
  <c r="BZ11" i="4" s="1"/>
  <c r="BY78" i="4"/>
  <c r="BZ78" i="4" s="1"/>
  <c r="BY115" i="4"/>
  <c r="BZ115" i="4" s="1"/>
  <c r="BY129" i="4"/>
  <c r="BZ129" i="4" s="1"/>
  <c r="BY85" i="4"/>
  <c r="BZ85" i="4" s="1"/>
  <c r="BY36" i="4"/>
  <c r="BZ36" i="4" s="1"/>
  <c r="BY60" i="4"/>
  <c r="BZ60" i="4" s="1"/>
  <c r="BY35" i="4"/>
  <c r="BZ35" i="4" s="1"/>
  <c r="BY42" i="4"/>
  <c r="BZ42" i="4" s="1"/>
  <c r="BY105" i="4"/>
  <c r="BZ105" i="4" s="1"/>
  <c r="BY138" i="4"/>
  <c r="BZ138" i="4" s="1"/>
  <c r="BY9" i="4"/>
  <c r="BZ9" i="4" s="1"/>
  <c r="BY111" i="4"/>
  <c r="BZ111" i="4" s="1"/>
  <c r="BY40" i="4"/>
  <c r="BZ40" i="4" s="1"/>
  <c r="BY68" i="4"/>
  <c r="BZ68" i="4" s="1"/>
  <c r="BY20" i="4"/>
  <c r="BZ20" i="4" s="1"/>
  <c r="BY74" i="4"/>
  <c r="BZ74" i="4" s="1"/>
  <c r="BY99" i="4"/>
  <c r="BZ99" i="4" s="1"/>
  <c r="BY86" i="4"/>
  <c r="BZ86" i="4" s="1"/>
  <c r="BY71" i="4"/>
  <c r="BZ71" i="4" s="1"/>
  <c r="BY147" i="4"/>
  <c r="BZ147" i="4" s="1"/>
  <c r="BY14" i="4"/>
  <c r="BZ14" i="4" s="1"/>
  <c r="BY77" i="4"/>
  <c r="BZ77" i="4" s="1"/>
  <c r="BY22" i="4"/>
  <c r="BZ22" i="4" s="1"/>
  <c r="BY18" i="4"/>
  <c r="BZ18" i="4" s="1"/>
  <c r="BY125" i="4"/>
  <c r="BZ125" i="4" s="1"/>
  <c r="BY59" i="4"/>
  <c r="BZ59" i="4" s="1"/>
  <c r="BY87" i="4"/>
  <c r="BZ87" i="4" s="1"/>
  <c r="BY102" i="4"/>
  <c r="BZ102" i="4" s="1"/>
  <c r="BY91" i="4"/>
  <c r="BZ91" i="4" s="1"/>
  <c r="BY135" i="4"/>
  <c r="BZ135" i="4" s="1"/>
  <c r="BY95" i="4"/>
  <c r="BZ95" i="4" s="1"/>
  <c r="BY45" i="4"/>
  <c r="BZ45" i="4" s="1"/>
  <c r="BY55" i="4"/>
  <c r="BZ55" i="4" s="1"/>
  <c r="BY33" i="4"/>
  <c r="BZ33" i="4" s="1"/>
  <c r="BY37" i="4"/>
  <c r="BZ37" i="4" s="1"/>
  <c r="BY56" i="4"/>
  <c r="BZ56" i="4" s="1"/>
  <c r="BY10" i="4"/>
  <c r="BZ10" i="4" s="1"/>
  <c r="BY83" i="4"/>
  <c r="BZ83" i="4" s="1"/>
  <c r="BY120" i="4"/>
  <c r="BZ120" i="4" s="1"/>
  <c r="BY62" i="4"/>
  <c r="BZ62" i="4" s="1"/>
  <c r="BY72" i="4"/>
  <c r="BZ72" i="4" s="1"/>
  <c r="BY84" i="4"/>
  <c r="BZ84" i="4" s="1"/>
  <c r="BY13" i="4"/>
  <c r="BZ13" i="4" s="1"/>
  <c r="BY101" i="4"/>
  <c r="BZ101" i="4" s="1"/>
  <c r="BY28" i="4"/>
  <c r="BZ28" i="4" s="1"/>
  <c r="BY16" i="4"/>
  <c r="BY70" i="4"/>
  <c r="BY31" i="4"/>
  <c r="BZ31" i="4" s="1"/>
  <c r="BY97" i="4"/>
  <c r="BY94" i="4"/>
  <c r="BZ94" i="4" s="1"/>
  <c r="BY89" i="4"/>
  <c r="BZ89" i="4" s="1"/>
  <c r="BY90" i="4"/>
  <c r="BZ90" i="4" s="1"/>
  <c r="BY80" i="4"/>
  <c r="BZ80" i="4" s="1"/>
  <c r="BY52" i="4"/>
  <c r="BY73" i="4"/>
  <c r="BZ73" i="4" s="1"/>
  <c r="BY12" i="4"/>
  <c r="BZ12" i="4" s="1"/>
  <c r="BY109" i="4"/>
  <c r="BZ109" i="4" s="1"/>
  <c r="AS65" i="4"/>
  <c r="BY27" i="4"/>
  <c r="BZ27" i="4" s="1"/>
  <c r="BY119" i="4"/>
  <c r="BY133" i="4"/>
  <c r="BZ133" i="4" s="1"/>
  <c r="BY43" i="4"/>
  <c r="BZ43" i="4" s="1"/>
  <c r="BY25" i="4"/>
  <c r="BZ25" i="4" s="1"/>
  <c r="BY58" i="4"/>
  <c r="BZ58" i="4" s="1"/>
  <c r="BY103" i="4"/>
  <c r="BZ103" i="4" s="1"/>
  <c r="AS124" i="4"/>
  <c r="BY61" i="4"/>
  <c r="BZ61" i="4" s="1"/>
  <c r="BY150" i="4"/>
  <c r="BZ150" i="4" s="1"/>
  <c r="AS24" i="4"/>
  <c r="BY69" i="4"/>
  <c r="BZ69" i="4" s="1"/>
  <c r="BY50" i="4"/>
  <c r="BZ50" i="4" s="1"/>
  <c r="AS113" i="4"/>
  <c r="AS116" i="4"/>
  <c r="BY76" i="4"/>
  <c r="BZ76" i="4" s="1"/>
  <c r="BY41" i="4"/>
  <c r="BZ41" i="4" s="1"/>
  <c r="AS156" i="4"/>
  <c r="AS21" i="4"/>
  <c r="AS54" i="4"/>
  <c r="BY34" i="4"/>
  <c r="BZ34" i="4" s="1"/>
  <c r="AY8" i="4"/>
  <c r="AV8" i="4"/>
  <c r="BY23" i="4"/>
  <c r="BZ23" i="4" s="1"/>
  <c r="AS143" i="4"/>
  <c r="AS145" i="4"/>
  <c r="AS110" i="4"/>
  <c r="AS146" i="4"/>
  <c r="BY63" i="4"/>
  <c r="BZ63" i="4" s="1"/>
  <c r="BY29" i="4"/>
  <c r="BZ29" i="4" s="1"/>
  <c r="AS108" i="4"/>
  <c r="AS149" i="4"/>
  <c r="AS140" i="4"/>
  <c r="AS142" i="4"/>
  <c r="AS46" i="4"/>
  <c r="AS47" i="4"/>
  <c r="AS104" i="4"/>
  <c r="AS118" i="4"/>
  <c r="BY152" i="4" l="1"/>
  <c r="BZ152" i="4" s="1"/>
  <c r="BY155" i="4"/>
  <c r="BZ155" i="4" s="1"/>
  <c r="BY127" i="4"/>
  <c r="BZ127" i="4" s="1"/>
  <c r="BY131" i="4"/>
  <c r="BZ131" i="4" s="1"/>
  <c r="BY154" i="4"/>
  <c r="BZ154" i="4" s="1"/>
  <c r="BY8" i="4"/>
  <c r="BZ8" i="4" s="1"/>
  <c r="BY126" i="4"/>
  <c r="BZ126" i="4" s="1"/>
  <c r="BY128" i="4"/>
  <c r="BZ128" i="4" s="1"/>
  <c r="BY96" i="4"/>
  <c r="BZ96" i="4" s="1"/>
  <c r="BY44" i="4"/>
  <c r="BZ44" i="4" s="1"/>
  <c r="BY26" i="4"/>
  <c r="BZ26" i="4" s="1"/>
  <c r="BY48" i="4"/>
  <c r="BZ48" i="4" s="1"/>
  <c r="BY19" i="4"/>
  <c r="BZ19" i="4" s="1"/>
  <c r="BY79" i="4"/>
  <c r="BZ79" i="4" s="1"/>
  <c r="BY112" i="4"/>
  <c r="BZ112" i="4" s="1"/>
  <c r="BY134" i="4"/>
  <c r="BZ134" i="4" s="1"/>
  <c r="BY49" i="4"/>
  <c r="BZ49" i="4" s="1"/>
  <c r="BY144" i="4"/>
  <c r="BZ144" i="4" s="1"/>
  <c r="BY141" i="4"/>
  <c r="BZ141" i="4" s="1"/>
  <c r="BY117" i="4"/>
  <c r="BZ117" i="4" s="1"/>
  <c r="BZ70" i="4"/>
  <c r="BY30" i="4"/>
  <c r="BZ30" i="4" s="1"/>
  <c r="BY67" i="4"/>
  <c r="BZ67" i="4" s="1"/>
  <c r="BZ52" i="4"/>
  <c r="BY88" i="4"/>
  <c r="BZ88" i="4" s="1"/>
  <c r="BY38" i="4"/>
  <c r="BZ38" i="4" s="1"/>
  <c r="BY57" i="4"/>
  <c r="BZ57" i="4" s="1"/>
  <c r="BY75" i="4"/>
  <c r="BZ75" i="4" s="1"/>
  <c r="BY92" i="4"/>
  <c r="BZ92" i="4" s="1"/>
  <c r="BY81" i="4"/>
  <c r="BZ81" i="4" s="1"/>
  <c r="BY122" i="4"/>
  <c r="BZ122" i="4" s="1"/>
  <c r="BY132" i="4"/>
  <c r="BZ132" i="4" s="1"/>
  <c r="BY32" i="4"/>
  <c r="BZ32" i="4" s="1"/>
  <c r="BY64" i="4"/>
  <c r="BZ64" i="4" s="1"/>
  <c r="BY114" i="4"/>
  <c r="BZ114" i="4" s="1"/>
  <c r="BY136" i="4"/>
  <c r="BZ136" i="4" s="1"/>
  <c r="BY130" i="4"/>
  <c r="BZ130" i="4" s="1"/>
  <c r="BY100" i="4"/>
  <c r="BZ100" i="4" s="1"/>
  <c r="BY106" i="4"/>
  <c r="BZ106" i="4" s="1"/>
  <c r="BY157" i="4"/>
  <c r="BZ157" i="4" s="1"/>
  <c r="BZ119" i="4"/>
  <c r="BZ97" i="4"/>
  <c r="BZ16" i="4"/>
  <c r="BY51" i="4"/>
  <c r="BZ51" i="4" s="1"/>
  <c r="BY82" i="4"/>
  <c r="BZ82" i="4" s="1"/>
  <c r="BY148" i="4"/>
  <c r="BZ148" i="4" s="1"/>
  <c r="BY21" i="4"/>
  <c r="BZ21" i="4" s="1"/>
  <c r="BY65" i="4"/>
  <c r="BZ65" i="4" s="1"/>
  <c r="BY116" i="4"/>
  <c r="BZ116" i="4" s="1"/>
  <c r="BY54" i="4"/>
  <c r="BY108" i="4"/>
  <c r="BZ108" i="4" s="1"/>
  <c r="BY156" i="4"/>
  <c r="BZ156" i="4" s="1"/>
  <c r="BY110" i="4"/>
  <c r="BZ110" i="4" s="1"/>
  <c r="BY149" i="4"/>
  <c r="BZ149" i="4" s="1"/>
  <c r="BY123" i="4"/>
  <c r="BY146" i="4" l="1"/>
  <c r="BZ146" i="4" s="1"/>
  <c r="BY142" i="4"/>
  <c r="BZ142" i="4" s="1"/>
  <c r="BY46" i="4"/>
  <c r="BZ46" i="4" s="1"/>
  <c r="BY47" i="4"/>
  <c r="BZ47" i="4" s="1"/>
  <c r="BY113" i="4"/>
  <c r="BZ113" i="4" s="1"/>
  <c r="BY140" i="4"/>
  <c r="BZ140" i="4" s="1"/>
  <c r="BY124" i="4"/>
  <c r="BZ124" i="4" s="1"/>
  <c r="BY143" i="4"/>
  <c r="BZ143" i="4" s="1"/>
  <c r="BY104" i="4"/>
  <c r="BZ104" i="4" s="1"/>
  <c r="BY118" i="4"/>
  <c r="BZ118" i="4" s="1"/>
  <c r="BZ123" i="4"/>
  <c r="BY145" i="4"/>
  <c r="BZ145" i="4" s="1"/>
  <c r="BZ54" i="4"/>
  <c r="BY24" i="4"/>
  <c r="BZ24" i="4" s="1"/>
  <c r="BY137" i="4"/>
  <c r="BZ13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A3" authorId="0" shapeId="0" xr:uid="{00000000-0006-0000-0000-000001000000}">
      <text>
        <r>
          <rPr>
            <b/>
            <sz val="11"/>
            <color indexed="10"/>
            <rFont val="Tahoma"/>
            <family val="2"/>
          </rPr>
          <t>Welcome to the LM5155/56 Design Tool</t>
        </r>
        <r>
          <rPr>
            <sz val="9"/>
            <color indexed="81"/>
            <rFont val="Tahoma"/>
            <family val="2"/>
          </rPr>
          <t xml:space="preserve">
This stand-alone tool facilitates and assists the power supply engineer with design of a DC-DC boost converter based on the LM5155/56 controller. As such, the user can expeditiously arrive at an optimized design by virtue of the following:
- Select components
- Optimize compensation values and pole/zero placement in terms of control loop stability using crossover frquency as a performance metric
- Inspect regulator efficiency and component power dissipation
- Analyze efficiency based on selected MOSFET, inductor and diode parameters
IMPORTANT: You must enable macros if Microsoft Excel asks as the file is being opened. U.S. English notation is used throughout. Make sure to input or select values in all of the yellow shaded cells even if a value already exists in that cell. Do not over write equations in cells, as this may result in calculation errors.
</t>
        </r>
      </text>
    </comment>
    <comment ref="H7" authorId="0" shapeId="0" xr:uid="{2E6E75BD-C0D2-45A5-BEB5-8AAEA45E9FD0}">
      <text>
        <r>
          <rPr>
            <b/>
            <sz val="9"/>
            <color indexed="81"/>
            <rFont val="Tahoma"/>
            <family val="2"/>
          </rPr>
          <t xml:space="preserve">Minimum Input Voltage:
</t>
        </r>
        <r>
          <rPr>
            <sz val="9"/>
            <color indexed="81"/>
            <rFont val="Tahoma"/>
            <family val="2"/>
          </rPr>
          <t>Enter the minimum operating input voltage.
The LM5155 BIAS pin voltage operating range is 3.5V to 45V.
The LM5156 BIAS pin voltage operating range is 3.5V to 60V.
If low voltage operation is required the BIAS pin can be supplied with V</t>
        </r>
        <r>
          <rPr>
            <vertAlign val="subscript"/>
            <sz val="9"/>
            <color indexed="81"/>
            <rFont val="Tahoma"/>
            <family val="2"/>
          </rPr>
          <t>OUT</t>
        </r>
        <r>
          <rPr>
            <sz val="9"/>
            <color indexed="81"/>
            <rFont val="Tahoma"/>
            <family val="2"/>
          </rPr>
          <t xml:space="preserve"> extending operation to 1.5V</t>
        </r>
        <r>
          <rPr>
            <b/>
            <sz val="9"/>
            <color indexed="81"/>
            <rFont val="Tahoma"/>
            <family val="2"/>
          </rPr>
          <t xml:space="preserve">
</t>
        </r>
        <r>
          <rPr>
            <b/>
            <sz val="9"/>
            <color indexed="52"/>
            <rFont val="Tahoma"/>
            <family val="2"/>
          </rPr>
          <t>The text in the cell is flagged orange if:</t>
        </r>
        <r>
          <rPr>
            <b/>
            <sz val="9"/>
            <color indexed="81"/>
            <rFont val="Tahoma"/>
            <family val="2"/>
          </rPr>
          <t xml:space="preserve">
</t>
        </r>
        <r>
          <rPr>
            <sz val="9"/>
            <color indexed="81"/>
            <rFont val="Tahoma"/>
            <family val="2"/>
          </rPr>
          <t>-The input voltage is above 45V</t>
        </r>
        <r>
          <rPr>
            <b/>
            <sz val="9"/>
            <color indexed="81"/>
            <rFont val="Tahoma"/>
            <family val="2"/>
          </rPr>
          <t xml:space="preserve">
</t>
        </r>
        <r>
          <rPr>
            <b/>
            <sz val="9"/>
            <color indexed="10"/>
            <rFont val="Tahoma"/>
            <family val="2"/>
          </rPr>
          <t>The text in the cell is flagged red if:</t>
        </r>
        <r>
          <rPr>
            <b/>
            <sz val="9"/>
            <color indexed="81"/>
            <rFont val="Tahoma"/>
            <family val="2"/>
          </rPr>
          <t xml:space="preserve">
</t>
        </r>
        <r>
          <rPr>
            <sz val="9"/>
            <color indexed="81"/>
            <rFont val="Tahoma"/>
            <family val="2"/>
          </rPr>
          <t>-The input voltage is above 60V
-The input voltage is below 1.5V</t>
        </r>
      </text>
    </comment>
    <comment ref="N7" authorId="0" shapeId="0" xr:uid="{00000000-0006-0000-0000-000004000000}">
      <text>
        <r>
          <rPr>
            <b/>
            <sz val="11"/>
            <color indexed="81"/>
            <rFont val="Tahoma"/>
            <family val="2"/>
          </rPr>
          <t>Output Voltage Load 1:</t>
        </r>
        <r>
          <rPr>
            <b/>
            <sz val="9"/>
            <color indexed="81"/>
            <rFont val="Tahoma"/>
            <family val="2"/>
          </rPr>
          <t xml:space="preserve">
</t>
        </r>
        <r>
          <rPr>
            <sz val="10"/>
            <color indexed="81"/>
            <rFont val="Tahoma"/>
            <family val="2"/>
          </rPr>
          <t xml:space="preserve">Selected the desired voltage of load 1.
</t>
        </r>
        <r>
          <rPr>
            <b/>
            <sz val="10"/>
            <color indexed="10"/>
            <rFont val="Tahoma"/>
            <family val="2"/>
          </rPr>
          <t>Load 1 voltage should be entered as the regulated load regardless of the feedback type</t>
        </r>
        <r>
          <rPr>
            <sz val="9"/>
            <color indexed="81"/>
            <rFont val="Tahoma"/>
            <family val="2"/>
          </rPr>
          <t xml:space="preserve">
</t>
        </r>
      </text>
    </comment>
    <comment ref="H8" authorId="0" shapeId="0" xr:uid="{A6C3AFD2-6488-45FB-8704-49B373F744E0}">
      <text>
        <r>
          <rPr>
            <b/>
            <sz val="9"/>
            <color indexed="81"/>
            <rFont val="Tahoma"/>
            <family val="2"/>
          </rPr>
          <t xml:space="preserve">Nominal Input Voltage:
</t>
        </r>
        <r>
          <rPr>
            <sz val="9"/>
            <color indexed="81"/>
            <rFont val="Tahoma"/>
            <family val="2"/>
          </rPr>
          <t>Enter the nominal operating input voltage.
The LM5155 input voltage operating range is 1.5V to 45V.</t>
        </r>
        <r>
          <rPr>
            <b/>
            <sz val="9"/>
            <color indexed="81"/>
            <rFont val="Tahoma"/>
            <family val="2"/>
          </rPr>
          <t xml:space="preserve">
</t>
        </r>
        <r>
          <rPr>
            <sz val="9"/>
            <color indexed="81"/>
            <rFont val="Tahoma"/>
            <family val="2"/>
          </rPr>
          <t xml:space="preserve">The LM5156 input voltage operating range is 1.5V to 60V.
</t>
        </r>
        <r>
          <rPr>
            <b/>
            <sz val="9"/>
            <color indexed="81"/>
            <rFont val="Tahoma"/>
            <family val="2"/>
          </rPr>
          <t xml:space="preserve">
</t>
        </r>
        <r>
          <rPr>
            <b/>
            <sz val="9"/>
            <color indexed="10"/>
            <rFont val="Tahoma"/>
            <family val="2"/>
          </rPr>
          <t>The text in the cell is flagged red if:</t>
        </r>
        <r>
          <rPr>
            <b/>
            <sz val="9"/>
            <color indexed="81"/>
            <rFont val="Tahoma"/>
            <family val="2"/>
          </rPr>
          <t xml:space="preserve">
</t>
        </r>
        <r>
          <rPr>
            <sz val="9"/>
            <color indexed="81"/>
            <rFont val="Tahoma"/>
            <family val="2"/>
          </rPr>
          <t>-The input voltage is above V</t>
        </r>
        <r>
          <rPr>
            <vertAlign val="subscript"/>
            <sz val="9"/>
            <color indexed="81"/>
            <rFont val="Tahoma"/>
            <family val="2"/>
          </rPr>
          <t>SUPPLY</t>
        </r>
        <r>
          <rPr>
            <sz val="9"/>
            <color indexed="81"/>
            <rFont val="Tahoma"/>
            <family val="2"/>
          </rPr>
          <t>(max)
-The input voltage is below V</t>
        </r>
        <r>
          <rPr>
            <vertAlign val="subscript"/>
            <sz val="9"/>
            <color indexed="81"/>
            <rFont val="Tahoma"/>
            <family val="2"/>
          </rPr>
          <t>SUPPLY</t>
        </r>
        <r>
          <rPr>
            <sz val="9"/>
            <color indexed="81"/>
            <rFont val="Tahoma"/>
            <family val="2"/>
          </rPr>
          <t>(min)</t>
        </r>
      </text>
    </comment>
    <comment ref="H9" authorId="0" shapeId="0" xr:uid="{56DD16C7-B95F-462F-94AB-5E68A4E70794}">
      <text>
        <r>
          <rPr>
            <b/>
            <sz val="9"/>
            <color indexed="81"/>
            <rFont val="Tahoma"/>
            <family val="2"/>
          </rPr>
          <t>Maximum Input Voltage:</t>
        </r>
        <r>
          <rPr>
            <sz val="9"/>
            <color indexed="81"/>
            <rFont val="Tahoma"/>
            <family val="2"/>
          </rPr>
          <t xml:space="preserve">
Enter the maximum operating input voltage.
The LM5155 input voltage operating range is 1.5V to 45V.
The LM5156 input voltage operating range is 1.5V to 60V.
</t>
        </r>
        <r>
          <rPr>
            <b/>
            <sz val="9"/>
            <color indexed="10"/>
            <rFont val="Tahoma"/>
            <family val="2"/>
          </rPr>
          <t xml:space="preserve">
</t>
        </r>
        <r>
          <rPr>
            <b/>
            <sz val="9"/>
            <color indexed="52"/>
            <rFont val="Tahoma"/>
            <family val="2"/>
          </rPr>
          <t>The text in the cell is flagged orange if:</t>
        </r>
        <r>
          <rPr>
            <b/>
            <sz val="9"/>
            <color indexed="10"/>
            <rFont val="Tahoma"/>
            <family val="2"/>
          </rPr>
          <t xml:space="preserve">
</t>
        </r>
        <r>
          <rPr>
            <sz val="9"/>
            <color indexed="81"/>
            <rFont val="Tahoma"/>
            <family val="2"/>
          </rPr>
          <t>-The input voltage is above 45V</t>
        </r>
        <r>
          <rPr>
            <b/>
            <sz val="9"/>
            <color indexed="10"/>
            <rFont val="Tahoma"/>
            <family val="2"/>
          </rPr>
          <t xml:space="preserve">
The text in the cell is flagged red if:</t>
        </r>
        <r>
          <rPr>
            <sz val="9"/>
            <color indexed="81"/>
            <rFont val="Tahoma"/>
            <family val="2"/>
          </rPr>
          <t xml:space="preserve">
-The input voltage is above 60V
-The input voltage is below 1.5V
</t>
        </r>
      </text>
    </comment>
    <comment ref="N10" authorId="0" shapeId="0" xr:uid="{00000000-0006-0000-0000-000007000000}">
      <text>
        <r>
          <rPr>
            <b/>
            <u/>
            <sz val="9"/>
            <color indexed="81"/>
            <rFont val="Tahoma"/>
            <family val="2"/>
          </rPr>
          <t>Load 1 Turns Ratio</t>
        </r>
        <r>
          <rPr>
            <sz val="9"/>
            <color indexed="81"/>
            <rFont val="Tahoma"/>
            <family val="2"/>
          </rPr>
          <t xml:space="preserve">
The turns ratio on the secondary winding of load 1. 
</t>
        </r>
        <r>
          <rPr>
            <b/>
            <sz val="9"/>
            <color indexed="10"/>
            <rFont val="Tahoma"/>
            <family val="2"/>
          </rPr>
          <t>The primary turns ratio (Np) is assumed to be 1</t>
        </r>
      </text>
    </comment>
    <comment ref="N11" authorId="0" shapeId="0" xr:uid="{00000000-0006-0000-0000-000008000000}">
      <text>
        <r>
          <rPr>
            <b/>
            <u/>
            <sz val="9"/>
            <color indexed="81"/>
            <rFont val="Tahoma"/>
            <family val="2"/>
          </rPr>
          <t>DC Resistance of Load 1 Winding</t>
        </r>
        <r>
          <rPr>
            <sz val="9"/>
            <color indexed="81"/>
            <rFont val="Tahoma"/>
            <family val="2"/>
          </rPr>
          <t xml:space="preserve">
Resistance of load 1 winding. For high current outputs this value should be minimized</t>
        </r>
      </text>
    </comment>
    <comment ref="H14" authorId="0" shapeId="0" xr:uid="{00000000-0006-0000-0000-000009000000}">
      <text>
        <r>
          <rPr>
            <b/>
            <u/>
            <sz val="11"/>
            <color indexed="81"/>
            <rFont val="Tahoma"/>
            <family val="2"/>
          </rPr>
          <t>Operating Frequency Set by RT</t>
        </r>
        <r>
          <rPr>
            <b/>
            <sz val="9"/>
            <color indexed="81"/>
            <rFont val="Tahoma"/>
            <family val="2"/>
          </rPr>
          <t xml:space="preserve">
</t>
        </r>
        <r>
          <rPr>
            <sz val="10"/>
            <color indexed="81"/>
            <rFont val="Tahoma"/>
            <family val="2"/>
          </rPr>
          <t>This cell defines the free running switching frequency</t>
        </r>
        <r>
          <rPr>
            <b/>
            <sz val="9"/>
            <color indexed="81"/>
            <rFont val="Tahoma"/>
            <family val="2"/>
          </rPr>
          <t xml:space="preserve">
Text turns red if:
</t>
        </r>
        <r>
          <rPr>
            <sz val="10"/>
            <color indexed="81"/>
            <rFont val="Tahoma"/>
            <family val="2"/>
          </rPr>
          <t xml:space="preserve">Frequency is set below: </t>
        </r>
        <r>
          <rPr>
            <sz val="10"/>
            <color indexed="10"/>
            <rFont val="Tahoma"/>
            <family val="2"/>
          </rPr>
          <t>50kHz</t>
        </r>
        <r>
          <rPr>
            <sz val="10"/>
            <color indexed="81"/>
            <rFont val="Tahoma"/>
            <family val="2"/>
          </rPr>
          <t xml:space="preserve">
Frequenyc is set above: </t>
        </r>
        <r>
          <rPr>
            <sz val="10"/>
            <color indexed="10"/>
            <rFont val="Tahoma"/>
            <family val="2"/>
          </rPr>
          <t>2.2MHz</t>
        </r>
        <r>
          <rPr>
            <sz val="9"/>
            <color indexed="81"/>
            <rFont val="Tahoma"/>
            <family val="2"/>
          </rPr>
          <t xml:space="preserve">
</t>
        </r>
      </text>
    </comment>
    <comment ref="H17" authorId="0" shapeId="0" xr:uid="{00000000-0006-0000-0000-00000A000000}">
      <text>
        <r>
          <rPr>
            <b/>
            <u/>
            <sz val="10"/>
            <color indexed="81"/>
            <rFont val="Tahoma"/>
            <family val="2"/>
          </rPr>
          <t xml:space="preserve">Maximum duty cycle </t>
        </r>
        <r>
          <rPr>
            <sz val="9"/>
            <color indexed="81"/>
            <rFont val="Tahoma"/>
            <family val="2"/>
          </rPr>
          <t xml:space="preserve">
</t>
        </r>
        <r>
          <rPr>
            <sz val="10"/>
            <color indexed="81"/>
            <rFont val="Tahoma"/>
            <family val="2"/>
          </rPr>
          <t>Desired maximum duty cycle of the regulator. If the duty cycle the is set less than 50% the need for external slope compensation is removed. 
Typically between 30% to 70% is  a good starting point.</t>
        </r>
        <r>
          <rPr>
            <sz val="9"/>
            <color indexed="81"/>
            <rFont val="Tahoma"/>
            <family val="2"/>
          </rPr>
          <t xml:space="preserve">
</t>
        </r>
      </text>
    </comment>
    <comment ref="H22" authorId="0" shapeId="0" xr:uid="{00000000-0006-0000-0000-00000B000000}">
      <text>
        <r>
          <rPr>
            <b/>
            <u/>
            <sz val="9"/>
            <color indexed="81"/>
            <rFont val="Tahoma"/>
            <family val="2"/>
          </rPr>
          <t>Primary winding current ripple ratio</t>
        </r>
        <r>
          <rPr>
            <b/>
            <sz val="9"/>
            <color indexed="81"/>
            <rFont val="Tahoma"/>
            <family val="2"/>
          </rPr>
          <t xml:space="preserve">
</t>
        </r>
        <r>
          <rPr>
            <sz val="9"/>
            <color indexed="81"/>
            <rFont val="Tahoma"/>
            <family val="2"/>
          </rPr>
          <t>The ratio between the ripple current vs the average current in the primary winding
30% to 70% ripple is a good starting point.</t>
        </r>
      </text>
    </comment>
    <comment ref="H24" authorId="0" shapeId="0" xr:uid="{00000000-0006-0000-0000-00000C000000}">
      <text>
        <r>
          <rPr>
            <b/>
            <sz val="9"/>
            <color indexed="81"/>
            <rFont val="Tahoma"/>
            <family val="2"/>
          </rPr>
          <t>Primary Winding Inductance</t>
        </r>
        <r>
          <rPr>
            <sz val="9"/>
            <color indexed="81"/>
            <rFont val="Tahoma"/>
            <family val="2"/>
          </rPr>
          <t xml:space="preserve">
Enter the primary winding magnetizing inductance here.
This cell will</t>
        </r>
      </text>
    </comment>
    <comment ref="H25" authorId="0" shapeId="0" xr:uid="{00000000-0006-0000-0000-00000D000000}">
      <text>
        <r>
          <rPr>
            <b/>
            <u/>
            <sz val="9"/>
            <color indexed="81"/>
            <rFont val="Tahoma"/>
            <family val="2"/>
          </rPr>
          <t>DC Resistance of Primary Winding</t>
        </r>
        <r>
          <rPr>
            <b/>
            <sz val="9"/>
            <color indexed="81"/>
            <rFont val="Tahoma"/>
            <family val="2"/>
          </rPr>
          <t xml:space="preserve">
</t>
        </r>
        <r>
          <rPr>
            <sz val="9"/>
            <color indexed="81"/>
            <rFont val="Tahoma"/>
            <family val="2"/>
          </rPr>
          <t xml:space="preserve">Resistance of Primary winding. For high power applications this value should be minimized
</t>
        </r>
      </text>
    </comment>
    <comment ref="H26" authorId="0" shapeId="0" xr:uid="{00000000-0006-0000-0000-00000E000000}">
      <text>
        <r>
          <rPr>
            <b/>
            <u/>
            <sz val="9"/>
            <color indexed="81"/>
            <rFont val="Tahoma"/>
            <family val="2"/>
          </rPr>
          <t>Primary Winding Peak Current:</t>
        </r>
        <r>
          <rPr>
            <b/>
            <sz val="9"/>
            <color indexed="81"/>
            <rFont val="Tahoma"/>
            <family val="2"/>
          </rPr>
          <t xml:space="preserve">
</t>
        </r>
        <r>
          <rPr>
            <sz val="9"/>
            <color indexed="81"/>
            <rFont val="Tahoma"/>
            <family val="2"/>
          </rPr>
          <t xml:space="preserve">Peak current in the primary winding at full output power.
</t>
        </r>
      </text>
    </comment>
    <comment ref="H30" authorId="0" shapeId="0" xr:uid="{00000000-0006-0000-0000-00000F000000}">
      <text>
        <r>
          <rPr>
            <b/>
            <u/>
            <sz val="9"/>
            <color indexed="81"/>
            <rFont val="Tahoma"/>
            <family val="2"/>
          </rPr>
          <t>Peak current Limit Margin</t>
        </r>
        <r>
          <rPr>
            <b/>
            <sz val="9"/>
            <color indexed="81"/>
            <rFont val="Tahoma"/>
            <family val="2"/>
          </rPr>
          <t xml:space="preserve">
</t>
        </r>
        <r>
          <rPr>
            <sz val="9"/>
            <color indexed="81"/>
            <rFont val="Tahoma"/>
            <family val="2"/>
          </rPr>
          <t xml:space="preserve">Percentage above the calculate maximum peak current in the primimary winding. This value sets the required peak current limit
</t>
        </r>
        <r>
          <rPr>
            <sz val="9"/>
            <color indexed="10"/>
            <rFont val="Tahoma"/>
            <family val="2"/>
          </rPr>
          <t>Typically this value should be above 20%, allowing for component tolerances and efficiency</t>
        </r>
        <r>
          <rPr>
            <sz val="9"/>
            <color indexed="81"/>
            <rFont val="Tahoma"/>
            <family val="2"/>
          </rPr>
          <t xml:space="preserve">
</t>
        </r>
      </text>
    </comment>
    <comment ref="H32" authorId="0" shapeId="0" xr:uid="{00000000-0006-0000-0000-000010000000}">
      <text>
        <r>
          <rPr>
            <b/>
            <u/>
            <sz val="9"/>
            <color indexed="81"/>
            <rFont val="Tahoma"/>
            <family val="2"/>
          </rPr>
          <t>Recommended Current Sense Resistor (R</t>
        </r>
        <r>
          <rPr>
            <b/>
            <u/>
            <vertAlign val="subscript"/>
            <sz val="9"/>
            <color indexed="81"/>
            <rFont val="Tahoma"/>
            <family val="2"/>
          </rPr>
          <t>S</t>
        </r>
        <r>
          <rPr>
            <b/>
            <u/>
            <sz val="9"/>
            <color indexed="81"/>
            <rFont val="Tahoma"/>
            <family val="2"/>
          </rPr>
          <t>)</t>
        </r>
        <r>
          <rPr>
            <sz val="9"/>
            <color indexed="81"/>
            <rFont val="Tahoma"/>
            <family val="2"/>
          </rPr>
          <t xml:space="preserve">
Use this resistor to sense current and set the peak overcurrent protection. As such, the calculation takes the required current limit setpoint and the primary winding ripple current amplitude to calculate R</t>
        </r>
        <r>
          <rPr>
            <vertAlign val="subscript"/>
            <sz val="9"/>
            <color indexed="81"/>
            <rFont val="Tahoma"/>
            <family val="2"/>
          </rPr>
          <t>S</t>
        </r>
        <r>
          <rPr>
            <sz val="9"/>
            <color indexed="81"/>
            <rFont val="Tahoma"/>
            <family val="2"/>
          </rPr>
          <t xml:space="preserve">.
The current limit threshold voltage is 100mV with ±10% tolerance.
</t>
        </r>
      </text>
    </comment>
    <comment ref="H33" authorId="0" shapeId="0" xr:uid="{00000000-0006-0000-0000-000011000000}">
      <text>
        <r>
          <rPr>
            <b/>
            <u/>
            <sz val="9"/>
            <color indexed="81"/>
            <rFont val="Tahoma"/>
            <family val="2"/>
          </rPr>
          <t>Recommended External Slope Compensation (R</t>
        </r>
        <r>
          <rPr>
            <b/>
            <u/>
            <vertAlign val="subscript"/>
            <sz val="9"/>
            <color indexed="81"/>
            <rFont val="Tahoma"/>
            <family val="2"/>
          </rPr>
          <t>SL</t>
        </r>
        <r>
          <rPr>
            <b/>
            <u/>
            <sz val="9"/>
            <color indexed="81"/>
            <rFont val="Tahoma"/>
            <family val="2"/>
          </rPr>
          <t>)</t>
        </r>
        <r>
          <rPr>
            <sz val="9"/>
            <color indexed="81"/>
            <rFont val="Tahoma"/>
            <family val="2"/>
          </rPr>
          <t xml:space="preserve">
External Slope compensation. This is only required when operting in CCM mode.</t>
        </r>
      </text>
    </comment>
    <comment ref="H36" authorId="0" shapeId="0" xr:uid="{00000000-0006-0000-0000-000012000000}">
      <text>
        <r>
          <rPr>
            <b/>
            <u/>
            <sz val="9"/>
            <color indexed="81"/>
            <rFont val="Tahoma"/>
            <family val="2"/>
          </rPr>
          <t>Transformer Primary Winding peak current limit</t>
        </r>
        <r>
          <rPr>
            <b/>
            <sz val="9"/>
            <color indexed="81"/>
            <rFont val="Tahoma"/>
            <family val="2"/>
          </rPr>
          <t xml:space="preserve">
</t>
        </r>
        <r>
          <rPr>
            <sz val="9"/>
            <color indexed="81"/>
            <rFont val="Tahoma"/>
            <family val="2"/>
          </rPr>
          <t>Maximum current in the inductor usually occurs at VIN(min). The result is corresponds to onset of current limit and is intended as a guide to transformer selection as it relates to saturation current</t>
        </r>
        <r>
          <rPr>
            <b/>
            <sz val="9"/>
            <color indexed="81"/>
            <rFont val="Tahoma"/>
            <family val="2"/>
          </rPr>
          <t>.</t>
        </r>
      </text>
    </comment>
    <comment ref="H40" authorId="0" shapeId="0" xr:uid="{00000000-0006-0000-0000-000013000000}">
      <text>
        <r>
          <rPr>
            <b/>
            <u/>
            <sz val="9"/>
            <color indexed="81"/>
            <rFont val="Tahoma"/>
            <family val="2"/>
          </rPr>
          <t>Load 1 Load Transient Voltage Ripple</t>
        </r>
        <r>
          <rPr>
            <sz val="9"/>
            <color indexed="81"/>
            <rFont val="Tahoma"/>
            <family val="2"/>
          </rPr>
          <t xml:space="preserve">
Desired output voltage transient for 50% load to 100% load step.
</t>
        </r>
      </text>
    </comment>
    <comment ref="H42" authorId="0" shapeId="0" xr:uid="{00000000-0006-0000-0000-000014000000}">
      <text>
        <r>
          <rPr>
            <b/>
            <u/>
            <sz val="9"/>
            <color indexed="81"/>
            <rFont val="Tahoma"/>
            <family val="2"/>
          </rPr>
          <t>Load 1 Output Capacitance:</t>
        </r>
        <r>
          <rPr>
            <b/>
            <sz val="9"/>
            <color indexed="81"/>
            <rFont val="Tahoma"/>
            <family val="2"/>
          </rPr>
          <t xml:space="preserve">
</t>
        </r>
        <r>
          <rPr>
            <sz val="9"/>
            <color indexed="81"/>
            <rFont val="Tahoma"/>
            <family val="2"/>
          </rPr>
          <t xml:space="preserve">Enter the output capacitance here based on the minimum calculated result. Make sure that the nominal capacitance is appropriately derated for applied voltage, particularly with ceramics.
</t>
        </r>
      </text>
    </comment>
    <comment ref="G47" authorId="0" shapeId="0" xr:uid="{00000000-0006-0000-0000-000015000000}">
      <text>
        <r>
          <rPr>
            <b/>
            <u/>
            <sz val="9"/>
            <color indexed="81"/>
            <rFont val="Tahoma"/>
            <family val="2"/>
          </rPr>
          <t>Soft-start Capacitor</t>
        </r>
        <r>
          <rPr>
            <sz val="9"/>
            <color indexed="81"/>
            <rFont val="Tahoma"/>
            <family val="2"/>
          </rPr>
          <t xml:space="preserve">
If the feedback is selected to be isolated a secondary side soft-start cirucuit should be implemented.</t>
        </r>
      </text>
    </comment>
    <comment ref="H52" authorId="0" shapeId="0" xr:uid="{00000000-0006-0000-0000-000016000000}">
      <text>
        <r>
          <rPr>
            <b/>
            <u/>
            <sz val="9"/>
            <color indexed="81"/>
            <rFont val="Tahoma"/>
            <family val="2"/>
          </rPr>
          <t>UVLO On Voltage</t>
        </r>
        <r>
          <rPr>
            <sz val="9"/>
            <color indexed="81"/>
            <rFont val="Tahoma"/>
            <family val="2"/>
          </rPr>
          <t xml:space="preserve">
Input voltage when LM5155 starts switching. Assuming the UVLO resistor divider is connected to the input rail. This value should be greater than the V</t>
        </r>
        <r>
          <rPr>
            <vertAlign val="subscript"/>
            <sz val="9"/>
            <color indexed="81"/>
            <rFont val="Tahoma"/>
            <family val="2"/>
          </rPr>
          <t xml:space="preserve">UVLO_OFF  </t>
        </r>
        <r>
          <rPr>
            <sz val="9"/>
            <color indexed="81"/>
            <rFont val="Tahoma"/>
            <family val="2"/>
          </rPr>
          <t>voltage
If more hystersis between V</t>
        </r>
        <r>
          <rPr>
            <vertAlign val="subscript"/>
            <sz val="9"/>
            <color indexed="81"/>
            <rFont val="Tahoma"/>
            <family val="2"/>
          </rPr>
          <t>UVLO_ON</t>
        </r>
        <r>
          <rPr>
            <sz val="9"/>
            <color indexed="81"/>
            <rFont val="Tahoma"/>
            <family val="2"/>
          </rPr>
          <t xml:space="preserve"> and V</t>
        </r>
        <r>
          <rPr>
            <vertAlign val="subscript"/>
            <sz val="9"/>
            <color indexed="81"/>
            <rFont val="Tahoma"/>
            <family val="2"/>
          </rPr>
          <t>UVLO_OFF</t>
        </r>
        <r>
          <rPr>
            <sz val="9"/>
            <color indexed="81"/>
            <rFont val="Tahoma"/>
            <family val="2"/>
          </rPr>
          <t xml:space="preserve"> see the datasheet.
</t>
        </r>
      </text>
    </comment>
    <comment ref="H53" authorId="0" shapeId="0" xr:uid="{00000000-0006-0000-0000-000017000000}">
      <text>
        <r>
          <rPr>
            <b/>
            <u/>
            <sz val="9"/>
            <color indexed="81"/>
            <rFont val="Tahoma"/>
            <family val="2"/>
          </rPr>
          <t xml:space="preserve">UVLO Off Voltage
</t>
        </r>
        <r>
          <rPr>
            <sz val="9"/>
            <color indexed="81"/>
            <rFont val="Tahoma"/>
            <family val="2"/>
          </rPr>
          <t xml:space="preserve">
Input voltage when LM5155 stops switching. Assuming the UVLO resistor divider is connected to the input rail. This value should be less than the V</t>
        </r>
        <r>
          <rPr>
            <vertAlign val="subscript"/>
            <sz val="9"/>
            <color indexed="81"/>
            <rFont val="Tahoma"/>
            <family val="2"/>
          </rPr>
          <t>UVLO_ON</t>
        </r>
        <r>
          <rPr>
            <sz val="9"/>
            <color indexed="81"/>
            <rFont val="Tahoma"/>
            <family val="2"/>
          </rPr>
          <t xml:space="preserve">  voltage.
If more hystersis between V</t>
        </r>
        <r>
          <rPr>
            <vertAlign val="subscript"/>
            <sz val="9"/>
            <color indexed="81"/>
            <rFont val="Tahoma"/>
            <family val="2"/>
          </rPr>
          <t>UVLO_ON</t>
        </r>
        <r>
          <rPr>
            <sz val="9"/>
            <color indexed="81"/>
            <rFont val="Tahoma"/>
            <family val="2"/>
          </rPr>
          <t xml:space="preserve"> and V</t>
        </r>
        <r>
          <rPr>
            <vertAlign val="subscript"/>
            <sz val="9"/>
            <color indexed="81"/>
            <rFont val="Tahoma"/>
            <family val="2"/>
          </rPr>
          <t>UVLO_OFF</t>
        </r>
        <r>
          <rPr>
            <sz val="9"/>
            <color indexed="81"/>
            <rFont val="Tahoma"/>
            <family val="2"/>
          </rPr>
          <t xml:space="preserve"> see the datasheet.</t>
        </r>
      </text>
    </comment>
    <comment ref="H62" authorId="0" shapeId="0" xr:uid="{00000000-0006-0000-0000-000018000000}">
      <text>
        <r>
          <rPr>
            <b/>
            <u/>
            <sz val="9"/>
            <color indexed="81"/>
            <rFont val="Tahoma"/>
            <family val="2"/>
          </rPr>
          <t xml:space="preserve">External Reference Voltage
</t>
        </r>
        <r>
          <rPr>
            <sz val="9"/>
            <color indexed="81"/>
            <rFont val="Tahoma"/>
            <family val="2"/>
          </rPr>
          <t xml:space="preserve">Isolated feedback requires the use of an external voltage reference on the secondary side. This is the voltage of the external shunt voltage reference. 
For low ouput voltages (&lt;5V) it is recommended to select a reference voltage of ~1.24V to help simplify the loop compensation design.
</t>
        </r>
      </text>
    </comment>
    <comment ref="H68" authorId="0" shapeId="0" xr:uid="{00000000-0006-0000-0000-000019000000}">
      <text>
        <r>
          <rPr>
            <b/>
            <u/>
            <sz val="10"/>
            <color indexed="81"/>
            <rFont val="Tahoma"/>
            <family val="2"/>
          </rPr>
          <t>Minimum Current Transfer Ratio</t>
        </r>
        <r>
          <rPr>
            <sz val="9"/>
            <color indexed="81"/>
            <rFont val="Tahoma"/>
            <family val="2"/>
          </rPr>
          <t xml:space="preserve">
</t>
        </r>
        <r>
          <rPr>
            <sz val="10"/>
            <color indexed="81"/>
            <rFont val="Tahoma"/>
            <family val="2"/>
          </rPr>
          <t xml:space="preserve">Minimum specified current transfer ratio (CTR) of the selected optocoupler. This is the gain of the optocoupler and is the ratio of the phototransistor collector current to the diode forward current.
As the minimum CTR and the maximum CTR become closer the easier the loop compensation becomes. </t>
        </r>
      </text>
    </comment>
    <comment ref="H69" authorId="0" shapeId="0" xr:uid="{00000000-0006-0000-0000-00001A000000}">
      <text>
        <r>
          <rPr>
            <b/>
            <sz val="9"/>
            <color indexed="81"/>
            <rFont val="Tahoma"/>
            <family val="2"/>
          </rPr>
          <t xml:space="preserve">Minimum Current Transfer Ratio
</t>
        </r>
        <r>
          <rPr>
            <sz val="9"/>
            <color indexed="81"/>
            <rFont val="Tahoma"/>
            <family val="2"/>
          </rPr>
          <t>Minimum specified current transfer ratio (CTR) of the selected optocoupler. This is the gain of the optocoupler and is the ratio of the phototransistor collector current to the diode forward current.
As the minimum CTR and the maximum CTR become closer the easier the loop compensation becomes.</t>
        </r>
        <r>
          <rPr>
            <b/>
            <sz val="9"/>
            <color indexed="81"/>
            <rFont val="Tahoma"/>
            <family val="2"/>
          </rPr>
          <t xml:space="preserve"> </t>
        </r>
        <r>
          <rPr>
            <sz val="9"/>
            <color indexed="81"/>
            <rFont val="Tahoma"/>
            <family val="2"/>
          </rPr>
          <t xml:space="preserve">
</t>
        </r>
      </text>
    </comment>
    <comment ref="H70" authorId="0" shapeId="0" xr:uid="{00000000-0006-0000-0000-00001B000000}">
      <text>
        <r>
          <rPr>
            <b/>
            <u/>
            <sz val="9"/>
            <color indexed="81"/>
            <rFont val="Tahoma"/>
            <family val="2"/>
          </rPr>
          <t>Optocoupler Diode Forward Voltage Drop</t>
        </r>
        <r>
          <rPr>
            <sz val="9"/>
            <color indexed="81"/>
            <rFont val="Tahoma"/>
            <family val="2"/>
          </rPr>
          <t xml:space="preserve">
Use the specified voltage diode voltage drop from the optocoupler datasheet. Typically this is specified with a couple milliamperes (mA) of forward current</t>
        </r>
      </text>
    </comment>
    <comment ref="H71" authorId="0" shapeId="0" xr:uid="{00000000-0006-0000-0000-00001C000000}">
      <text>
        <r>
          <rPr>
            <b/>
            <u/>
            <sz val="9"/>
            <color indexed="81"/>
            <rFont val="Tahoma"/>
            <family val="2"/>
          </rPr>
          <t xml:space="preserve">Phototransistor Collector Capacitance
</t>
        </r>
        <r>
          <rPr>
            <sz val="9"/>
            <color indexed="81"/>
            <rFont val="Tahoma"/>
            <family val="2"/>
          </rPr>
          <t>The capacitance of the phototransistor collector. This sets the high frequency pole in the error amplifier frequency response. This can be estimated by using the frequency response of the optocoupler from the datasheet and the pull-up resistor value.
C</t>
        </r>
        <r>
          <rPr>
            <vertAlign val="subscript"/>
            <sz val="9"/>
            <color indexed="81"/>
            <rFont val="Tahoma"/>
            <family val="2"/>
          </rPr>
          <t>OPTO</t>
        </r>
        <r>
          <rPr>
            <sz val="9"/>
            <color indexed="81"/>
            <rFont val="Tahoma"/>
            <family val="2"/>
          </rPr>
          <t xml:space="preserve"> = 1/(2</t>
        </r>
        <r>
          <rPr>
            <sz val="9"/>
            <color indexed="81"/>
            <rFont val="Calibri"/>
            <family val="2"/>
          </rPr>
          <t>π</t>
        </r>
        <r>
          <rPr>
            <sz val="9"/>
            <color indexed="81"/>
            <rFont val="Tahoma"/>
            <family val="2"/>
          </rPr>
          <t>*R</t>
        </r>
        <r>
          <rPr>
            <vertAlign val="subscript"/>
            <sz val="9"/>
            <color indexed="81"/>
            <rFont val="Tahoma"/>
            <family val="2"/>
          </rPr>
          <t>PULLUP</t>
        </r>
        <r>
          <rPr>
            <sz val="9"/>
            <color indexed="81"/>
            <rFont val="Tahoma"/>
            <family val="2"/>
          </rPr>
          <t>*f</t>
        </r>
        <r>
          <rPr>
            <vertAlign val="subscript"/>
            <sz val="9"/>
            <color indexed="81"/>
            <rFont val="Tahoma"/>
            <family val="2"/>
          </rPr>
          <t>CUTOFF</t>
        </r>
        <r>
          <rPr>
            <sz val="9"/>
            <color indexed="81"/>
            <rFont val="Tahoma"/>
            <family val="2"/>
          </rPr>
          <t>)
A capacitor can be added in parallel to the phototransistor to lower the pole frequency as needed.</t>
        </r>
      </text>
    </comment>
    <comment ref="H72" authorId="0" shapeId="0" xr:uid="{00000000-0006-0000-0000-00001D000000}">
      <text>
        <r>
          <rPr>
            <b/>
            <u/>
            <sz val="9"/>
            <color indexed="81"/>
            <rFont val="Tahoma"/>
            <family val="2"/>
          </rPr>
          <t xml:space="preserve">Phototransistor Saturation voltage
</t>
        </r>
        <r>
          <rPr>
            <sz val="9"/>
            <color indexed="81"/>
            <rFont val="Tahoma"/>
            <family val="2"/>
          </rPr>
          <t>Saturation voltage of the phototransistor as specified in the optocoupler datasheet.</t>
        </r>
      </text>
    </comment>
    <comment ref="H75" authorId="0" shapeId="0" xr:uid="{00000000-0006-0000-0000-00001E000000}">
      <text>
        <r>
          <rPr>
            <b/>
            <u/>
            <sz val="9"/>
            <color indexed="81"/>
            <rFont val="Tahoma"/>
            <family val="2"/>
          </rPr>
          <t>Pull up voltage (V</t>
        </r>
        <r>
          <rPr>
            <b/>
            <u/>
            <vertAlign val="subscript"/>
            <sz val="9"/>
            <color indexed="81"/>
            <rFont val="Tahoma"/>
            <family val="2"/>
          </rPr>
          <t>PULLUP</t>
        </r>
        <r>
          <rPr>
            <b/>
            <u/>
            <sz val="9"/>
            <color indexed="81"/>
            <rFont val="Tahoma"/>
            <family val="2"/>
          </rPr>
          <t>)</t>
        </r>
        <r>
          <rPr>
            <sz val="9"/>
            <color indexed="81"/>
            <rFont val="Tahoma"/>
            <family val="2"/>
          </rPr>
          <t xml:space="preserve">
This can be the VCC voltage of the LM5155/56 or can be supplied by an auxillary winding on the primary side. This value will affect the selection of the pull up resistor.</t>
        </r>
      </text>
    </comment>
    <comment ref="H77" authorId="0" shapeId="0" xr:uid="{00000000-0006-0000-0000-00001F000000}">
      <text>
        <r>
          <rPr>
            <b/>
            <u/>
            <sz val="9"/>
            <color indexed="81"/>
            <rFont val="Tahoma"/>
            <family val="2"/>
          </rPr>
          <t>Pullup Resistor Value</t>
        </r>
        <r>
          <rPr>
            <sz val="9"/>
            <color indexed="81"/>
            <rFont val="Tahoma"/>
            <family val="2"/>
          </rPr>
          <t xml:space="preserve">
Resistor between VPULLUP and the collector of the phototransistor of the  optocoupler. This resistor selection directly affects the mid-band gain of the error amplifier bandwidth</t>
        </r>
      </text>
    </comment>
    <comment ref="H79" authorId="0" shapeId="0" xr:uid="{00000000-0006-0000-0000-000020000000}">
      <text>
        <r>
          <rPr>
            <b/>
            <u/>
            <sz val="9"/>
            <color indexed="81"/>
            <rFont val="Tahoma"/>
            <family val="2"/>
          </rPr>
          <t>LED Resistor (R</t>
        </r>
        <r>
          <rPr>
            <b/>
            <u/>
            <vertAlign val="subscript"/>
            <sz val="9"/>
            <color indexed="81"/>
            <rFont val="Tahoma"/>
            <family val="2"/>
          </rPr>
          <t>LED</t>
        </r>
        <r>
          <rPr>
            <b/>
            <u/>
            <sz val="9"/>
            <color indexed="81"/>
            <rFont val="Tahoma"/>
            <family val="2"/>
          </rPr>
          <t>)</t>
        </r>
        <r>
          <rPr>
            <sz val="9"/>
            <color indexed="81"/>
            <rFont val="Tahoma"/>
            <family val="2"/>
          </rPr>
          <t xml:space="preserve">
Resistor connected between the output voltage and the anode of optocoupler diode. This value should be less than the calculated R</t>
        </r>
        <r>
          <rPr>
            <vertAlign val="subscript"/>
            <sz val="9"/>
            <color indexed="81"/>
            <rFont val="Tahoma"/>
            <family val="2"/>
          </rPr>
          <t>LED_max</t>
        </r>
        <r>
          <rPr>
            <sz val="9"/>
            <color indexed="81"/>
            <rFont val="Tahoma"/>
            <family val="2"/>
          </rPr>
          <t xml:space="preserve"> value above.</t>
        </r>
      </text>
    </comment>
    <comment ref="H83" authorId="0" shapeId="0" xr:uid="{00000000-0006-0000-0000-000021000000}">
      <text>
        <r>
          <rPr>
            <b/>
            <u/>
            <sz val="9"/>
            <color indexed="81"/>
            <rFont val="Tahoma"/>
            <family val="2"/>
          </rPr>
          <t>Selected Loop Crossover Frequency</t>
        </r>
        <r>
          <rPr>
            <sz val="9"/>
            <color indexed="81"/>
            <rFont val="Tahoma"/>
            <family val="2"/>
          </rPr>
          <t xml:space="preserve">
Selected crossover frequency of the control loop. It is recommend to select this value to be less than the cell above.</t>
        </r>
      </text>
    </comment>
    <comment ref="H86" authorId="0" shapeId="0" xr:uid="{00000000-0006-0000-0000-000022000000}">
      <text>
        <r>
          <rPr>
            <b/>
            <u/>
            <sz val="9"/>
            <color indexed="81"/>
            <rFont val="Tahoma"/>
            <family val="2"/>
          </rPr>
          <t>Compensation Resistor Selection (R</t>
        </r>
        <r>
          <rPr>
            <b/>
            <u/>
            <vertAlign val="subscript"/>
            <sz val="9"/>
            <color indexed="81"/>
            <rFont val="Tahoma"/>
            <family val="2"/>
          </rPr>
          <t>COMP</t>
        </r>
        <r>
          <rPr>
            <b/>
            <u/>
            <sz val="9"/>
            <color indexed="81"/>
            <rFont val="Tahoma"/>
            <family val="2"/>
          </rPr>
          <t>)</t>
        </r>
        <r>
          <rPr>
            <b/>
            <sz val="9"/>
            <color indexed="81"/>
            <rFont val="Tahoma"/>
            <family val="2"/>
          </rPr>
          <t xml:space="preserve">
</t>
        </r>
        <r>
          <rPr>
            <sz val="9"/>
            <color indexed="81"/>
            <rFont val="Tahoma"/>
            <family val="2"/>
          </rPr>
          <t>Directly affects the location for the compensation zero and the mid-band gain.
Increasing this value will increase the cross over frequency but decrease the phase margin.</t>
        </r>
      </text>
    </comment>
    <comment ref="H87" authorId="0" shapeId="0" xr:uid="{00000000-0006-0000-0000-000023000000}">
      <text>
        <r>
          <rPr>
            <b/>
            <u/>
            <sz val="9"/>
            <color indexed="81"/>
            <rFont val="Tahoma"/>
            <family val="2"/>
          </rPr>
          <t>Compensation Resistor Selection (C</t>
        </r>
        <r>
          <rPr>
            <b/>
            <u/>
            <vertAlign val="subscript"/>
            <sz val="9"/>
            <color indexed="81"/>
            <rFont val="Tahoma"/>
            <family val="2"/>
          </rPr>
          <t>COMP</t>
        </r>
        <r>
          <rPr>
            <b/>
            <u/>
            <sz val="9"/>
            <color indexed="81"/>
            <rFont val="Tahoma"/>
            <family val="2"/>
          </rPr>
          <t>)</t>
        </r>
        <r>
          <rPr>
            <b/>
            <sz val="9"/>
            <color indexed="81"/>
            <rFont val="Tahoma"/>
            <family val="2"/>
          </rPr>
          <t xml:space="preserve">
</t>
        </r>
        <r>
          <rPr>
            <sz val="9"/>
            <color indexed="81"/>
            <rFont val="Tahoma"/>
            <family val="2"/>
          </rPr>
          <t>Directly affects the location for the compensation zero. Increasing this value will decrease compensation zero location and increase the phase margin</t>
        </r>
        <r>
          <rPr>
            <b/>
            <sz val="9"/>
            <color indexed="81"/>
            <rFont val="Tahoma"/>
            <family val="2"/>
          </rPr>
          <t>.</t>
        </r>
        <r>
          <rPr>
            <sz val="9"/>
            <color indexed="81"/>
            <rFont val="Tahoma"/>
            <family val="2"/>
          </rPr>
          <t xml:space="preserve">
</t>
        </r>
      </text>
    </comment>
    <comment ref="H88" authorId="0" shapeId="0" xr:uid="{00000000-0006-0000-0000-000024000000}">
      <text>
        <r>
          <rPr>
            <b/>
            <u/>
            <sz val="9"/>
            <color indexed="81"/>
            <rFont val="Tahoma"/>
            <family val="2"/>
          </rPr>
          <t>Compensation Capacitor Selection (C</t>
        </r>
        <r>
          <rPr>
            <b/>
            <u/>
            <vertAlign val="subscript"/>
            <sz val="9"/>
            <color indexed="81"/>
            <rFont val="Tahoma"/>
            <family val="2"/>
          </rPr>
          <t>HF</t>
        </r>
        <r>
          <rPr>
            <b/>
            <u/>
            <sz val="9"/>
            <color indexed="81"/>
            <rFont val="Tahoma"/>
            <family val="2"/>
          </rPr>
          <t xml:space="preserve">)
</t>
        </r>
        <r>
          <rPr>
            <sz val="9"/>
            <color indexed="81"/>
            <rFont val="Tahoma"/>
            <family val="2"/>
          </rPr>
          <t xml:space="preserve">
Directly affects the location for the compensation pole. Increasing this value will decrease compensation zero frequency.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K112" authorId="0" shapeId="0" xr:uid="{00000000-0006-0000-0100-000001000000}">
      <text>
        <r>
          <rPr>
            <b/>
            <sz val="9"/>
            <color indexed="81"/>
            <rFont val="Tahoma"/>
            <family val="2"/>
          </rPr>
          <t xml:space="preserve">Slope Compensation flag. If this flag is tripped there is not enough slope compensation. Double check the calculated values
</t>
        </r>
        <r>
          <rPr>
            <sz val="9"/>
            <color indexed="81"/>
            <rFont val="Tahoma"/>
            <family val="2"/>
          </rPr>
          <t xml:space="preserve">
</t>
        </r>
      </text>
    </comment>
    <comment ref="K113" authorId="0" shapeId="0" xr:uid="{00000000-0006-0000-0100-000002000000}">
      <text>
        <r>
          <rPr>
            <sz val="9"/>
            <color indexed="81"/>
            <rFont val="Tahoma"/>
            <family val="2"/>
          </rPr>
          <t xml:space="preserve">Tripped if the current sense resistor results in a lower current limit
</t>
        </r>
      </text>
    </comment>
    <comment ref="B129" authorId="0" shapeId="0" xr:uid="{00000000-0006-0000-0100-000003000000}">
      <text>
        <r>
          <rPr>
            <b/>
            <sz val="9"/>
            <color indexed="81"/>
            <rFont val="Tahoma"/>
            <family val="2"/>
          </rPr>
          <t>BMC-BCS:</t>
        </r>
        <r>
          <rPr>
            <sz val="9"/>
            <color indexed="81"/>
            <rFont val="Tahoma"/>
            <family val="2"/>
          </rPr>
          <t xml:space="preserve">
Needs to be updated for flyback configuration
</t>
        </r>
      </text>
    </comment>
    <comment ref="B137" authorId="0" shapeId="0" xr:uid="{00000000-0006-0000-0100-000004000000}">
      <text>
        <r>
          <rPr>
            <b/>
            <sz val="9"/>
            <color indexed="81"/>
            <rFont val="Tahoma"/>
            <family val="2"/>
          </rPr>
          <t>BMC-BCS:</t>
        </r>
        <r>
          <rPr>
            <sz val="9"/>
            <color indexed="81"/>
            <rFont val="Tahoma"/>
            <family val="2"/>
          </rPr>
          <t xml:space="preserve">
Needs to be updated for flyback configuration
</t>
        </r>
      </text>
    </comment>
    <comment ref="B145" authorId="0" shapeId="0" xr:uid="{00000000-0006-0000-0100-000005000000}">
      <text>
        <r>
          <rPr>
            <b/>
            <sz val="9"/>
            <color indexed="81"/>
            <rFont val="Tahoma"/>
            <family val="2"/>
          </rPr>
          <t>BMC-BCS:</t>
        </r>
        <r>
          <rPr>
            <sz val="9"/>
            <color indexed="81"/>
            <rFont val="Tahoma"/>
            <family val="2"/>
          </rPr>
          <t xml:space="preserve">
Needs to be updated for flyback configuration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N13" authorId="0" shapeId="0" xr:uid="{00000000-0006-0000-0200-000001000000}">
      <text>
        <r>
          <rPr>
            <b/>
            <sz val="9"/>
            <color indexed="81"/>
            <rFont val="Tahoma"/>
            <family val="2"/>
          </rPr>
          <t>BMC-BCS:</t>
        </r>
        <r>
          <rPr>
            <sz val="9"/>
            <color indexed="81"/>
            <rFont val="Tahoma"/>
            <family val="2"/>
          </rPr>
          <t xml:space="preserve">
Ignore this for the design, Pole is based on optocoupler capacitance</t>
        </r>
      </text>
    </comment>
    <comment ref="O18" authorId="0" shapeId="0" xr:uid="{00000000-0006-0000-0200-000002000000}">
      <text>
        <r>
          <rPr>
            <b/>
            <sz val="9"/>
            <color indexed="81"/>
            <rFont val="Tahoma"/>
            <family val="2"/>
          </rPr>
          <t>BMC-BCS:</t>
        </r>
        <r>
          <rPr>
            <sz val="9"/>
            <color indexed="81"/>
            <rFont val="Tahoma"/>
            <family val="2"/>
          </rPr>
          <t xml:space="preserve">
Need to make this log not linear at some point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O18" authorId="0" shapeId="0" xr:uid="{00000000-0006-0000-0300-000001000000}">
      <text>
        <r>
          <rPr>
            <b/>
            <sz val="9"/>
            <color indexed="81"/>
            <rFont val="Tahoma"/>
            <family val="2"/>
          </rPr>
          <t>BMC-BCS:</t>
        </r>
        <r>
          <rPr>
            <sz val="9"/>
            <color indexed="81"/>
            <rFont val="Tahoma"/>
            <family val="2"/>
          </rPr>
          <t xml:space="preserve">
Need to make this log not linear at some point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BMC-BCS</author>
  </authors>
  <commentList>
    <comment ref="AF5" authorId="0" shapeId="0" xr:uid="{00000000-0006-0000-0400-000001000000}">
      <text>
        <r>
          <rPr>
            <b/>
            <sz val="9"/>
            <color indexed="81"/>
            <rFont val="Tahoma"/>
            <family val="2"/>
          </rPr>
          <t>BMC-BCS:</t>
        </r>
        <r>
          <rPr>
            <sz val="9"/>
            <color indexed="81"/>
            <rFont val="Tahoma"/>
            <family val="2"/>
          </rPr>
          <t xml:space="preserve">
To simplify the design just assme a fixed loss for the snubber and leakage
</t>
        </r>
      </text>
    </comment>
    <comment ref="U6" authorId="0" shapeId="0" xr:uid="{00000000-0006-0000-0400-000002000000}">
      <text>
        <r>
          <rPr>
            <b/>
            <sz val="9"/>
            <color indexed="81"/>
            <rFont val="Tahoma"/>
            <family val="2"/>
          </rPr>
          <t xml:space="preserve">1 = DCM operation
2 = CCM operation
</t>
        </r>
      </text>
    </comment>
    <comment ref="V6" authorId="0" shapeId="0" xr:uid="{00000000-0006-0000-0400-000003000000}">
      <text>
        <r>
          <rPr>
            <b/>
            <sz val="9"/>
            <color indexed="81"/>
            <rFont val="Tahoma"/>
            <family val="2"/>
          </rPr>
          <t>BMC-BCS:</t>
        </r>
        <r>
          <rPr>
            <sz val="9"/>
            <color indexed="81"/>
            <rFont val="Tahoma"/>
            <family val="2"/>
          </rPr>
          <t xml:space="preserve">
To make the calculations simple the diode is assumed to be idela in CCM operation
</t>
        </r>
      </text>
    </comment>
    <comment ref="AT6" authorId="0" shapeId="0" xr:uid="{00000000-0006-0000-0400-000004000000}">
      <text>
        <r>
          <rPr>
            <b/>
            <sz val="9"/>
            <color indexed="81"/>
            <rFont val="Tahoma"/>
            <family val="2"/>
          </rPr>
          <t>BMC-BCS:</t>
        </r>
        <r>
          <rPr>
            <sz val="9"/>
            <color indexed="81"/>
            <rFont val="Tahoma"/>
            <family val="2"/>
          </rPr>
          <t xml:space="preserve">
Should calculate later
</t>
        </r>
      </text>
    </comment>
    <comment ref="BC6" authorId="0" shapeId="0" xr:uid="{00000000-0006-0000-0400-000005000000}">
      <text>
        <r>
          <rPr>
            <sz val="9"/>
            <color indexed="81"/>
            <rFont val="Tahoma"/>
            <family val="2"/>
          </rPr>
          <t xml:space="preserve">Just use the average current for the approximations
</t>
        </r>
      </text>
    </comment>
    <comment ref="BN6" authorId="0" shapeId="0" xr:uid="{00000000-0006-0000-0400-000006000000}">
      <text>
        <r>
          <rPr>
            <sz val="9"/>
            <color indexed="81"/>
            <rFont val="Tahoma"/>
            <family val="2"/>
          </rPr>
          <t xml:space="preserve">Just use the average current for the approximations
</t>
        </r>
      </text>
    </comment>
  </commentList>
</comments>
</file>

<file path=xl/sharedStrings.xml><?xml version="1.0" encoding="utf-8"?>
<sst xmlns="http://schemas.openxmlformats.org/spreadsheetml/2006/main" count="1394" uniqueCount="711">
  <si>
    <t>TERMS OF USE</t>
  </si>
  <si>
    <t>ABOUT</t>
  </si>
  <si>
    <t>=Input Box</t>
  </si>
  <si>
    <t>Rev 1</t>
  </si>
  <si>
    <t>Step 1: Design Specifications</t>
  </si>
  <si>
    <r>
      <t>Minimum Input Supply Voltage , V</t>
    </r>
    <r>
      <rPr>
        <vertAlign val="subscript"/>
        <sz val="10"/>
        <color theme="1"/>
        <rFont val="Calibri"/>
        <family val="2"/>
        <scheme val="minor"/>
      </rPr>
      <t>SUPPLY(min)</t>
    </r>
    <r>
      <rPr>
        <sz val="10"/>
        <color theme="1"/>
        <rFont val="Calibri"/>
        <family val="2"/>
        <scheme val="minor"/>
      </rPr>
      <t xml:space="preserve"> </t>
    </r>
  </si>
  <si>
    <r>
      <t>Typical Input Supply Voltage, V</t>
    </r>
    <r>
      <rPr>
        <vertAlign val="subscript"/>
        <sz val="10"/>
        <color theme="1"/>
        <rFont val="Calibri"/>
        <family val="2"/>
        <scheme val="minor"/>
      </rPr>
      <t>SUPPLY(typ)</t>
    </r>
    <r>
      <rPr>
        <sz val="10"/>
        <color theme="1"/>
        <rFont val="Calibri"/>
        <family val="2"/>
        <scheme val="minor"/>
      </rPr>
      <t xml:space="preserve"> </t>
    </r>
  </si>
  <si>
    <r>
      <t>Maximum Input Supply Voltage , V</t>
    </r>
    <r>
      <rPr>
        <vertAlign val="subscript"/>
        <sz val="10"/>
        <color theme="1"/>
        <rFont val="Calibri"/>
        <family val="2"/>
        <scheme val="minor"/>
      </rPr>
      <t>SUPPLY(max)</t>
    </r>
    <r>
      <rPr>
        <sz val="10"/>
        <color theme="1"/>
        <rFont val="Calibri"/>
        <family val="2"/>
        <scheme val="minor"/>
      </rPr>
      <t xml:space="preserve"> </t>
    </r>
  </si>
  <si>
    <r>
      <t>Output Target Voltage, V</t>
    </r>
    <r>
      <rPr>
        <vertAlign val="subscript"/>
        <sz val="10"/>
        <color theme="1"/>
        <rFont val="Calibri"/>
        <family val="2"/>
        <scheme val="minor"/>
      </rPr>
      <t>LOAD</t>
    </r>
    <r>
      <rPr>
        <sz val="10"/>
        <color theme="1"/>
        <rFont val="Calibri"/>
        <family val="2"/>
        <scheme val="minor"/>
      </rPr>
      <t xml:space="preserve"> </t>
    </r>
  </si>
  <si>
    <r>
      <t>Maximum Output Current , I</t>
    </r>
    <r>
      <rPr>
        <vertAlign val="subscript"/>
        <sz val="10"/>
        <color theme="1"/>
        <rFont val="Calibri"/>
        <family val="2"/>
        <scheme val="minor"/>
      </rPr>
      <t>LOAD</t>
    </r>
    <r>
      <rPr>
        <sz val="10"/>
        <color theme="1"/>
        <rFont val="Calibri"/>
        <family val="2"/>
        <scheme val="minor"/>
      </rPr>
      <t xml:space="preserve"> </t>
    </r>
  </si>
  <si>
    <r>
      <t>Free Running Switching Frequency, F</t>
    </r>
    <r>
      <rPr>
        <vertAlign val="subscript"/>
        <sz val="10"/>
        <color theme="1"/>
        <rFont val="Calibri"/>
        <family val="2"/>
        <scheme val="minor"/>
      </rPr>
      <t>SW</t>
    </r>
  </si>
  <si>
    <t>V</t>
  </si>
  <si>
    <t>A</t>
  </si>
  <si>
    <t>kHz</t>
  </si>
  <si>
    <t>%</t>
  </si>
  <si>
    <r>
      <t>Output Power, P</t>
    </r>
    <r>
      <rPr>
        <vertAlign val="subscript"/>
        <sz val="10"/>
        <color theme="1"/>
        <rFont val="Calibri"/>
        <family val="2"/>
        <scheme val="minor"/>
      </rPr>
      <t>OUT</t>
    </r>
    <r>
      <rPr>
        <sz val="10"/>
        <color theme="1"/>
        <rFont val="Calibri"/>
        <family val="2"/>
        <scheme val="minor"/>
      </rPr>
      <t xml:space="preserve"> </t>
    </r>
  </si>
  <si>
    <t>EXCEL Variables Names/Calculations</t>
  </si>
  <si>
    <t>Input from user =</t>
  </si>
  <si>
    <t>Output =</t>
  </si>
  <si>
    <t>Constant</t>
  </si>
  <si>
    <t>Variable Name</t>
  </si>
  <si>
    <t>Value</t>
  </si>
  <si>
    <t>STD Units</t>
  </si>
  <si>
    <t>Notes</t>
  </si>
  <si>
    <t>Iteration</t>
  </si>
  <si>
    <t>Step 1: Operational Specs</t>
  </si>
  <si>
    <t>VIN_min</t>
  </si>
  <si>
    <t>VIN_nom</t>
  </si>
  <si>
    <t>VIN_max</t>
  </si>
  <si>
    <t>Minimum input voltage</t>
  </si>
  <si>
    <t>Nominal input voltage</t>
  </si>
  <si>
    <t>Maximum input voltage</t>
  </si>
  <si>
    <t>VOUT</t>
  </si>
  <si>
    <t>IOUT</t>
  </si>
  <si>
    <t>Maximum Output current</t>
  </si>
  <si>
    <t>Ω</t>
  </si>
  <si>
    <t>W</t>
  </si>
  <si>
    <t>EFF_est</t>
  </si>
  <si>
    <t>Total output power</t>
  </si>
  <si>
    <t>Minimum load resistance</t>
  </si>
  <si>
    <t>D_2p2_min</t>
  </si>
  <si>
    <t>D_2p2_nom</t>
  </si>
  <si>
    <t>D_2p2_max</t>
  </si>
  <si>
    <t>Minimum max duty cycle at 2p2MHZ operation</t>
  </si>
  <si>
    <t>t_off_max</t>
  </si>
  <si>
    <t>T_off_nom</t>
  </si>
  <si>
    <t>T_off_min</t>
  </si>
  <si>
    <t>s</t>
  </si>
  <si>
    <t>Minimum forced off time</t>
  </si>
  <si>
    <t>nominal forced off time</t>
  </si>
  <si>
    <t>Maximum forced off time</t>
  </si>
  <si>
    <t xml:space="preserve">IC Duty Cycle Limitation: </t>
  </si>
  <si>
    <t>D_limit_min</t>
  </si>
  <si>
    <t>D_limit_nom</t>
  </si>
  <si>
    <t>D_limit_max</t>
  </si>
  <si>
    <t>Nomminal max duty cycle at low frequency</t>
  </si>
  <si>
    <t>Spec conditions</t>
  </si>
  <si>
    <t>Min max duty cycle at low frequency</t>
  </si>
  <si>
    <t>Maximum max duty cycle at low frequency</t>
  </si>
  <si>
    <t>Nominal right now</t>
  </si>
  <si>
    <t>Fsw</t>
  </si>
  <si>
    <t>Hz</t>
  </si>
  <si>
    <t xml:space="preserve">Switching frequnecy </t>
  </si>
  <si>
    <t>Flag</t>
  </si>
  <si>
    <t>Forced off time limit? [2 True, 1 False]</t>
  </si>
  <si>
    <t>RT</t>
  </si>
  <si>
    <t>Oscillator Set resistor. Based on the datasheet equation</t>
  </si>
  <si>
    <r>
      <t>Free running Oscillator Set Resistor, R</t>
    </r>
    <r>
      <rPr>
        <vertAlign val="subscript"/>
        <sz val="10"/>
        <color theme="1"/>
        <rFont val="Calibri"/>
        <family val="2"/>
        <scheme val="minor"/>
      </rPr>
      <t>T</t>
    </r>
  </si>
  <si>
    <r>
      <t>k</t>
    </r>
    <r>
      <rPr>
        <sz val="11"/>
        <color theme="1"/>
        <rFont val="Calibri"/>
        <family val="2"/>
      </rPr>
      <t>Ω</t>
    </r>
  </si>
  <si>
    <t>Dc_Limit</t>
  </si>
  <si>
    <t>Max duty cycle of LM5155 at Fsw</t>
  </si>
  <si>
    <t>EXCEL Constants / Values / IC Limits</t>
  </si>
  <si>
    <t>ton_min</t>
  </si>
  <si>
    <t>Typical Ton minimum value</t>
  </si>
  <si>
    <t>Lcalc_VIN_min</t>
  </si>
  <si>
    <t>H</t>
  </si>
  <si>
    <t>ILrip</t>
  </si>
  <si>
    <t>Lm</t>
  </si>
  <si>
    <t>Selected filter inductor</t>
  </si>
  <si>
    <t>uH</t>
  </si>
  <si>
    <t>Rdcr</t>
  </si>
  <si>
    <r>
      <t>m</t>
    </r>
    <r>
      <rPr>
        <sz val="11"/>
        <color theme="1"/>
        <rFont val="Calibri"/>
        <family val="2"/>
      </rPr>
      <t>Ω</t>
    </r>
  </si>
  <si>
    <t>.</t>
  </si>
  <si>
    <t>ILp_VINmin</t>
  </si>
  <si>
    <t>Peak inductor current at VIN min. Including estimated efficiency</t>
  </si>
  <si>
    <t>ILrip_VINmin</t>
  </si>
  <si>
    <t xml:space="preserve">Inductor ripple current at VIN min. </t>
  </si>
  <si>
    <t>ILrip_VINnom</t>
  </si>
  <si>
    <t>ILp_VINnom</t>
  </si>
  <si>
    <t>ILrip_VINmax</t>
  </si>
  <si>
    <t>ILp_VINmax</t>
  </si>
  <si>
    <t>Step 3: Current Sense Resistor</t>
  </si>
  <si>
    <t>Selected indutor ripple ratio. Will be changed later to a standard value just to keep things simple</t>
  </si>
  <si>
    <t xml:space="preserve">Inductor ripple current at VIN nom. </t>
  </si>
  <si>
    <t>Peak inductor current at VIN nom. Including estimated efficiency</t>
  </si>
  <si>
    <t xml:space="preserve">Inductor ripple current at VIN max. </t>
  </si>
  <si>
    <t>Peak inductor current at VIN max. Including estimated efficiency</t>
  </si>
  <si>
    <t>Step 3: Current Sense Resistor Selection</t>
  </si>
  <si>
    <t>Ipk_margin</t>
  </si>
  <si>
    <t>Peak current limit margin. 20% is a typical value</t>
  </si>
  <si>
    <t>Ipk_selected</t>
  </si>
  <si>
    <t>Selected peak current limit based on margin selection</t>
  </si>
  <si>
    <t>Filter inductor DCR</t>
  </si>
  <si>
    <t>Ltol</t>
  </si>
  <si>
    <t>Assumed inductor tolerance. Constant to help simplify the user experience</t>
  </si>
  <si>
    <t>Rcs_max</t>
  </si>
  <si>
    <t>Maximum Rcs based on internal slope compensation. Assuming slope ratio of 1/2</t>
  </si>
  <si>
    <t>Rcs_sl_ratio</t>
  </si>
  <si>
    <t>ratio of down slope to slope compensation. This can be updated to give more margin</t>
  </si>
  <si>
    <t>Isl</t>
  </si>
  <si>
    <t>Internal slope compensation ramp</t>
  </si>
  <si>
    <t>Rsl_int</t>
  </si>
  <si>
    <t>Internal Slope compensation resistor</t>
  </si>
  <si>
    <t>Rcs_wo_sl</t>
  </si>
  <si>
    <t>Current sense resistor without slope compensation</t>
  </si>
  <si>
    <t>Vcl</t>
  </si>
  <si>
    <t>Current Limit Value. See datsheet for Parameters</t>
  </si>
  <si>
    <t>Flag_ext_sl</t>
  </si>
  <si>
    <t>Rcs_w_sl</t>
  </si>
  <si>
    <t>Rcs_ext_sl_ratio</t>
  </si>
  <si>
    <t>External Slope compensation ratio. Constant</t>
  </si>
  <si>
    <t>R_sl_ext</t>
  </si>
  <si>
    <t>R_cs_calc</t>
  </si>
  <si>
    <t>R_sl_calc</t>
  </si>
  <si>
    <t>R_cs</t>
  </si>
  <si>
    <t>R_sl</t>
  </si>
  <si>
    <t>Current Sense Resistor calculated</t>
  </si>
  <si>
    <t>External slope compensation resistor</t>
  </si>
  <si>
    <t>Calculated external slope compensation resistor</t>
  </si>
  <si>
    <t>Calculated current sense resistor with slope compensation included</t>
  </si>
  <si>
    <r>
      <t>Recommended external slope compensation Resistor (R</t>
    </r>
    <r>
      <rPr>
        <vertAlign val="subscript"/>
        <sz val="11"/>
        <color theme="1"/>
        <rFont val="Calibri"/>
        <family val="2"/>
        <scheme val="minor"/>
      </rPr>
      <t>SL</t>
    </r>
    <r>
      <rPr>
        <sz val="11"/>
        <color theme="1"/>
        <rFont val="Calibri"/>
        <family val="2"/>
        <scheme val="minor"/>
      </rPr>
      <t>)</t>
    </r>
  </si>
  <si>
    <t>Selected current sense Resistor</t>
  </si>
  <si>
    <t>Selected external slope compensation</t>
  </si>
  <si>
    <r>
      <t>Selected external slope compensation Resistor (R</t>
    </r>
    <r>
      <rPr>
        <vertAlign val="subscript"/>
        <sz val="11"/>
        <color theme="1"/>
        <rFont val="Calibri"/>
        <family val="2"/>
        <scheme val="minor"/>
      </rPr>
      <t>SL</t>
    </r>
    <r>
      <rPr>
        <sz val="11"/>
        <color theme="1"/>
        <rFont val="Calibri"/>
        <family val="2"/>
        <scheme val="minor"/>
      </rPr>
      <t>)</t>
    </r>
  </si>
  <si>
    <t>Check to make sure that slope compensation is high enough at the minimum input voltage</t>
  </si>
  <si>
    <t>Slope Compensation</t>
  </si>
  <si>
    <t>sl_vin_min</t>
  </si>
  <si>
    <t>Actual inductor peak current limit</t>
  </si>
  <si>
    <t>IL_pk</t>
  </si>
  <si>
    <t>IL_pk_max</t>
  </si>
  <si>
    <t>Peak current limit at the minimum input voltage</t>
  </si>
  <si>
    <t>Peak inductor current limit for saturation rating.  VIN max due to the possibility of external slope comp</t>
  </si>
  <si>
    <t>sat_mar</t>
  </si>
  <si>
    <t>Margin for saturation current of the inductor</t>
  </si>
  <si>
    <t>V/V</t>
  </si>
  <si>
    <t>COMP voltage Limit checks</t>
  </si>
  <si>
    <t>Step 4: Output Capacitor Selection</t>
  </si>
  <si>
    <t>mV</t>
  </si>
  <si>
    <t>uF</t>
  </si>
  <si>
    <r>
      <t>Selected Output Capacitance (C</t>
    </r>
    <r>
      <rPr>
        <vertAlign val="subscript"/>
        <sz val="11"/>
        <color theme="1"/>
        <rFont val="Calibri"/>
        <family val="2"/>
        <scheme val="minor"/>
      </rPr>
      <t>OUT</t>
    </r>
    <r>
      <rPr>
        <sz val="11"/>
        <color theme="1"/>
        <rFont val="Calibri"/>
        <family val="2"/>
        <scheme val="minor"/>
      </rPr>
      <t>)</t>
    </r>
  </si>
  <si>
    <t>Desired output ripple</t>
  </si>
  <si>
    <t>F</t>
  </si>
  <si>
    <t>Calculate minimum capacitance based simply on the capacitive ripple</t>
  </si>
  <si>
    <t>IRMS_COUT</t>
  </si>
  <si>
    <t>RMS current of the output capacitor at VIN min IOUT max. RMS current rating should be larger than this.</t>
  </si>
  <si>
    <r>
      <t>Equivalent  COUT ESR (R</t>
    </r>
    <r>
      <rPr>
        <vertAlign val="subscript"/>
        <sz val="11"/>
        <color theme="1"/>
        <rFont val="Calibri"/>
        <family val="2"/>
        <scheme val="minor"/>
      </rPr>
      <t>ESR</t>
    </r>
    <r>
      <rPr>
        <sz val="11"/>
        <color theme="1"/>
        <rFont val="Calibri"/>
        <family val="2"/>
        <scheme val="minor"/>
      </rPr>
      <t>)</t>
    </r>
  </si>
  <si>
    <t>Selected Output Capacitance</t>
  </si>
  <si>
    <t>Selected output capacitance ESR</t>
  </si>
  <si>
    <r>
      <t>Selected Peak Current limit(IL</t>
    </r>
    <r>
      <rPr>
        <vertAlign val="subscript"/>
        <sz val="11"/>
        <color theme="1"/>
        <rFont val="Calibri"/>
        <family val="2"/>
        <scheme val="minor"/>
      </rPr>
      <t>PK_select</t>
    </r>
    <r>
      <rPr>
        <sz val="11"/>
        <color theme="1"/>
        <rFont val="Calibri"/>
        <family val="2"/>
        <scheme val="minor"/>
      </rPr>
      <t>)</t>
    </r>
  </si>
  <si>
    <t>Input Parameters</t>
  </si>
  <si>
    <t>Output Voltage</t>
  </si>
  <si>
    <t>Component Selection</t>
  </si>
  <si>
    <t>LM</t>
  </si>
  <si>
    <t>filter Inductor</t>
  </si>
  <si>
    <t>Current sense resi</t>
  </si>
  <si>
    <t>External Slope Compensation Resistor</t>
  </si>
  <si>
    <t>Interanl Slope Compesnation Resistor</t>
  </si>
  <si>
    <t>Interanl Slope Compesnation current</t>
  </si>
  <si>
    <t>RCOMP</t>
  </si>
  <si>
    <t>kΩ</t>
  </si>
  <si>
    <t>Feedback Resistor Selection</t>
  </si>
  <si>
    <t>pF</t>
  </si>
  <si>
    <t>nF</t>
  </si>
  <si>
    <t>CCOMP</t>
  </si>
  <si>
    <t>CHF</t>
  </si>
  <si>
    <t>Type II compensation Resistort</t>
  </si>
  <si>
    <t>Type II compensation Capacitor</t>
  </si>
  <si>
    <t>Type II high frequency capacitor</t>
  </si>
  <si>
    <t>RFBT</t>
  </si>
  <si>
    <t>RFBB</t>
  </si>
  <si>
    <t>Compensation Components</t>
  </si>
  <si>
    <t>Top feedback resistor</t>
  </si>
  <si>
    <t>Bottom feedback resistor</t>
  </si>
  <si>
    <t>Calculations</t>
  </si>
  <si>
    <t>Frequency</t>
  </si>
  <si>
    <t>Selected VIN</t>
  </si>
  <si>
    <t>VIN_var</t>
  </si>
  <si>
    <t>VIN_VAR</t>
  </si>
  <si>
    <t>Variable input voltage</t>
  </si>
  <si>
    <t>ADC</t>
  </si>
  <si>
    <t>Gcomp</t>
  </si>
  <si>
    <t>Scale down factor of the interal comp voltage divider</t>
  </si>
  <si>
    <t>Intenal step down of the divider</t>
  </si>
  <si>
    <t>DC gain of the plant function</t>
  </si>
  <si>
    <t>Acs</t>
  </si>
  <si>
    <t>Current sense Amplifier Gain (1 for this device)</t>
  </si>
  <si>
    <t>Low Frequency Pole</t>
  </si>
  <si>
    <t>RHPz zero of boost converter</t>
  </si>
  <si>
    <t>ESR zero cause by output capacitance</t>
  </si>
  <si>
    <t>wsl</t>
  </si>
  <si>
    <t>Q</t>
  </si>
  <si>
    <t>Se</t>
  </si>
  <si>
    <t xml:space="preserve">Slope compensation </t>
  </si>
  <si>
    <t>Down slope at the selected input voltage</t>
  </si>
  <si>
    <t>Sn</t>
  </si>
  <si>
    <t>Rad</t>
  </si>
  <si>
    <t>wp_lf</t>
  </si>
  <si>
    <t>wz_rhp</t>
  </si>
  <si>
    <t>wz_esr</t>
  </si>
  <si>
    <t>Gain</t>
  </si>
  <si>
    <t>Phase</t>
  </si>
  <si>
    <t>Sampling</t>
  </si>
  <si>
    <t>Complex</t>
  </si>
  <si>
    <t>Total</t>
  </si>
  <si>
    <t>Plant Transfer Function</t>
  </si>
  <si>
    <t>Error Amplifier</t>
  </si>
  <si>
    <t>Plant Parameters</t>
  </si>
  <si>
    <t>wz_ea</t>
  </si>
  <si>
    <t>Adc_ea</t>
  </si>
  <si>
    <t>gm_ea</t>
  </si>
  <si>
    <t>Error Amplifier Gain</t>
  </si>
  <si>
    <t>A/V</t>
  </si>
  <si>
    <t>wp0_ea</t>
  </si>
  <si>
    <t>wp1_ea</t>
  </si>
  <si>
    <t>ADC_ea</t>
  </si>
  <si>
    <t xml:space="preserve">Gain </t>
  </si>
  <si>
    <t>Open Loop Response</t>
  </si>
  <si>
    <t>COMPLEX</t>
  </si>
  <si>
    <t>dB</t>
  </si>
  <si>
    <t>Selected by user. Feedback resistor should be &gt;100uA to help reject noise</t>
  </si>
  <si>
    <t>Error Amplifier Zero</t>
  </si>
  <si>
    <t>Error Amplifier pole at the origin</t>
  </si>
  <si>
    <t>Error Amplifier pole at high frequencies</t>
  </si>
  <si>
    <t>RFBB_CALC</t>
  </si>
  <si>
    <t>Vref</t>
  </si>
  <si>
    <t>Reference voltage</t>
  </si>
  <si>
    <t>Estimated bottom feedback resistor</t>
  </si>
  <si>
    <t>Selected botton feedback resistor</t>
  </si>
  <si>
    <t>Ifb</t>
  </si>
  <si>
    <t>Current Drawn from the feedback resistors (Typically higher than 100uA to help w/ noise)</t>
  </si>
  <si>
    <r>
      <t xml:space="preserve">Plant low frequency pole. </t>
    </r>
    <r>
      <rPr>
        <b/>
        <sz val="11"/>
        <color theme="1"/>
        <rFont val="Calibri"/>
        <family val="2"/>
        <scheme val="minor"/>
      </rPr>
      <t>IN Hz!!!</t>
    </r>
  </si>
  <si>
    <r>
      <t xml:space="preserve">Plant RHP Zero, </t>
    </r>
    <r>
      <rPr>
        <b/>
        <sz val="11"/>
        <color theme="1"/>
        <rFont val="Calibri"/>
        <family val="2"/>
        <scheme val="minor"/>
      </rPr>
      <t>(IN Hz)</t>
    </r>
  </si>
  <si>
    <r>
      <t xml:space="preserve">Plant capacitor ESR zero </t>
    </r>
    <r>
      <rPr>
        <b/>
        <sz val="11"/>
        <color theme="1"/>
        <rFont val="Calibri"/>
        <family val="2"/>
        <scheme val="minor"/>
      </rPr>
      <t>(In Hz)</t>
    </r>
  </si>
  <si>
    <t>Feedback resistor selection</t>
  </si>
  <si>
    <t>Crossover Frequency Selection</t>
  </si>
  <si>
    <t>Fcross_est</t>
  </si>
  <si>
    <r>
      <t>Calculated bottom feedback resistor (R</t>
    </r>
    <r>
      <rPr>
        <vertAlign val="subscript"/>
        <sz val="11"/>
        <color theme="1"/>
        <rFont val="Calibri"/>
        <family val="2"/>
        <scheme val="minor"/>
      </rPr>
      <t>FBB_cala</t>
    </r>
    <r>
      <rPr>
        <sz val="11"/>
        <color theme="1"/>
        <rFont val="Calibri"/>
        <family val="2"/>
        <scheme val="minor"/>
      </rPr>
      <t>)</t>
    </r>
  </si>
  <si>
    <t>fcross</t>
  </si>
  <si>
    <t>Desired Crossover frequency</t>
  </si>
  <si>
    <t>1/10 the swictching frequency</t>
  </si>
  <si>
    <t>Conservative. Set Fcross to be 1/5th the RHP zero frequency or 1/10th SW: whichever is lower</t>
  </si>
  <si>
    <t>Select the lower crossover frequency</t>
  </si>
  <si>
    <t>Gplant_fc</t>
  </si>
  <si>
    <t>Gain of the plant at the desired crossover frequency</t>
  </si>
  <si>
    <t>Fcross</t>
  </si>
  <si>
    <t>wz_RHP</t>
  </si>
  <si>
    <t>Gplant_fc_dB</t>
  </si>
  <si>
    <t>Plant gain at crossover frequency (dB)</t>
  </si>
  <si>
    <t>Gea_mid_calc</t>
  </si>
  <si>
    <t>Error Amplifier Mid-band gain to set cross over frequency correctly</t>
  </si>
  <si>
    <t>Rcomp_Calc</t>
  </si>
  <si>
    <t>Calculate on based on the desired Mid-band gain needed to set the crossover frequency</t>
  </si>
  <si>
    <t>fz_ea_est</t>
  </si>
  <si>
    <t>Set the fz_ea 1/10th the cross over frequency (Common approach)</t>
  </si>
  <si>
    <t>Set the fz_ea geometerically inbetween crossover and the wp_lf</t>
  </si>
  <si>
    <t>Fz_ea_1</t>
  </si>
  <si>
    <t>Fz_ea_2</t>
  </si>
  <si>
    <t>CCOMP_calc</t>
  </si>
  <si>
    <t>CHF_Calc</t>
  </si>
  <si>
    <t>fp_ea_est</t>
  </si>
  <si>
    <r>
      <t>Select a top feedback resistor(R</t>
    </r>
    <r>
      <rPr>
        <vertAlign val="subscript"/>
        <sz val="11"/>
        <color theme="1"/>
        <rFont val="Calibri"/>
        <family val="2"/>
        <scheme val="minor"/>
      </rPr>
      <t>FBT</t>
    </r>
    <r>
      <rPr>
        <sz val="11"/>
        <color theme="1"/>
        <rFont val="Calibri"/>
        <family val="2"/>
        <scheme val="minor"/>
      </rPr>
      <t>)</t>
    </r>
  </si>
  <si>
    <r>
      <t>Select a bottomresistor based on calculated balue(R</t>
    </r>
    <r>
      <rPr>
        <vertAlign val="subscript"/>
        <sz val="11"/>
        <color theme="1"/>
        <rFont val="Calibri"/>
        <family val="2"/>
        <scheme val="minor"/>
      </rPr>
      <t>FBB</t>
    </r>
    <r>
      <rPr>
        <sz val="11"/>
        <color theme="1"/>
        <rFont val="Calibri"/>
        <family val="2"/>
        <scheme val="minor"/>
      </rPr>
      <t>)</t>
    </r>
  </si>
  <si>
    <t>Step 5: Soft-Start Capacitor Selection</t>
  </si>
  <si>
    <t>Step 6: UVLO Resistor Divider Selection</t>
  </si>
  <si>
    <t>Efficiency / Power Loss Analyzer</t>
  </si>
  <si>
    <r>
      <t>R</t>
    </r>
    <r>
      <rPr>
        <vertAlign val="subscript"/>
        <sz val="11"/>
        <color theme="1"/>
        <rFont val="Calibri"/>
        <family val="2"/>
        <scheme val="minor"/>
      </rPr>
      <t>COMP</t>
    </r>
  </si>
  <si>
    <t>Calculated</t>
  </si>
  <si>
    <t>Selected</t>
  </si>
  <si>
    <t>Steps</t>
  </si>
  <si>
    <t>Step size</t>
  </si>
  <si>
    <t>VIN</t>
  </si>
  <si>
    <t>DCM/CCM</t>
  </si>
  <si>
    <t>DC</t>
  </si>
  <si>
    <t>IIN</t>
  </si>
  <si>
    <t>Icrms_min</t>
  </si>
  <si>
    <t>Minimum required RMS current rating for the output capacitor bank</t>
  </si>
  <si>
    <t>Soft-Start</t>
  </si>
  <si>
    <t>Iss</t>
  </si>
  <si>
    <t>Soft-start capacitor charge current</t>
  </si>
  <si>
    <t>Soft-Start Charge current</t>
  </si>
  <si>
    <t>Css_min</t>
  </si>
  <si>
    <t>Suggested minimum SS capacitor to minize the over shoot.</t>
  </si>
  <si>
    <t>tss</t>
  </si>
  <si>
    <t>Desired Soft-Start Capacitor</t>
  </si>
  <si>
    <r>
      <t>Suggested minimum soft-start capacitor (C</t>
    </r>
    <r>
      <rPr>
        <vertAlign val="subscript"/>
        <sz val="11"/>
        <color theme="1"/>
        <rFont val="Calibri"/>
        <family val="2"/>
        <scheme val="minor"/>
      </rPr>
      <t>SS_MIN</t>
    </r>
    <r>
      <rPr>
        <sz val="11"/>
        <color theme="1"/>
        <rFont val="Calibri"/>
        <family val="2"/>
        <scheme val="minor"/>
      </rPr>
      <t>)</t>
    </r>
  </si>
  <si>
    <t>ms</t>
  </si>
  <si>
    <t>Css_calc</t>
  </si>
  <si>
    <t>Calcualted Soft-start capacitor</t>
  </si>
  <si>
    <r>
      <t>Calculated soft-start capacitor (C</t>
    </r>
    <r>
      <rPr>
        <vertAlign val="subscript"/>
        <sz val="11"/>
        <color theme="1"/>
        <rFont val="Calibri"/>
        <family val="2"/>
        <scheme val="minor"/>
      </rPr>
      <t>SS</t>
    </r>
    <r>
      <rPr>
        <sz val="11"/>
        <color theme="1"/>
        <rFont val="Calibri"/>
        <family val="2"/>
        <scheme val="minor"/>
      </rPr>
      <t>)</t>
    </r>
  </si>
  <si>
    <r>
      <t>Desied soft-start time at minimum input voltage (T</t>
    </r>
    <r>
      <rPr>
        <vertAlign val="subscript"/>
        <sz val="11"/>
        <color theme="1"/>
        <rFont val="Calibri"/>
        <family val="2"/>
        <scheme val="minor"/>
      </rPr>
      <t>SS</t>
    </r>
    <r>
      <rPr>
        <sz val="11"/>
        <color theme="1"/>
        <rFont val="Calibri"/>
        <family val="2"/>
        <scheme val="minor"/>
      </rPr>
      <t>)</t>
    </r>
  </si>
  <si>
    <r>
      <t>Desired voltage OFF (V</t>
    </r>
    <r>
      <rPr>
        <vertAlign val="subscript"/>
        <sz val="11"/>
        <color theme="1"/>
        <rFont val="Calibri"/>
        <family val="2"/>
        <scheme val="minor"/>
      </rPr>
      <t>UVLO_OFF</t>
    </r>
    <r>
      <rPr>
        <sz val="11"/>
        <color theme="1"/>
        <rFont val="Calibri"/>
        <family val="2"/>
        <scheme val="minor"/>
      </rPr>
      <t>)</t>
    </r>
  </si>
  <si>
    <r>
      <t>Desired voltage On (V</t>
    </r>
    <r>
      <rPr>
        <vertAlign val="subscript"/>
        <sz val="11"/>
        <color theme="1"/>
        <rFont val="Calibri"/>
        <family val="2"/>
        <scheme val="minor"/>
      </rPr>
      <t>UVLO_ON</t>
    </r>
    <r>
      <rPr>
        <sz val="11"/>
        <color theme="1"/>
        <rFont val="Calibri"/>
        <family val="2"/>
        <scheme val="minor"/>
      </rPr>
      <t>)</t>
    </r>
  </si>
  <si>
    <t>Step 6: UVLO Resistor Selection</t>
  </si>
  <si>
    <t>Step 5: Soft-start Capacitor selection</t>
  </si>
  <si>
    <t>Vuvlo_on</t>
  </si>
  <si>
    <t>Vuvlo_off</t>
  </si>
  <si>
    <t>Desired turn on voltage</t>
  </si>
  <si>
    <t>Desired turn off voltage</t>
  </si>
  <si>
    <t>UVLO Thresholds</t>
  </si>
  <si>
    <t>UV_rise</t>
  </si>
  <si>
    <t>UV_fall</t>
  </si>
  <si>
    <t>Falling threshold (See datasheet for more details)</t>
  </si>
  <si>
    <t>Rising Threshold (See datasheet for more details)</t>
  </si>
  <si>
    <t>Rising UV threshold</t>
  </si>
  <si>
    <t>Falling  UV threshold</t>
  </si>
  <si>
    <t>UV_I_hyst</t>
  </si>
  <si>
    <t>UVLO current hysteresis</t>
  </si>
  <si>
    <t>UVLO circuit current hysteresis</t>
  </si>
  <si>
    <t>Ruvlo_top_calc</t>
  </si>
  <si>
    <t>Ruvlo_bottom_calc</t>
  </si>
  <si>
    <t>Vuvlo_on_act</t>
  </si>
  <si>
    <t>Vuvlo_off_act</t>
  </si>
  <si>
    <t>Actual turn on voltage</t>
  </si>
  <si>
    <t>Actual turn off voltage</t>
  </si>
  <si>
    <t>Step  7: Loop Compensation</t>
  </si>
  <si>
    <t>Operation Variables</t>
  </si>
  <si>
    <t>Duty Cycle</t>
  </si>
  <si>
    <t>dIL</t>
  </si>
  <si>
    <r>
      <t>IL</t>
    </r>
    <r>
      <rPr>
        <vertAlign val="subscript"/>
        <sz val="11"/>
        <color theme="1"/>
        <rFont val="Calibri"/>
        <family val="2"/>
        <scheme val="minor"/>
      </rPr>
      <t>RMS</t>
    </r>
  </si>
  <si>
    <r>
      <t>IL</t>
    </r>
    <r>
      <rPr>
        <vertAlign val="subscript"/>
        <sz val="11"/>
        <color theme="1"/>
        <rFont val="Calibri"/>
        <family val="2"/>
        <scheme val="minor"/>
      </rPr>
      <t>PEAK</t>
    </r>
  </si>
  <si>
    <t>Step 7: Component Selection</t>
  </si>
  <si>
    <r>
      <t>P</t>
    </r>
    <r>
      <rPr>
        <vertAlign val="subscript"/>
        <sz val="11"/>
        <color theme="1"/>
        <rFont val="Calibri"/>
        <family val="2"/>
        <scheme val="minor"/>
      </rPr>
      <t>Lac</t>
    </r>
    <r>
      <rPr>
        <sz val="11"/>
        <color theme="1"/>
        <rFont val="Calibri"/>
        <family val="2"/>
        <scheme val="minor"/>
      </rPr>
      <t xml:space="preserve"> (W)</t>
    </r>
  </si>
  <si>
    <r>
      <t>P</t>
    </r>
    <r>
      <rPr>
        <vertAlign val="subscript"/>
        <sz val="11"/>
        <color theme="1"/>
        <rFont val="Calibri"/>
        <family val="2"/>
        <scheme val="minor"/>
      </rPr>
      <t>L_DCR</t>
    </r>
    <r>
      <rPr>
        <sz val="11"/>
        <color theme="1"/>
        <rFont val="Calibri"/>
        <family val="2"/>
        <scheme val="minor"/>
      </rPr>
      <t xml:space="preserve"> (W)</t>
    </r>
  </si>
  <si>
    <r>
      <t>On-State Resistance, R</t>
    </r>
    <r>
      <rPr>
        <vertAlign val="subscript"/>
        <sz val="10"/>
        <rFont val="Arial"/>
        <family val="2"/>
      </rPr>
      <t>DS(on)</t>
    </r>
    <r>
      <rPr>
        <sz val="10"/>
        <rFont val="Arial"/>
        <family val="2"/>
      </rPr>
      <t xml:space="preserve"> </t>
    </r>
  </si>
  <si>
    <r>
      <t>Total Gate Charge, Q</t>
    </r>
    <r>
      <rPr>
        <vertAlign val="subscript"/>
        <sz val="10"/>
        <rFont val="Arial"/>
        <family val="2"/>
      </rPr>
      <t>G</t>
    </r>
    <r>
      <rPr>
        <sz val="10"/>
        <rFont val="Arial"/>
        <family val="2"/>
      </rPr>
      <t xml:space="preserve"> </t>
    </r>
  </si>
  <si>
    <r>
      <t>Gate-Drain Charge, Q</t>
    </r>
    <r>
      <rPr>
        <vertAlign val="subscript"/>
        <sz val="10"/>
        <rFont val="Arial"/>
        <family val="2"/>
      </rPr>
      <t>GD</t>
    </r>
    <r>
      <rPr>
        <sz val="10"/>
        <rFont val="Arial"/>
        <family val="2"/>
      </rPr>
      <t xml:space="preserve"> </t>
    </r>
  </si>
  <si>
    <r>
      <t>Gate-Source Charge, Q</t>
    </r>
    <r>
      <rPr>
        <vertAlign val="subscript"/>
        <sz val="10"/>
        <rFont val="Arial"/>
        <family val="2"/>
      </rPr>
      <t>GS</t>
    </r>
    <r>
      <rPr>
        <sz val="10"/>
        <rFont val="Arial"/>
        <family val="2"/>
      </rPr>
      <t xml:space="preserve"> </t>
    </r>
  </si>
  <si>
    <r>
      <t>Gate Resistance, R</t>
    </r>
    <r>
      <rPr>
        <vertAlign val="subscript"/>
        <sz val="10"/>
        <rFont val="Arial"/>
        <family val="2"/>
      </rPr>
      <t>G</t>
    </r>
    <r>
      <rPr>
        <sz val="10"/>
        <rFont val="Arial"/>
        <family val="2"/>
      </rPr>
      <t xml:space="preserve"> </t>
    </r>
  </si>
  <si>
    <r>
      <t>Gate-Source Threshold Voltage, V</t>
    </r>
    <r>
      <rPr>
        <vertAlign val="subscript"/>
        <sz val="10"/>
        <rFont val="Arial"/>
        <family val="2"/>
      </rPr>
      <t>TH</t>
    </r>
    <r>
      <rPr>
        <sz val="10"/>
        <rFont val="Arial"/>
        <family val="2"/>
      </rPr>
      <t xml:space="preserve"> </t>
    </r>
  </si>
  <si>
    <t>mΩ</t>
  </si>
  <si>
    <t>nC</t>
  </si>
  <si>
    <t>Ω</t>
  </si>
  <si>
    <t>S</t>
  </si>
  <si>
    <t>Diode Parameters</t>
  </si>
  <si>
    <t>MOSFET parameters</t>
  </si>
  <si>
    <t>MOSFET Parameters</t>
  </si>
  <si>
    <t>Qg_tot</t>
  </si>
  <si>
    <t>Qgs</t>
  </si>
  <si>
    <t>Qgd</t>
  </si>
  <si>
    <t>Rgate</t>
  </si>
  <si>
    <t>gfs</t>
  </si>
  <si>
    <t>Vth</t>
  </si>
  <si>
    <t>C</t>
  </si>
  <si>
    <t>RDS_on</t>
  </si>
  <si>
    <t>Rgate_int</t>
  </si>
  <si>
    <t>Internal Gate resistance of the MOSFET driver.</t>
  </si>
  <si>
    <t>Vsp</t>
  </si>
  <si>
    <t>Gate voltage when MOSFET begins conducting current</t>
  </si>
  <si>
    <t>Rise time of the switch node</t>
  </si>
  <si>
    <t>Fall time of the switch node</t>
  </si>
  <si>
    <t>VCC</t>
  </si>
  <si>
    <t>VCC regulator</t>
  </si>
  <si>
    <t>Vcc</t>
  </si>
  <si>
    <t>Regulated output voltage of internal LDO. Can change if this is externally biased.</t>
  </si>
  <si>
    <t>Need to double check this value</t>
  </si>
  <si>
    <t xml:space="preserve">VCC voltage. Can be changed with external bias. </t>
  </si>
  <si>
    <t>tr_sw</t>
  </si>
  <si>
    <t>tf_sw</t>
  </si>
  <si>
    <r>
      <t>P</t>
    </r>
    <r>
      <rPr>
        <vertAlign val="subscript"/>
        <sz val="11"/>
        <color theme="1"/>
        <rFont val="Calibri"/>
        <family val="2"/>
        <scheme val="minor"/>
      </rPr>
      <t xml:space="preserve">Q_SW </t>
    </r>
    <r>
      <rPr>
        <sz val="11"/>
        <color theme="1"/>
        <rFont val="Calibri"/>
        <family val="2"/>
        <scheme val="minor"/>
      </rPr>
      <t>(W)</t>
    </r>
  </si>
  <si>
    <r>
      <t>P</t>
    </r>
    <r>
      <rPr>
        <vertAlign val="subscript"/>
        <sz val="11"/>
        <color theme="1"/>
        <rFont val="Calibri"/>
        <family val="2"/>
        <scheme val="minor"/>
      </rPr>
      <t xml:space="preserve">Q_COND </t>
    </r>
    <r>
      <rPr>
        <sz val="11"/>
        <color theme="1"/>
        <rFont val="Calibri"/>
        <family val="2"/>
        <scheme val="minor"/>
      </rPr>
      <t>(W)</t>
    </r>
  </si>
  <si>
    <r>
      <t>P</t>
    </r>
    <r>
      <rPr>
        <vertAlign val="subscript"/>
        <sz val="11"/>
        <color theme="1"/>
        <rFont val="Calibri"/>
        <family val="2"/>
        <scheme val="minor"/>
      </rPr>
      <t xml:space="preserve">Q_tot </t>
    </r>
    <r>
      <rPr>
        <sz val="11"/>
        <color theme="1"/>
        <rFont val="Calibri"/>
        <family val="2"/>
        <scheme val="minor"/>
      </rPr>
      <t>(W)</t>
    </r>
  </si>
  <si>
    <r>
      <t>P</t>
    </r>
    <r>
      <rPr>
        <vertAlign val="subscript"/>
        <sz val="11"/>
        <color theme="1"/>
        <rFont val="Calibri"/>
        <family val="2"/>
        <scheme val="minor"/>
      </rPr>
      <t>L_tot</t>
    </r>
    <r>
      <rPr>
        <sz val="11"/>
        <color theme="1"/>
        <rFont val="Calibri"/>
        <family val="2"/>
        <scheme val="minor"/>
      </rPr>
      <t xml:space="preserve"> (W)</t>
    </r>
  </si>
  <si>
    <r>
      <t>P</t>
    </r>
    <r>
      <rPr>
        <vertAlign val="subscript"/>
        <sz val="11"/>
        <color theme="1"/>
        <rFont val="Calibri"/>
        <family val="2"/>
        <scheme val="minor"/>
      </rPr>
      <t>RCS</t>
    </r>
    <r>
      <rPr>
        <sz val="11"/>
        <color theme="1"/>
        <rFont val="Calibri"/>
        <family val="2"/>
        <scheme val="minor"/>
      </rPr>
      <t xml:space="preserve"> (W)</t>
    </r>
  </si>
  <si>
    <r>
      <t>P</t>
    </r>
    <r>
      <rPr>
        <vertAlign val="subscript"/>
        <sz val="11"/>
        <color theme="1"/>
        <rFont val="Calibri"/>
        <family val="2"/>
        <scheme val="minor"/>
      </rPr>
      <t>G_drv</t>
    </r>
    <r>
      <rPr>
        <sz val="11"/>
        <color theme="1"/>
        <rFont val="Calibri"/>
        <family val="2"/>
        <scheme val="minor"/>
      </rPr>
      <t xml:space="preserve"> (W)</t>
    </r>
  </si>
  <si>
    <r>
      <t>P</t>
    </r>
    <r>
      <rPr>
        <vertAlign val="subscript"/>
        <sz val="11"/>
        <color theme="1"/>
        <rFont val="Calibri"/>
        <family val="2"/>
        <scheme val="minor"/>
      </rPr>
      <t>IQ</t>
    </r>
    <r>
      <rPr>
        <sz val="11"/>
        <color theme="1"/>
        <rFont val="Calibri"/>
        <family val="2"/>
        <scheme val="minor"/>
      </rPr>
      <t xml:space="preserve"> (W)</t>
    </r>
  </si>
  <si>
    <t>IQ current</t>
  </si>
  <si>
    <t xml:space="preserve">IQ </t>
  </si>
  <si>
    <t>Non-switching IQ current</t>
  </si>
  <si>
    <t>Other Losses</t>
  </si>
  <si>
    <r>
      <t>C</t>
    </r>
    <r>
      <rPr>
        <vertAlign val="subscript"/>
        <sz val="11"/>
        <color theme="1"/>
        <rFont val="Calibri"/>
        <family val="2"/>
        <scheme val="minor"/>
      </rPr>
      <t>COMP</t>
    </r>
  </si>
  <si>
    <r>
      <t>C</t>
    </r>
    <r>
      <rPr>
        <vertAlign val="subscript"/>
        <sz val="11"/>
        <color theme="1"/>
        <rFont val="Calibri"/>
        <family val="2"/>
        <scheme val="minor"/>
      </rPr>
      <t>HF</t>
    </r>
  </si>
  <si>
    <t>RHP_zero location based on the minimum input voltage</t>
  </si>
  <si>
    <t>Low frequency pole based on the minimum input voltage</t>
  </si>
  <si>
    <t>rad</t>
  </si>
  <si>
    <t>raf</t>
  </si>
  <si>
    <t>ESR zero based on the minimum input voltage</t>
  </si>
  <si>
    <t>This is based on the minimum input voltage. T</t>
  </si>
  <si>
    <t>Input Voltage</t>
  </si>
  <si>
    <r>
      <t>Selected band width (F</t>
    </r>
    <r>
      <rPr>
        <vertAlign val="subscript"/>
        <sz val="11"/>
        <color theme="1"/>
        <rFont val="Calibri"/>
        <family val="2"/>
        <scheme val="minor"/>
      </rPr>
      <t>CO</t>
    </r>
    <r>
      <rPr>
        <sz val="11"/>
        <color theme="1"/>
        <rFont val="Calibri"/>
        <family val="2"/>
        <scheme val="minor"/>
      </rPr>
      <t>)</t>
    </r>
  </si>
  <si>
    <r>
      <t>Calculated top UVLO resistor value (R</t>
    </r>
    <r>
      <rPr>
        <vertAlign val="subscript"/>
        <sz val="11"/>
        <color theme="1"/>
        <rFont val="Calibri"/>
        <family val="2"/>
        <scheme val="minor"/>
      </rPr>
      <t>UVT_CALC</t>
    </r>
    <r>
      <rPr>
        <sz val="11"/>
        <color theme="1"/>
        <rFont val="Calibri"/>
        <family val="2"/>
        <scheme val="minor"/>
      </rPr>
      <t>)</t>
    </r>
  </si>
  <si>
    <r>
      <t>Selected top UVLO resistor value (R</t>
    </r>
    <r>
      <rPr>
        <vertAlign val="subscript"/>
        <sz val="11"/>
        <color theme="1"/>
        <rFont val="Calibri"/>
        <family val="2"/>
        <scheme val="minor"/>
      </rPr>
      <t>UVT</t>
    </r>
    <r>
      <rPr>
        <sz val="11"/>
        <color theme="1"/>
        <rFont val="Calibri"/>
        <family val="2"/>
        <scheme val="minor"/>
      </rPr>
      <t>)</t>
    </r>
  </si>
  <si>
    <r>
      <t>Bottom UVLO Resistor (R</t>
    </r>
    <r>
      <rPr>
        <vertAlign val="subscript"/>
        <sz val="11"/>
        <color theme="1"/>
        <rFont val="Calibri"/>
        <family val="2"/>
        <scheme val="minor"/>
      </rPr>
      <t>UVB</t>
    </r>
    <r>
      <rPr>
        <sz val="11"/>
        <color theme="1"/>
        <rFont val="Calibri"/>
        <family val="2"/>
        <scheme val="minor"/>
      </rPr>
      <t>)</t>
    </r>
  </si>
  <si>
    <t>Calcualted top UVLO resistor</t>
  </si>
  <si>
    <t>Selected top UVLO resistor</t>
  </si>
  <si>
    <t>Calcualted Bottom UBLO Resistor</t>
  </si>
  <si>
    <t>Frcoss (VIN)min</t>
  </si>
  <si>
    <t>ADC_VINmin</t>
  </si>
  <si>
    <t>wp_lf_VINmin</t>
  </si>
  <si>
    <t>fp_lf_VINmin</t>
  </si>
  <si>
    <t>wz_esr_VINmin</t>
  </si>
  <si>
    <t>fz_esr_VINmin</t>
  </si>
  <si>
    <t>wz_RHP_VINmin</t>
  </si>
  <si>
    <t>fz_rhp_VINmin</t>
  </si>
  <si>
    <t>Se_VINmin</t>
  </si>
  <si>
    <t>Sn_VINmin</t>
  </si>
  <si>
    <t>wsl_VINmin</t>
  </si>
  <si>
    <t>Q_VINmin</t>
  </si>
  <si>
    <t>Operation Raange</t>
  </si>
  <si>
    <t>Vin_op_min</t>
  </si>
  <si>
    <t>Minimum operating voltage</t>
  </si>
  <si>
    <t>Maximum BIAS pin operating voltage</t>
  </si>
  <si>
    <t>Vin_op_max</t>
  </si>
  <si>
    <r>
      <t>Desired Maximum Inductor Current Ripple Ratio (I</t>
    </r>
    <r>
      <rPr>
        <vertAlign val="subscript"/>
        <sz val="10"/>
        <color theme="1"/>
        <rFont val="Calibri"/>
        <family val="2"/>
        <scheme val="minor"/>
      </rPr>
      <t>RR_MAX</t>
    </r>
    <r>
      <rPr>
        <sz val="10"/>
        <color theme="1"/>
        <rFont val="Calibri"/>
        <family val="2"/>
        <scheme val="minor"/>
      </rPr>
      <t>)</t>
    </r>
  </si>
  <si>
    <t>Peak Current Limit Margin</t>
  </si>
  <si>
    <r>
      <t>Voltage selected (V</t>
    </r>
    <r>
      <rPr>
        <vertAlign val="subscript"/>
        <sz val="11"/>
        <rFont val="Calibri"/>
        <family val="2"/>
        <scheme val="minor"/>
      </rPr>
      <t>IN_VAR</t>
    </r>
    <r>
      <rPr>
        <sz val="11"/>
        <rFont val="Calibri"/>
        <family val="2"/>
        <scheme val="minor"/>
      </rPr>
      <t>)</t>
    </r>
  </si>
  <si>
    <t>This should be set at or near the lowest RHP zero Frequency</t>
  </si>
  <si>
    <t>Set between 1/2 fsw and the RHPz in the application note. This is aggressive</t>
  </si>
  <si>
    <r>
      <t>Recommended current sense Resistor (R</t>
    </r>
    <r>
      <rPr>
        <vertAlign val="subscript"/>
        <sz val="11"/>
        <color theme="1"/>
        <rFont val="Calibri"/>
        <family val="2"/>
        <scheme val="minor"/>
      </rPr>
      <t>S</t>
    </r>
    <r>
      <rPr>
        <sz val="11"/>
        <color theme="1"/>
        <rFont val="Calibri"/>
        <family val="2"/>
        <scheme val="minor"/>
      </rPr>
      <t>)</t>
    </r>
  </si>
  <si>
    <r>
      <t>Selected current sense Resistor (R</t>
    </r>
    <r>
      <rPr>
        <vertAlign val="subscript"/>
        <sz val="11"/>
        <color theme="1"/>
        <rFont val="Calibri"/>
        <family val="2"/>
        <scheme val="minor"/>
      </rPr>
      <t>S</t>
    </r>
    <r>
      <rPr>
        <sz val="11"/>
        <color theme="1"/>
        <rFont val="Calibri"/>
        <family val="2"/>
        <scheme val="minor"/>
      </rPr>
      <t>)</t>
    </r>
  </si>
  <si>
    <t>VOUT1</t>
  </si>
  <si>
    <t>IOUT1</t>
  </si>
  <si>
    <t>ROUT1</t>
  </si>
  <si>
    <t>POUT1</t>
  </si>
  <si>
    <t>VOUT2</t>
  </si>
  <si>
    <t>IOUT2</t>
  </si>
  <si>
    <t>ROUT2</t>
  </si>
  <si>
    <t>POUT2</t>
  </si>
  <si>
    <t>VOUT3</t>
  </si>
  <si>
    <t>IOUT3</t>
  </si>
  <si>
    <t>ROUT3</t>
  </si>
  <si>
    <t>POUT3</t>
  </si>
  <si>
    <t>POUT_Total</t>
  </si>
  <si>
    <t>Enable</t>
  </si>
  <si>
    <t>EN_OUT_3</t>
  </si>
  <si>
    <t>EN_OUT_2</t>
  </si>
  <si>
    <t>Enable the second output voltage</t>
  </si>
  <si>
    <t>Enable the third output voltage</t>
  </si>
  <si>
    <t>Target Output Voltage, First output voltage should always be the one regulated, and should be active</t>
  </si>
  <si>
    <t>Step 2: Transformer Specifications</t>
  </si>
  <si>
    <r>
      <t>Recommended Inductance Primary Inductance (L</t>
    </r>
    <r>
      <rPr>
        <vertAlign val="subscript"/>
        <sz val="10"/>
        <color theme="1"/>
        <rFont val="Calibri"/>
        <family val="2"/>
        <scheme val="minor"/>
      </rPr>
      <t>M_CALC</t>
    </r>
    <r>
      <rPr>
        <sz val="10"/>
        <color theme="1"/>
        <rFont val="Calibri"/>
        <family val="2"/>
        <scheme val="minor"/>
      </rPr>
      <t>)</t>
    </r>
  </si>
  <si>
    <r>
      <t>User Selected Primary Inductance, (L</t>
    </r>
    <r>
      <rPr>
        <vertAlign val="subscript"/>
        <sz val="10"/>
        <color theme="1"/>
        <rFont val="Calibri"/>
        <family val="2"/>
        <scheme val="minor"/>
      </rPr>
      <t>M</t>
    </r>
    <r>
      <rPr>
        <sz val="10"/>
        <color theme="1"/>
        <rFont val="Calibri"/>
        <family val="2"/>
        <scheme val="minor"/>
      </rPr>
      <t>)</t>
    </r>
  </si>
  <si>
    <t>Np</t>
  </si>
  <si>
    <t>Step 2: Transformer Specs</t>
  </si>
  <si>
    <t>The number of turns on the primary side. Can change to help ease calculations</t>
  </si>
  <si>
    <t>Maximum duty cycle for the design</t>
  </si>
  <si>
    <r>
      <t>Desired Maximum Duty Cycle (D</t>
    </r>
    <r>
      <rPr>
        <vertAlign val="subscript"/>
        <sz val="11"/>
        <color theme="1"/>
        <rFont val="Calibri"/>
        <family val="2"/>
        <scheme val="minor"/>
      </rPr>
      <t>MAX</t>
    </r>
    <r>
      <rPr>
        <sz val="11"/>
        <color theme="1"/>
        <rFont val="Calibri"/>
        <family val="2"/>
        <scheme val="minor"/>
      </rPr>
      <t>)</t>
    </r>
  </si>
  <si>
    <t>System Constants</t>
  </si>
  <si>
    <t>Vd</t>
  </si>
  <si>
    <t>This is just the standard voltage drop of a diode allows for some head room on duty cycle calculations</t>
  </si>
  <si>
    <t>Dmax_limit</t>
  </si>
  <si>
    <t>Calcualted secondary side (VOUT1) Turns Ratio (Assuming CCM operation)</t>
  </si>
  <si>
    <t>Selected Turns Ratio for regulated primary rail</t>
  </si>
  <si>
    <t>NS2_calc</t>
  </si>
  <si>
    <t>NS2</t>
  </si>
  <si>
    <t>Calcualted secondary side (VOUT2)</t>
  </si>
  <si>
    <t xml:space="preserve">Selected Turns Ratio for VOUT2 </t>
  </si>
  <si>
    <t>N1S_calc</t>
  </si>
  <si>
    <t>Ns1_</t>
  </si>
  <si>
    <t>Turns</t>
  </si>
  <si>
    <t>Target Output Voltage (Absolute Maximum)</t>
  </si>
  <si>
    <t>Target Output Voltage (Absolute Maximum Voltage)</t>
  </si>
  <si>
    <r>
      <t>Calculated Secondary Side turns (N</t>
    </r>
    <r>
      <rPr>
        <vertAlign val="subscript"/>
        <sz val="11"/>
        <color theme="1"/>
        <rFont val="Calibri"/>
        <family val="2"/>
        <scheme val="minor"/>
      </rPr>
      <t>Sx_calc</t>
    </r>
    <r>
      <rPr>
        <sz val="11"/>
        <color theme="1"/>
        <rFont val="Calibri"/>
        <family val="2"/>
        <scheme val="minor"/>
      </rPr>
      <t>)</t>
    </r>
  </si>
  <si>
    <r>
      <t>Selected Secondary Side turns (N</t>
    </r>
    <r>
      <rPr>
        <vertAlign val="subscript"/>
        <sz val="11"/>
        <color theme="1"/>
        <rFont val="Calibri"/>
        <family val="2"/>
        <scheme val="minor"/>
      </rPr>
      <t>Sx_</t>
    </r>
    <r>
      <rPr>
        <sz val="11"/>
        <color theme="1"/>
        <rFont val="Calibri"/>
        <family val="2"/>
        <scheme val="minor"/>
      </rPr>
      <t>)</t>
    </r>
  </si>
  <si>
    <t>Ns3_calc</t>
  </si>
  <si>
    <t>NS3_</t>
  </si>
  <si>
    <t>Calcualted secondary side (VOUT3)</t>
  </si>
  <si>
    <t xml:space="preserve">Selected Turns Ratio for VOUT3 </t>
  </si>
  <si>
    <r>
      <t>Adjusted output voltage (V</t>
    </r>
    <r>
      <rPr>
        <vertAlign val="subscript"/>
        <sz val="11"/>
        <color theme="1"/>
        <rFont val="Calibri"/>
        <family val="2"/>
        <scheme val="minor"/>
      </rPr>
      <t>LOADx</t>
    </r>
    <r>
      <rPr>
        <sz val="11"/>
        <color theme="1"/>
        <rFont val="Calibri"/>
        <family val="2"/>
        <scheme val="minor"/>
      </rPr>
      <t>)</t>
    </r>
  </si>
  <si>
    <t>VOUT2_act</t>
  </si>
  <si>
    <t>Actual Output voltage</t>
  </si>
  <si>
    <t>VOUT3_act</t>
  </si>
  <si>
    <t>Dmax_act</t>
  </si>
  <si>
    <r>
      <t>Approximate Maximum Duty Cycle (D</t>
    </r>
    <r>
      <rPr>
        <vertAlign val="subscript"/>
        <sz val="11"/>
        <color theme="1"/>
        <rFont val="Calibri"/>
        <family val="2"/>
        <scheme val="minor"/>
      </rPr>
      <t>MAX</t>
    </r>
    <r>
      <rPr>
        <sz val="11"/>
        <color theme="1"/>
        <rFont val="Calibri"/>
        <family val="2"/>
        <scheme val="minor"/>
      </rPr>
      <t>)</t>
    </r>
  </si>
  <si>
    <t>Occurs at the minimum input voltage</t>
  </si>
  <si>
    <t>VIN nom nominal Duty cycle</t>
  </si>
  <si>
    <t>VIN max nominal Duty cycle</t>
  </si>
  <si>
    <t>Estimated efficiency of the conveter. For right now need to just keep this 1</t>
  </si>
  <si>
    <t>Vreflect</t>
  </si>
  <si>
    <t>Inductor at Maximum input voltage (Includes the diode drop in the duty cycle calculation)</t>
  </si>
  <si>
    <t>IL_avg_VIN_min</t>
  </si>
  <si>
    <t>average input current</t>
  </si>
  <si>
    <t>Vout1_rip_sel</t>
  </si>
  <si>
    <t>Cout1_min</t>
  </si>
  <si>
    <t>Resr1</t>
  </si>
  <si>
    <t>Vout3_rip_sel</t>
  </si>
  <si>
    <t>Cout3_min</t>
  </si>
  <si>
    <t>Resr3</t>
  </si>
  <si>
    <t>Load 2</t>
  </si>
  <si>
    <t>Load 3</t>
  </si>
  <si>
    <t>Load 1</t>
  </si>
  <si>
    <t>Cout_total</t>
  </si>
  <si>
    <t>Resr_total</t>
  </si>
  <si>
    <t>Vout2_rip_sel</t>
  </si>
  <si>
    <t>Cout2_min</t>
  </si>
  <si>
    <t>Cout2</t>
  </si>
  <si>
    <t>Resr2</t>
  </si>
  <si>
    <t>Resr2_Trans</t>
  </si>
  <si>
    <t>ESR tranfered to the regualted winding of the transformer</t>
  </si>
  <si>
    <t>Total output cap ESR refered to the pregulated winding (VOUT1). Used for loop modeling</t>
  </si>
  <si>
    <t>Total output capacitance refered to the regulated winding (VOUT1). Used for loop modeling</t>
  </si>
  <si>
    <t>Need to finish updating from here</t>
  </si>
  <si>
    <t>POUT_Var</t>
  </si>
  <si>
    <t>Variable output Power (Need to add this in</t>
  </si>
  <si>
    <t>COUT_total</t>
  </si>
  <si>
    <t>CCM Model</t>
  </si>
  <si>
    <t>Dc</t>
  </si>
  <si>
    <t>Duty cycle at Vin_var</t>
  </si>
  <si>
    <t>mc</t>
  </si>
  <si>
    <r>
      <t>External voltage reference voltage (V</t>
    </r>
    <r>
      <rPr>
        <vertAlign val="subscript"/>
        <sz val="11"/>
        <color theme="1"/>
        <rFont val="Calibri"/>
        <family val="2"/>
        <scheme val="minor"/>
      </rPr>
      <t>ref_iso</t>
    </r>
    <r>
      <rPr>
        <sz val="11"/>
        <color theme="1"/>
        <rFont val="Calibri"/>
        <family val="2"/>
        <scheme val="minor"/>
      </rPr>
      <t>)</t>
    </r>
  </si>
  <si>
    <t>Otpocoupler selection Resistor Selection</t>
  </si>
  <si>
    <r>
      <t>Minimum current transfer Ratio (k</t>
    </r>
    <r>
      <rPr>
        <vertAlign val="subscript"/>
        <sz val="11"/>
        <color theme="1"/>
        <rFont val="Calibri"/>
        <family val="2"/>
        <scheme val="minor"/>
      </rPr>
      <t>OPTO_min</t>
    </r>
    <r>
      <rPr>
        <sz val="11"/>
        <color theme="1"/>
        <rFont val="Calibri"/>
        <family val="2"/>
        <scheme val="minor"/>
      </rPr>
      <t>)</t>
    </r>
  </si>
  <si>
    <r>
      <t>Maximum current transfer Ratio (k</t>
    </r>
    <r>
      <rPr>
        <vertAlign val="subscript"/>
        <sz val="11"/>
        <color theme="1"/>
        <rFont val="Calibri"/>
        <family val="2"/>
        <scheme val="minor"/>
      </rPr>
      <t>OPTO_max</t>
    </r>
    <r>
      <rPr>
        <sz val="11"/>
        <color theme="1"/>
        <rFont val="Calibri"/>
        <family val="2"/>
        <scheme val="minor"/>
      </rPr>
      <t>)</t>
    </r>
  </si>
  <si>
    <r>
      <t>Worst case diode voltage drop (V</t>
    </r>
    <r>
      <rPr>
        <vertAlign val="subscript"/>
        <sz val="11"/>
        <color theme="1"/>
        <rFont val="Calibri"/>
        <family val="2"/>
        <scheme val="minor"/>
      </rPr>
      <t>D_opto</t>
    </r>
    <r>
      <rPr>
        <sz val="11"/>
        <color theme="1"/>
        <rFont val="Calibri"/>
        <family val="2"/>
        <scheme val="minor"/>
      </rPr>
      <t>)</t>
    </r>
  </si>
  <si>
    <t>Select Feedback type</t>
  </si>
  <si>
    <t>Feedback type</t>
  </si>
  <si>
    <t>Isolated</t>
  </si>
  <si>
    <t>Non-isolated</t>
  </si>
  <si>
    <t>FB_type</t>
  </si>
  <si>
    <t>The type of feedback selected. 1 isolated feedback, 2 non-isolated feedback</t>
  </si>
  <si>
    <t>isolate Feedback calculations</t>
  </si>
  <si>
    <t>Vref_iso</t>
  </si>
  <si>
    <t>External reference voltage. This is needed for isolated feedback designs</t>
  </si>
  <si>
    <t>RFBT_iso</t>
  </si>
  <si>
    <t>RFBB_iso_calc</t>
  </si>
  <si>
    <t>RFBB_iso</t>
  </si>
  <si>
    <t>Calcualted bottom feedback resistor</t>
  </si>
  <si>
    <t>Selected top feedback resistor</t>
  </si>
  <si>
    <t>Selected bottom feedback resistor</t>
  </si>
  <si>
    <t>A/A</t>
  </si>
  <si>
    <r>
      <t>Minimum value for pullup resistor (R</t>
    </r>
    <r>
      <rPr>
        <vertAlign val="subscript"/>
        <sz val="11"/>
        <color theme="1"/>
        <rFont val="Calibri"/>
        <family val="2"/>
        <scheme val="minor"/>
      </rPr>
      <t>PULLUP_min</t>
    </r>
    <r>
      <rPr>
        <sz val="11"/>
        <color theme="1"/>
        <rFont val="Calibri"/>
        <family val="2"/>
        <scheme val="minor"/>
      </rPr>
      <t>)</t>
    </r>
  </si>
  <si>
    <t>Feedback resistors</t>
  </si>
  <si>
    <t>Opto coupler parameters</t>
  </si>
  <si>
    <t>Non-isolated feedback</t>
  </si>
  <si>
    <t>kopto_min</t>
  </si>
  <si>
    <t>kopto_max</t>
  </si>
  <si>
    <t>Minimum CTR of the optocoupler</t>
  </si>
  <si>
    <t>Maximum CTR of the optocoupler</t>
  </si>
  <si>
    <t>Vd_opto</t>
  </si>
  <si>
    <t>Should be the worst case diode drop to ensure feedback works properly over operating conditions</t>
  </si>
  <si>
    <t>Copto</t>
  </si>
  <si>
    <t>Vcomp_max</t>
  </si>
  <si>
    <t>Maximum voltage on the COMP pin</t>
  </si>
  <si>
    <t>Icomp_sink_max</t>
  </si>
  <si>
    <t>Maximum current the COMP pin can sink to keep voltage at 2.5V</t>
  </si>
  <si>
    <t>Rpullup_min</t>
  </si>
  <si>
    <r>
      <t>Pullup voltage (V</t>
    </r>
    <r>
      <rPr>
        <vertAlign val="subscript"/>
        <sz val="11"/>
        <color theme="1"/>
        <rFont val="Calibri"/>
        <family val="2"/>
        <scheme val="minor"/>
      </rPr>
      <t>PULLUP</t>
    </r>
    <r>
      <rPr>
        <sz val="11"/>
        <color theme="1"/>
        <rFont val="Calibri"/>
        <family val="2"/>
        <scheme val="minor"/>
      </rPr>
      <t>)</t>
    </r>
  </si>
  <si>
    <t>This can be selected once the pull up resistor is known. This value will change with Rpullup</t>
  </si>
  <si>
    <t>Vpullup</t>
  </si>
  <si>
    <t>voltage connected to the pullup resistor. This can be the auxwinding or the VCC voltage.</t>
  </si>
  <si>
    <r>
      <t>Selected Pullup Resistor (R</t>
    </r>
    <r>
      <rPr>
        <vertAlign val="subscript"/>
        <sz val="11"/>
        <color theme="1"/>
        <rFont val="Calibri"/>
        <family val="2"/>
        <scheme val="minor"/>
      </rPr>
      <t>PULLUP</t>
    </r>
    <r>
      <rPr>
        <sz val="11"/>
        <color theme="1"/>
        <rFont val="Calibri"/>
        <family val="2"/>
        <scheme val="minor"/>
      </rPr>
      <t>)</t>
    </r>
  </si>
  <si>
    <t>Rpullup</t>
  </si>
  <si>
    <t>Minimum pullup resistor value that will not damage the VCOMP clamp of the LM5155'</t>
  </si>
  <si>
    <t>Selected pullup resistor</t>
  </si>
  <si>
    <t>Bandwidth selection</t>
  </si>
  <si>
    <t>Compensation placement</t>
  </si>
  <si>
    <t>Suggest crossover frequency for the isolated loop. Should be less the 1/5 WzRHP and lower than optocoupler zero</t>
  </si>
  <si>
    <t>CCM Plant Model</t>
  </si>
  <si>
    <t>Step 5: Loop Compensation (CCM operation)</t>
  </si>
  <si>
    <t>RLED</t>
  </si>
  <si>
    <t>DC gain at the minimum input voltage</t>
  </si>
  <si>
    <t>1/5 f RHP</t>
  </si>
  <si>
    <t>fopto</t>
  </si>
  <si>
    <t>optocoupler pole.</t>
  </si>
  <si>
    <t xml:space="preserve">The pole set by the pull up resistor and the opto-coupler capcaitance. </t>
  </si>
  <si>
    <t>fcross_iso</t>
  </si>
  <si>
    <t>fcross_iso_est</t>
  </si>
  <si>
    <t>Selected crossover frequency for the isolated feedback design</t>
  </si>
  <si>
    <t>RLED_max</t>
  </si>
  <si>
    <t>Maximum LED resistor value</t>
  </si>
  <si>
    <r>
      <t>Pullup Resistor (R</t>
    </r>
    <r>
      <rPr>
        <b/>
        <vertAlign val="subscript"/>
        <sz val="11"/>
        <color theme="1"/>
        <rFont val="Calibri"/>
        <family val="2"/>
        <scheme val="minor"/>
      </rPr>
      <t>PULLUP</t>
    </r>
    <r>
      <rPr>
        <b/>
        <sz val="11"/>
        <color theme="1"/>
        <rFont val="Calibri"/>
        <family val="2"/>
        <scheme val="minor"/>
      </rPr>
      <t>) and LED Resistor (R</t>
    </r>
    <r>
      <rPr>
        <b/>
        <vertAlign val="subscript"/>
        <sz val="11"/>
        <color theme="1"/>
        <rFont val="Calibri"/>
        <family val="2"/>
        <scheme val="minor"/>
      </rPr>
      <t>LED</t>
    </r>
    <r>
      <rPr>
        <b/>
        <sz val="11"/>
        <color theme="1"/>
        <rFont val="Calibri"/>
        <family val="2"/>
        <scheme val="minor"/>
      </rPr>
      <t xml:space="preserve">) Selection </t>
    </r>
  </si>
  <si>
    <r>
      <t>Selected LED Resistor (R</t>
    </r>
    <r>
      <rPr>
        <vertAlign val="subscript"/>
        <sz val="11"/>
        <color theme="1"/>
        <rFont val="Calibri"/>
        <family val="2"/>
        <scheme val="minor"/>
      </rPr>
      <t>LED</t>
    </r>
    <r>
      <rPr>
        <sz val="11"/>
        <color theme="1"/>
        <rFont val="Calibri"/>
        <family val="2"/>
        <scheme val="minor"/>
      </rPr>
      <t>)</t>
    </r>
  </si>
  <si>
    <t>Selected LED resistor value</t>
  </si>
  <si>
    <t>RCOMP_iso_calc</t>
  </si>
  <si>
    <t>Rcomp_iso</t>
  </si>
  <si>
    <t>Selecte RCOMP value</t>
  </si>
  <si>
    <t>Ccomp_iso_calc</t>
  </si>
  <si>
    <t>Calcualted Compensation resistor value at the minimum input votlage. WzRHP is the lowest here</t>
  </si>
  <si>
    <t>Ccomp_iso</t>
  </si>
  <si>
    <t>wz_ea_1</t>
  </si>
  <si>
    <t>wz_ea_2</t>
  </si>
  <si>
    <t>wz2_ea</t>
  </si>
  <si>
    <t>wz1_ea</t>
  </si>
  <si>
    <t>Low frequency error complifier 0</t>
  </si>
  <si>
    <t>wpA_ea</t>
  </si>
  <si>
    <t>wpB_ea</t>
  </si>
  <si>
    <t>wpC_ea</t>
  </si>
  <si>
    <t>Pole Coefficients: A</t>
  </si>
  <si>
    <t>Pole Coefficients: C</t>
  </si>
  <si>
    <t>Pole Coefficients: B</t>
  </si>
  <si>
    <t>Suggested bandwidth maximum bandwidth</t>
  </si>
  <si>
    <r>
      <t>Desired Output  ripple voltage (</t>
    </r>
    <r>
      <rPr>
        <sz val="11"/>
        <color theme="1"/>
        <rFont val="Calibri"/>
        <family val="2"/>
      </rPr>
      <t>ΔV</t>
    </r>
    <r>
      <rPr>
        <vertAlign val="subscript"/>
        <sz val="11"/>
        <color theme="1"/>
        <rFont val="Calibri"/>
        <family val="2"/>
      </rPr>
      <t>OUT</t>
    </r>
    <r>
      <rPr>
        <sz val="11"/>
        <color theme="1"/>
        <rFont val="Calibri"/>
        <family val="2"/>
      </rPr>
      <t>)</t>
    </r>
  </si>
  <si>
    <r>
      <t>Maximum LED resistor (R</t>
    </r>
    <r>
      <rPr>
        <vertAlign val="subscript"/>
        <sz val="11"/>
        <color theme="1"/>
        <rFont val="Calibri"/>
        <family val="2"/>
        <scheme val="minor"/>
      </rPr>
      <t>LED_max</t>
    </r>
    <r>
      <rPr>
        <sz val="11"/>
        <color theme="1"/>
        <rFont val="Calibri"/>
        <family val="2"/>
        <scheme val="minor"/>
      </rPr>
      <t>)</t>
    </r>
  </si>
  <si>
    <t xml:space="preserve">POUT3 </t>
  </si>
  <si>
    <t>POUT1_step</t>
  </si>
  <si>
    <t>POUT2_step</t>
  </si>
  <si>
    <t>POUT3_step</t>
  </si>
  <si>
    <t>Primary Winding losses</t>
  </si>
  <si>
    <t>Ptotal</t>
  </si>
  <si>
    <t>ILAVG</t>
  </si>
  <si>
    <t>Primary Winding calculations</t>
  </si>
  <si>
    <t>Doff</t>
  </si>
  <si>
    <t>Ddead</t>
  </si>
  <si>
    <t>Ls1</t>
  </si>
  <si>
    <t>Secondary DCR</t>
  </si>
  <si>
    <t>Rdcr1</t>
  </si>
  <si>
    <t>LOAD1 secondary winding resistance</t>
  </si>
  <si>
    <t>Rdcr2</t>
  </si>
  <si>
    <t>Rdcr3</t>
  </si>
  <si>
    <t>ILAVG2</t>
  </si>
  <si>
    <t>ILAVG1</t>
  </si>
  <si>
    <t>(1-D)sec</t>
  </si>
  <si>
    <t xml:space="preserve">Iripple </t>
  </si>
  <si>
    <t>Ipeak</t>
  </si>
  <si>
    <t>ILRMS1</t>
  </si>
  <si>
    <t>VLOAD1 Power Losses</t>
  </si>
  <si>
    <t>Transformer Losses</t>
  </si>
  <si>
    <t>Diode Losses</t>
  </si>
  <si>
    <r>
      <t>P</t>
    </r>
    <r>
      <rPr>
        <vertAlign val="subscript"/>
        <sz val="11"/>
        <color theme="1"/>
        <rFont val="Calibri"/>
        <family val="2"/>
        <scheme val="minor"/>
      </rPr>
      <t>Qrr</t>
    </r>
    <r>
      <rPr>
        <sz val="11"/>
        <color theme="1"/>
        <rFont val="Calibri"/>
        <family val="2"/>
        <scheme val="minor"/>
      </rPr>
      <t xml:space="preserve"> (W)</t>
    </r>
  </si>
  <si>
    <r>
      <t>P</t>
    </r>
    <r>
      <rPr>
        <vertAlign val="subscript"/>
        <sz val="11"/>
        <color theme="1"/>
        <rFont val="Calibri"/>
        <family val="2"/>
        <scheme val="minor"/>
      </rPr>
      <t>CON</t>
    </r>
    <r>
      <rPr>
        <sz val="11"/>
        <color theme="1"/>
        <rFont val="Calibri"/>
        <family val="2"/>
        <scheme val="minor"/>
      </rPr>
      <t xml:space="preserve"> (W)</t>
    </r>
  </si>
  <si>
    <r>
      <t>PD1</t>
    </r>
    <r>
      <rPr>
        <vertAlign val="subscript"/>
        <sz val="11"/>
        <color theme="1"/>
        <rFont val="Calibri"/>
        <family val="2"/>
        <scheme val="minor"/>
      </rPr>
      <t>_tot</t>
    </r>
    <r>
      <rPr>
        <sz val="11"/>
        <color theme="1"/>
        <rFont val="Calibri"/>
        <family val="2"/>
        <scheme val="minor"/>
      </rPr>
      <t xml:space="preserve"> (W)</t>
    </r>
  </si>
  <si>
    <t>Vd1</t>
  </si>
  <si>
    <t>Qrr1</t>
  </si>
  <si>
    <t>Vd3</t>
  </si>
  <si>
    <t>Qrr3</t>
  </si>
  <si>
    <t>Vd2</t>
  </si>
  <si>
    <t>Qrr2</t>
  </si>
  <si>
    <t>ILAVG3</t>
  </si>
  <si>
    <t>LOAD3</t>
  </si>
  <si>
    <t>MOSFET Losses</t>
  </si>
  <si>
    <t>Leakage and Snubber</t>
  </si>
  <si>
    <t>Psnub</t>
  </si>
  <si>
    <t>Pleak</t>
  </si>
  <si>
    <t>Total Losses</t>
  </si>
  <si>
    <t>Transformer</t>
  </si>
  <si>
    <t>Number of output</t>
  </si>
  <si>
    <t xml:space="preserve">Single </t>
  </si>
  <si>
    <t xml:space="preserve">Double </t>
  </si>
  <si>
    <t>Triple</t>
  </si>
  <si>
    <r>
      <t>Calculated Secondary Side turns (N</t>
    </r>
    <r>
      <rPr>
        <vertAlign val="subscript"/>
        <sz val="11"/>
        <color theme="1"/>
        <rFont val="Calibri"/>
        <family val="2"/>
        <scheme val="minor"/>
      </rPr>
      <t>S2_calc</t>
    </r>
    <r>
      <rPr>
        <sz val="11"/>
        <color theme="1"/>
        <rFont val="Calibri"/>
        <family val="2"/>
        <scheme val="minor"/>
      </rPr>
      <t>)</t>
    </r>
  </si>
  <si>
    <r>
      <t>Maximum Output Current , I</t>
    </r>
    <r>
      <rPr>
        <vertAlign val="subscript"/>
        <sz val="10"/>
        <color theme="1"/>
        <rFont val="Calibri"/>
        <family val="2"/>
        <scheme val="minor"/>
      </rPr>
      <t>LOAD2</t>
    </r>
    <r>
      <rPr>
        <sz val="10"/>
        <color theme="1"/>
        <rFont val="Calibri"/>
        <family val="2"/>
        <scheme val="minor"/>
      </rPr>
      <t xml:space="preserve"> </t>
    </r>
  </si>
  <si>
    <r>
      <t>Output Target Voltage, V</t>
    </r>
    <r>
      <rPr>
        <vertAlign val="subscript"/>
        <sz val="10"/>
        <color theme="1"/>
        <rFont val="Calibri"/>
        <family val="2"/>
        <scheme val="minor"/>
      </rPr>
      <t>LOAD2</t>
    </r>
    <r>
      <rPr>
        <sz val="10"/>
        <color theme="1"/>
        <rFont val="Calibri"/>
        <family val="2"/>
        <scheme val="minor"/>
      </rPr>
      <t xml:space="preserve"> </t>
    </r>
  </si>
  <si>
    <r>
      <t>Selected Secondary Side turns (N</t>
    </r>
    <r>
      <rPr>
        <vertAlign val="subscript"/>
        <sz val="11"/>
        <color theme="1"/>
        <rFont val="Calibri"/>
        <family val="2"/>
        <scheme val="minor"/>
      </rPr>
      <t>S2_</t>
    </r>
    <r>
      <rPr>
        <sz val="11"/>
        <color theme="1"/>
        <rFont val="Calibri"/>
        <family val="2"/>
        <scheme val="minor"/>
      </rPr>
      <t>)</t>
    </r>
  </si>
  <si>
    <t>Number of output rails</t>
  </si>
  <si>
    <t>Load 2 Specificaitons</t>
  </si>
  <si>
    <t>Load 1 Specifications</t>
  </si>
  <si>
    <t>Load 3 Specifications</t>
  </si>
  <si>
    <t>fcross_est</t>
  </si>
  <si>
    <t>Estimated cross over frequency based on the primary winding. 1/5 the cross over frequency. Follows app note</t>
  </si>
  <si>
    <t>Iout1_step</t>
  </si>
  <si>
    <t>50% load step to calculate the output voltage transient.</t>
  </si>
  <si>
    <t>Variable input voltage to model the loop and efficiency calculations</t>
  </si>
  <si>
    <t>LOOP_ISO</t>
  </si>
  <si>
    <t>LOOP_nISO</t>
  </si>
  <si>
    <t xml:space="preserve">Will add this later. </t>
  </si>
  <si>
    <t>Updated</t>
  </si>
  <si>
    <t xml:space="preserve">Mode of operation: </t>
  </si>
  <si>
    <t>CCM</t>
  </si>
  <si>
    <t>Base Calculations of :</t>
  </si>
  <si>
    <t>Can base this value on the capacitve ripple of the output</t>
  </si>
  <si>
    <t xml:space="preserve">Can base this value on the capacitve output </t>
  </si>
  <si>
    <t>should inclued the total capacitance of this calculation</t>
  </si>
  <si>
    <t>50% load step</t>
  </si>
  <si>
    <t>Not Correct. Can just leave this one out for now.</t>
  </si>
  <si>
    <t>Assuming that the voltage drop of the diode is ideal</t>
  </si>
  <si>
    <t>External Compensation? (0-no, 1-yes) If DCM operation always no</t>
  </si>
  <si>
    <t>"Need to update this for isolated. A secondary soft-start should be used</t>
  </si>
  <si>
    <t>"Need to update this for being pulled up on the AUX winding</t>
  </si>
  <si>
    <t>*Need to find a good reference for this</t>
  </si>
  <si>
    <t>Conduction losses are just the average current</t>
  </si>
  <si>
    <r>
      <t>50 S to simplify equations Transconductance, g</t>
    </r>
    <r>
      <rPr>
        <vertAlign val="subscript"/>
        <sz val="10"/>
        <rFont val="Arial"/>
        <family val="2"/>
      </rPr>
      <t>FS,</t>
    </r>
  </si>
  <si>
    <t>LM5155/56  CCM Flyback Controller Design Tool</t>
  </si>
  <si>
    <t>Load 2 Capacitance</t>
  </si>
  <si>
    <r>
      <t>Peak Primary Winding current, IL</t>
    </r>
    <r>
      <rPr>
        <vertAlign val="subscript"/>
        <sz val="10"/>
        <color theme="1"/>
        <rFont val="Calibri"/>
        <family val="2"/>
        <scheme val="minor"/>
      </rPr>
      <t>PK</t>
    </r>
  </si>
  <si>
    <t>Load 1 Diode Specifications</t>
  </si>
  <si>
    <t>Load 2 Diode Specifications</t>
  </si>
  <si>
    <t>Load 3 Diode Specifications</t>
  </si>
  <si>
    <r>
      <t>Secondary (N</t>
    </r>
    <r>
      <rPr>
        <vertAlign val="subscript"/>
        <sz val="11"/>
        <color theme="1"/>
        <rFont val="Calibri"/>
        <family val="2"/>
        <scheme val="minor"/>
      </rPr>
      <t>S1</t>
    </r>
    <r>
      <rPr>
        <sz val="11"/>
        <color theme="1"/>
        <rFont val="Calibri"/>
        <family val="2"/>
        <scheme val="minor"/>
      </rPr>
      <t>) DCR</t>
    </r>
  </si>
  <si>
    <r>
      <t>Selected Secondary Side turns (N</t>
    </r>
    <r>
      <rPr>
        <vertAlign val="subscript"/>
        <sz val="11"/>
        <color theme="1"/>
        <rFont val="Calibri"/>
        <family val="2"/>
        <scheme val="minor"/>
      </rPr>
      <t>S1</t>
    </r>
    <r>
      <rPr>
        <sz val="11"/>
        <color theme="1"/>
        <rFont val="Calibri"/>
        <family val="2"/>
        <scheme val="minor"/>
      </rPr>
      <t>)</t>
    </r>
  </si>
  <si>
    <r>
      <t>Calculated Secondary Side turns (N</t>
    </r>
    <r>
      <rPr>
        <vertAlign val="subscript"/>
        <sz val="11"/>
        <color theme="1"/>
        <rFont val="Calibri"/>
        <family val="2"/>
        <scheme val="minor"/>
      </rPr>
      <t>S1_calc</t>
    </r>
    <r>
      <rPr>
        <sz val="11"/>
        <color theme="1"/>
        <rFont val="Calibri"/>
        <family val="2"/>
        <scheme val="minor"/>
      </rPr>
      <t>)</t>
    </r>
  </si>
  <si>
    <t>Load 3 Capacitance</t>
  </si>
  <si>
    <t xml:space="preserve">Minimum Load 1 output capacitance </t>
  </si>
  <si>
    <t xml:space="preserve">Minimum Load 2 output capacitance </t>
  </si>
  <si>
    <t xml:space="preserve">Minimum Load 3 output capacitance </t>
  </si>
  <si>
    <t>DCM_VIN_min</t>
  </si>
  <si>
    <t>Discontinous conduction mode at minimum input voltage</t>
  </si>
  <si>
    <t>DCM_VIN_nom</t>
  </si>
  <si>
    <t>DCM_VIN_max</t>
  </si>
  <si>
    <t>Discontinous conduction mode at nominal input voltage</t>
  </si>
  <si>
    <t>Discontinous conduction mode at maximum input voltage</t>
  </si>
  <si>
    <r>
      <t>Phototransistor output capacitance Capacitance (C</t>
    </r>
    <r>
      <rPr>
        <vertAlign val="subscript"/>
        <sz val="11"/>
        <color theme="1"/>
        <rFont val="Calibri"/>
        <family val="2"/>
        <scheme val="minor"/>
      </rPr>
      <t>OPTO</t>
    </r>
    <r>
      <rPr>
        <sz val="11"/>
        <color theme="1"/>
        <rFont val="Calibri"/>
        <family val="2"/>
        <scheme val="minor"/>
      </rPr>
      <t>)</t>
    </r>
  </si>
  <si>
    <r>
      <t>Phototransistor collector to emitter saturation votltage (V</t>
    </r>
    <r>
      <rPr>
        <vertAlign val="subscript"/>
        <sz val="11"/>
        <color theme="1"/>
        <rFont val="Calibri"/>
        <family val="2"/>
        <scheme val="minor"/>
      </rPr>
      <t>CE_sat</t>
    </r>
    <r>
      <rPr>
        <sz val="11"/>
        <color theme="1"/>
        <rFont val="Calibri"/>
        <family val="2"/>
        <scheme val="minor"/>
      </rPr>
      <t>)</t>
    </r>
  </si>
  <si>
    <r>
      <t>Reverse Recovery Charge (Q</t>
    </r>
    <r>
      <rPr>
        <vertAlign val="subscript"/>
        <sz val="11"/>
        <color theme="1"/>
        <rFont val="Calibri"/>
        <family val="2"/>
        <scheme val="minor"/>
      </rPr>
      <t>RR_3</t>
    </r>
    <r>
      <rPr>
        <sz val="11"/>
        <color theme="1"/>
        <rFont val="Calibri"/>
        <family val="2"/>
        <scheme val="minor"/>
      </rPr>
      <t>)</t>
    </r>
  </si>
  <si>
    <r>
      <t>Reverse Recovery Charge (Q</t>
    </r>
    <r>
      <rPr>
        <vertAlign val="subscript"/>
        <sz val="11"/>
        <color theme="1"/>
        <rFont val="Calibri"/>
        <family val="2"/>
        <scheme val="minor"/>
      </rPr>
      <t>RR_1</t>
    </r>
    <r>
      <rPr>
        <sz val="11"/>
        <color theme="1"/>
        <rFont val="Calibri"/>
        <family val="2"/>
        <scheme val="minor"/>
      </rPr>
      <t>)</t>
    </r>
  </si>
  <si>
    <r>
      <t>Reverse Recovery Charge (Q</t>
    </r>
    <r>
      <rPr>
        <vertAlign val="subscript"/>
        <sz val="11"/>
        <color theme="1"/>
        <rFont val="Calibri"/>
        <family val="2"/>
        <scheme val="minor"/>
      </rPr>
      <t>RR_2</t>
    </r>
    <r>
      <rPr>
        <sz val="11"/>
        <color theme="1"/>
        <rFont val="Calibri"/>
        <family val="2"/>
        <scheme val="minor"/>
      </rPr>
      <t>)</t>
    </r>
  </si>
  <si>
    <r>
      <t>Diode Forward Voltage drop (V</t>
    </r>
    <r>
      <rPr>
        <vertAlign val="subscript"/>
        <sz val="11"/>
        <color theme="1"/>
        <rFont val="Calibri"/>
        <family val="2"/>
        <scheme val="minor"/>
      </rPr>
      <t>D1</t>
    </r>
    <r>
      <rPr>
        <sz val="11"/>
        <color theme="1"/>
        <rFont val="Calibri"/>
        <family val="2"/>
        <scheme val="minor"/>
      </rPr>
      <t>)</t>
    </r>
  </si>
  <si>
    <r>
      <t>Diode Forward Voltage drop (V</t>
    </r>
    <r>
      <rPr>
        <vertAlign val="subscript"/>
        <sz val="11"/>
        <color theme="1"/>
        <rFont val="Calibri"/>
        <family val="2"/>
        <scheme val="minor"/>
      </rPr>
      <t>D2</t>
    </r>
    <r>
      <rPr>
        <sz val="11"/>
        <color theme="1"/>
        <rFont val="Calibri"/>
        <family val="2"/>
        <scheme val="minor"/>
      </rPr>
      <t>)</t>
    </r>
  </si>
  <si>
    <r>
      <t>Diode Forward Voltage drop (V</t>
    </r>
    <r>
      <rPr>
        <vertAlign val="subscript"/>
        <sz val="11"/>
        <color theme="1"/>
        <rFont val="Calibri"/>
        <family val="2"/>
        <scheme val="minor"/>
      </rPr>
      <t>D3</t>
    </r>
    <r>
      <rPr>
        <sz val="11"/>
        <color theme="1"/>
        <rFont val="Calibri"/>
        <family val="2"/>
        <scheme val="minor"/>
      </rPr>
      <t>)</t>
    </r>
  </si>
  <si>
    <r>
      <t>Primary Winding Resistance (R</t>
    </r>
    <r>
      <rPr>
        <vertAlign val="subscript"/>
        <sz val="10"/>
        <color theme="1"/>
        <rFont val="Calibri"/>
        <family val="2"/>
        <scheme val="minor"/>
      </rPr>
      <t>DCR</t>
    </r>
    <r>
      <rPr>
        <sz val="10"/>
        <color theme="1"/>
        <rFont val="Calibri"/>
        <family val="2"/>
        <scheme val="minor"/>
      </rPr>
      <t>)</t>
    </r>
  </si>
  <si>
    <t>Mar-2020</t>
  </si>
  <si>
    <t>Version Number</t>
  </si>
  <si>
    <t>Version History</t>
  </si>
  <si>
    <t>Version</t>
  </si>
  <si>
    <t>Change List Description</t>
  </si>
  <si>
    <t>1.0.0</t>
  </si>
  <si>
    <t>Initial Release</t>
  </si>
  <si>
    <t>1.0.1</t>
  </si>
  <si>
    <t>Rev 1.0.1</t>
  </si>
  <si>
    <t>VIN_op_max_56</t>
  </si>
  <si>
    <t>Maximum BIAS pin operating voltage LM5156</t>
  </si>
  <si>
    <t>Updated Schematics</t>
  </si>
  <si>
    <t>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</si>
</sst>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0.000E+00"/>
    <numFmt numFmtId="166" formatCode="0.0000"/>
    <numFmt numFmtId="167" formatCode="0.0000E+00"/>
    <numFmt numFmtId="168" formatCode="0.0"/>
    <numFmt numFmtId="169" formatCode="0.0000000E+00"/>
    <numFmt numFmtId="170" formatCode="0.00000000"/>
    <numFmt numFmtId="171" formatCode="0.0000000"/>
  </numFmts>
  <fonts count="59"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0"/>
      <name val="Arial"/>
      <family val="2"/>
    </font>
    <font>
      <b/>
      <sz val="10"/>
      <name val="Arial"/>
      <family val="2"/>
    </font>
    <font>
      <b/>
      <sz val="22"/>
      <color indexed="44"/>
      <name val="Arial"/>
      <family val="2"/>
    </font>
    <font>
      <b/>
      <sz val="9"/>
      <color indexed="81"/>
      <name val="Tahoma"/>
      <family val="2"/>
    </font>
    <font>
      <sz val="9"/>
      <color indexed="81"/>
      <name val="Tahoma"/>
      <family val="2"/>
    </font>
    <font>
      <b/>
      <sz val="12"/>
      <color rgb="FF0000FF"/>
      <name val="Arial"/>
      <family val="2"/>
    </font>
    <font>
      <sz val="28"/>
      <color theme="0"/>
      <name val="Calibri"/>
      <family val="2"/>
      <scheme val="minor"/>
    </font>
    <font>
      <b/>
      <sz val="11"/>
      <color indexed="10"/>
      <name val="Tahoma"/>
      <family val="2"/>
    </font>
    <font>
      <sz val="10"/>
      <color theme="1"/>
      <name val="Calibri"/>
      <family val="2"/>
      <scheme val="minor"/>
    </font>
    <font>
      <vertAlign val="subscript"/>
      <sz val="10"/>
      <color theme="1"/>
      <name val="Calibri"/>
      <family val="2"/>
      <scheme val="minor"/>
    </font>
    <font>
      <sz val="11"/>
      <name val="Calibri"/>
      <family val="2"/>
      <scheme val="minor"/>
    </font>
    <font>
      <b/>
      <sz val="11"/>
      <color rgb="FF0070C0"/>
      <name val="Calibri"/>
      <family val="2"/>
      <scheme val="minor"/>
    </font>
    <font>
      <sz val="11"/>
      <color theme="1"/>
      <name val="Calibri"/>
      <family val="2"/>
    </font>
    <font>
      <u/>
      <sz val="11"/>
      <color theme="1"/>
      <name val="Calibri"/>
      <family val="2"/>
      <scheme val="minor"/>
    </font>
    <font>
      <vertAlign val="subscript"/>
      <sz val="11"/>
      <color theme="1"/>
      <name val="Calibri"/>
      <family val="2"/>
      <scheme val="minor"/>
    </font>
    <font>
      <b/>
      <sz val="12"/>
      <color theme="1"/>
      <name val="Calibri"/>
      <family val="2"/>
      <scheme val="minor"/>
    </font>
    <font>
      <vertAlign val="subscript"/>
      <sz val="11"/>
      <color theme="1"/>
      <name val="Calibri"/>
      <family val="2"/>
    </font>
    <font>
      <b/>
      <sz val="11"/>
      <color theme="3" tint="0.39997558519241921"/>
      <name val="Calibri"/>
      <family val="2"/>
      <scheme val="minor"/>
    </font>
    <font>
      <b/>
      <sz val="11"/>
      <color theme="1"/>
      <name val="Calibri"/>
      <family val="2"/>
      <scheme val="minor"/>
    </font>
    <font>
      <sz val="10"/>
      <name val="Calibri"/>
      <family val="2"/>
      <scheme val="minor"/>
    </font>
    <font>
      <b/>
      <sz val="12"/>
      <color rgb="FF00B0F0"/>
      <name val="Calibri"/>
      <family val="2"/>
      <scheme val="minor"/>
    </font>
    <font>
      <b/>
      <sz val="11"/>
      <color rgb="FF00B0F0"/>
      <name val="Calibri"/>
      <family val="2"/>
      <scheme val="minor"/>
    </font>
    <font>
      <b/>
      <sz val="10"/>
      <color rgb="FF00B0F0"/>
      <name val="Arial"/>
      <family val="2"/>
    </font>
    <font>
      <sz val="18"/>
      <color theme="0"/>
      <name val="Calibri"/>
      <family val="2"/>
      <scheme val="minor"/>
    </font>
    <font>
      <vertAlign val="subscript"/>
      <sz val="10"/>
      <name val="Arial"/>
      <family val="2"/>
    </font>
    <font>
      <vertAlign val="subscript"/>
      <sz val="11"/>
      <name val="Calibri"/>
      <family val="2"/>
      <scheme val="minor"/>
    </font>
    <font>
      <sz val="11"/>
      <color rgb="FFFF0000"/>
      <name val="Calibri"/>
      <family val="2"/>
      <scheme val="minor"/>
    </font>
    <font>
      <b/>
      <vertAlign val="subscript"/>
      <sz val="11"/>
      <color theme="1"/>
      <name val="Calibri"/>
      <family val="2"/>
      <scheme val="minor"/>
    </font>
    <font>
      <b/>
      <sz val="11"/>
      <name val="Calibri"/>
      <family val="2"/>
      <scheme val="minor"/>
    </font>
    <font>
      <u/>
      <sz val="10"/>
      <name val="Calibri"/>
      <family val="2"/>
      <scheme val="minor"/>
    </font>
    <font>
      <b/>
      <sz val="12"/>
      <color rgb="FF0070C0"/>
      <name val="Calibri"/>
      <family val="2"/>
      <scheme val="minor"/>
    </font>
    <font>
      <sz val="11"/>
      <color rgb="FF0070C0"/>
      <name val="Calibri"/>
      <family val="2"/>
      <scheme val="minor"/>
    </font>
    <font>
      <sz val="14"/>
      <color theme="1"/>
      <name val="Calibri"/>
      <family val="2"/>
      <scheme val="minor"/>
    </font>
    <font>
      <b/>
      <sz val="14"/>
      <color rgb="FF0070C0"/>
      <name val="Calibri"/>
      <family val="2"/>
      <scheme val="minor"/>
    </font>
    <font>
      <b/>
      <sz val="14"/>
      <color theme="4"/>
      <name val="Calibri"/>
      <family val="2"/>
      <scheme val="minor"/>
    </font>
    <font>
      <b/>
      <u/>
      <sz val="9"/>
      <color indexed="81"/>
      <name val="Tahoma"/>
      <family val="2"/>
    </font>
    <font>
      <sz val="9"/>
      <color indexed="10"/>
      <name val="Tahoma"/>
      <family val="2"/>
    </font>
    <font>
      <b/>
      <u/>
      <sz val="11"/>
      <color indexed="81"/>
      <name val="Tahoma"/>
      <family val="2"/>
    </font>
    <font>
      <sz val="10"/>
      <color indexed="81"/>
      <name val="Tahoma"/>
      <family val="2"/>
    </font>
    <font>
      <b/>
      <sz val="11"/>
      <color indexed="81"/>
      <name val="Tahoma"/>
      <family val="2"/>
    </font>
    <font>
      <sz val="10"/>
      <color indexed="10"/>
      <name val="Tahoma"/>
      <family val="2"/>
    </font>
    <font>
      <b/>
      <sz val="10"/>
      <color indexed="10"/>
      <name val="Tahoma"/>
      <family val="2"/>
    </font>
    <font>
      <b/>
      <sz val="9"/>
      <color indexed="10"/>
      <name val="Tahoma"/>
      <family val="2"/>
    </font>
    <font>
      <b/>
      <u/>
      <vertAlign val="subscript"/>
      <sz val="9"/>
      <color indexed="81"/>
      <name val="Tahoma"/>
      <family val="2"/>
    </font>
    <font>
      <vertAlign val="subscript"/>
      <sz val="9"/>
      <color indexed="81"/>
      <name val="Tahoma"/>
      <family val="2"/>
    </font>
    <font>
      <b/>
      <u/>
      <sz val="10"/>
      <color indexed="81"/>
      <name val="Tahoma"/>
      <family val="2"/>
    </font>
    <font>
      <sz val="9"/>
      <color indexed="81"/>
      <name val="Calibri"/>
      <family val="2"/>
    </font>
    <font>
      <u/>
      <sz val="11"/>
      <color theme="10"/>
      <name val="Calibri"/>
      <family val="2"/>
      <scheme val="minor"/>
    </font>
    <font>
      <sz val="11"/>
      <color rgb="FF000000"/>
      <name val="Arial"/>
      <family val="2"/>
    </font>
    <font>
      <b/>
      <sz val="10"/>
      <color rgb="FF000000"/>
      <name val="Arial"/>
      <family val="2"/>
    </font>
    <font>
      <sz val="10"/>
      <color rgb="FF000000"/>
      <name val="Arial"/>
      <family val="2"/>
    </font>
    <font>
      <b/>
      <u/>
      <sz val="10"/>
      <color rgb="FF0000FF"/>
      <name val="Arial"/>
      <family val="2"/>
    </font>
    <font>
      <b/>
      <sz val="10"/>
      <color rgb="FFFFFFFF"/>
      <name val="Arial"/>
      <family val="2"/>
    </font>
    <font>
      <b/>
      <u/>
      <sz val="11"/>
      <color rgb="FF0000FF"/>
      <name val="Arial"/>
      <family val="2"/>
    </font>
    <font>
      <b/>
      <sz val="9"/>
      <color indexed="52"/>
      <name val="Tahoma"/>
      <family val="2"/>
    </font>
  </fonts>
  <fills count="2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52"/>
        <bgColor indexed="64"/>
      </patternFill>
    </fill>
    <fill>
      <patternFill patternType="solid">
        <fgColor indexed="50"/>
        <bgColor indexed="64"/>
      </patternFill>
    </fill>
    <fill>
      <patternFill patternType="solid">
        <fgColor rgb="FFFF000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2" tint="-0.89999084444715716"/>
        <bgColor indexed="64"/>
      </patternFill>
    </fill>
    <fill>
      <patternFill patternType="solid">
        <fgColor theme="0"/>
        <bgColor indexed="64"/>
      </patternFill>
    </fill>
    <fill>
      <patternFill patternType="solid">
        <fgColor theme="1"/>
        <bgColor indexed="64"/>
      </patternFill>
    </fill>
    <fill>
      <patternFill patternType="solid">
        <fgColor rgb="FFDE0000"/>
        <bgColor rgb="FF000000"/>
      </patternFill>
    </fill>
    <fill>
      <patternFill patternType="solid">
        <fgColor rgb="FF000000"/>
        <bgColor rgb="FF000000"/>
      </patternFill>
    </fill>
  </fills>
  <borders count="2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diagonal/>
    </border>
  </borders>
  <cellStyleXfs count="9">
    <xf numFmtId="0" fontId="0" fillId="0" borderId="0"/>
    <xf numFmtId="0" fontId="3" fillId="0" borderId="0"/>
    <xf numFmtId="43" fontId="4"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0" fontId="4" fillId="0" borderId="0"/>
    <xf numFmtId="0" fontId="4" fillId="0" borderId="0"/>
    <xf numFmtId="0" fontId="51" fillId="0" borderId="0" applyNumberFormat="0" applyFill="0" applyBorder="0" applyAlignment="0" applyProtection="0"/>
  </cellStyleXfs>
  <cellXfs count="299">
    <xf numFmtId="0" fontId="0" fillId="0" borderId="0" xfId="0"/>
    <xf numFmtId="0" fontId="0" fillId="9" borderId="0" xfId="0" applyFill="1"/>
    <xf numFmtId="0" fontId="16" fillId="0" borderId="0" xfId="0" applyFont="1"/>
    <xf numFmtId="0" fontId="0" fillId="10" borderId="0" xfId="0" applyFill="1"/>
    <xf numFmtId="0" fontId="0" fillId="0" borderId="0" xfId="0"/>
    <xf numFmtId="0" fontId="4" fillId="0" borderId="0" xfId="3"/>
    <xf numFmtId="0" fontId="5" fillId="0" borderId="0" xfId="3" applyFont="1" applyFill="1" applyAlignment="1">
      <alignment horizontal="center"/>
    </xf>
    <xf numFmtId="0" fontId="5" fillId="3" borderId="0" xfId="3" applyFont="1" applyFill="1" applyAlignment="1">
      <alignment horizontal="center"/>
    </xf>
    <xf numFmtId="0" fontId="5" fillId="5" borderId="0" xfId="3" applyFont="1" applyFill="1" applyAlignment="1">
      <alignment horizontal="center"/>
    </xf>
    <xf numFmtId="0" fontId="4" fillId="0" borderId="0" xfId="3"/>
    <xf numFmtId="0" fontId="5" fillId="0" borderId="0" xfId="3" applyFont="1"/>
    <xf numFmtId="0" fontId="5" fillId="0" borderId="0" xfId="3" applyFont="1" applyFill="1" applyAlignment="1">
      <alignment horizontal="center"/>
    </xf>
    <xf numFmtId="0" fontId="5" fillId="3" borderId="0" xfId="3" applyFont="1" applyFill="1" applyAlignment="1">
      <alignment horizontal="center"/>
    </xf>
    <xf numFmtId="0" fontId="5" fillId="4" borderId="0" xfId="3" applyFont="1" applyFill="1" applyAlignment="1">
      <alignment horizontal="center"/>
    </xf>
    <xf numFmtId="0" fontId="5" fillId="5" borderId="0" xfId="3" applyFont="1" applyFill="1" applyAlignment="1">
      <alignment horizontal="center"/>
    </xf>
    <xf numFmtId="0" fontId="5" fillId="0" borderId="0" xfId="3" applyFont="1" applyBorder="1"/>
    <xf numFmtId="0" fontId="5" fillId="0" borderId="0" xfId="3" applyFont="1" applyBorder="1" applyAlignment="1">
      <alignment horizontal="center"/>
    </xf>
    <xf numFmtId="0" fontId="4" fillId="0" borderId="0" xfId="3"/>
    <xf numFmtId="0" fontId="9" fillId="0" borderId="0" xfId="3" applyFont="1" applyBorder="1"/>
    <xf numFmtId="0" fontId="5" fillId="0" borderId="0" xfId="3" applyFont="1" applyAlignment="1">
      <alignment horizontal="center"/>
    </xf>
    <xf numFmtId="2" fontId="0" fillId="10" borderId="0" xfId="0" applyNumberFormat="1" applyFill="1"/>
    <xf numFmtId="0" fontId="0" fillId="11" borderId="0" xfId="0" applyFill="1"/>
    <xf numFmtId="165" fontId="0" fillId="9" borderId="0" xfId="0" applyNumberFormat="1" applyFill="1"/>
    <xf numFmtId="0" fontId="5" fillId="0" borderId="0" xfId="3" applyFont="1" applyFill="1" applyAlignment="1">
      <alignment horizontal="right"/>
    </xf>
    <xf numFmtId="0" fontId="4" fillId="0" borderId="0" xfId="3" applyFont="1" applyFill="1" applyAlignment="1">
      <alignment horizontal="center"/>
    </xf>
    <xf numFmtId="0" fontId="5" fillId="0" borderId="0" xfId="3" applyFont="1" applyFill="1"/>
    <xf numFmtId="0" fontId="0" fillId="0" borderId="0" xfId="0" applyFill="1"/>
    <xf numFmtId="164" fontId="0" fillId="9" borderId="0" xfId="0" applyNumberFormat="1" applyFill="1"/>
    <xf numFmtId="2" fontId="0" fillId="9" borderId="0" xfId="0" applyNumberFormat="1" applyFill="1"/>
    <xf numFmtId="1" fontId="0" fillId="9" borderId="0" xfId="0" applyNumberFormat="1" applyFill="1"/>
    <xf numFmtId="0" fontId="15" fillId="0" borderId="0" xfId="0" applyFont="1" applyFill="1" applyBorder="1"/>
    <xf numFmtId="0" fontId="0" fillId="0" borderId="0" xfId="0"/>
    <xf numFmtId="164" fontId="0" fillId="0" borderId="0" xfId="0" applyNumberFormat="1"/>
    <xf numFmtId="11" fontId="14" fillId="10" borderId="0" xfId="0" applyNumberFormat="1" applyFont="1" applyFill="1"/>
    <xf numFmtId="0" fontId="17" fillId="0" borderId="0" xfId="0" applyFont="1"/>
    <xf numFmtId="0" fontId="5" fillId="0" borderId="0" xfId="3" applyFont="1" applyAlignment="1">
      <alignment horizontal="center"/>
    </xf>
    <xf numFmtId="167" fontId="0" fillId="9" borderId="0" xfId="0" applyNumberFormat="1" applyFill="1"/>
    <xf numFmtId="11" fontId="0" fillId="9" borderId="0" xfId="0" applyNumberFormat="1" applyFill="1"/>
    <xf numFmtId="0" fontId="5" fillId="0" borderId="0" xfId="3" applyFont="1" applyFill="1" applyAlignment="1">
      <alignment horizontal="left"/>
    </xf>
    <xf numFmtId="166" fontId="0" fillId="9" borderId="0" xfId="0" applyNumberFormat="1" applyFill="1"/>
    <xf numFmtId="0" fontId="14" fillId="10" borderId="0" xfId="0" applyFont="1" applyFill="1"/>
    <xf numFmtId="0" fontId="19" fillId="0" borderId="0" xfId="0" applyFont="1"/>
    <xf numFmtId="0" fontId="21" fillId="0" borderId="0" xfId="0" applyFont="1"/>
    <xf numFmtId="0" fontId="0" fillId="12" borderId="0" xfId="0" applyFill="1"/>
    <xf numFmtId="1" fontId="0" fillId="0" borderId="0" xfId="0" applyNumberFormat="1"/>
    <xf numFmtId="0" fontId="5" fillId="0" borderId="0" xfId="3" applyFont="1" applyAlignment="1">
      <alignment horizontal="center"/>
    </xf>
    <xf numFmtId="0" fontId="22" fillId="0" borderId="0" xfId="0" applyFont="1"/>
    <xf numFmtId="0" fontId="23" fillId="0" borderId="0" xfId="0" applyFont="1"/>
    <xf numFmtId="164" fontId="4" fillId="0" borderId="0" xfId="3" applyNumberFormat="1"/>
    <xf numFmtId="0" fontId="0" fillId="0" borderId="0" xfId="0" applyBorder="1"/>
    <xf numFmtId="2" fontId="0" fillId="0" borderId="0" xfId="0" applyNumberFormat="1" applyBorder="1"/>
    <xf numFmtId="0" fontId="24" fillId="0" borderId="0" xfId="0" applyFont="1"/>
    <xf numFmtId="2" fontId="0" fillId="0" borderId="5" xfId="0" applyNumberFormat="1" applyBorder="1"/>
    <xf numFmtId="2" fontId="0" fillId="0" borderId="7" xfId="0" applyNumberFormat="1" applyBorder="1"/>
    <xf numFmtId="0" fontId="4" fillId="0" borderId="8" xfId="3" applyBorder="1"/>
    <xf numFmtId="0" fontId="0" fillId="0" borderId="8" xfId="0" applyBorder="1"/>
    <xf numFmtId="0" fontId="4" fillId="0" borderId="8" xfId="3" applyFill="1" applyBorder="1"/>
    <xf numFmtId="0" fontId="4" fillId="0" borderId="9" xfId="3" applyFill="1" applyBorder="1"/>
    <xf numFmtId="0" fontId="0" fillId="0" borderId="5" xfId="0" applyBorder="1"/>
    <xf numFmtId="0" fontId="4" fillId="0" borderId="7" xfId="3" applyBorder="1"/>
    <xf numFmtId="0" fontId="4" fillId="0" borderId="7" xfId="3" applyFill="1" applyBorder="1"/>
    <xf numFmtId="0" fontId="0" fillId="0" borderId="6" xfId="0" applyBorder="1"/>
    <xf numFmtId="0" fontId="0" fillId="0" borderId="7" xfId="0" applyBorder="1"/>
    <xf numFmtId="0" fontId="0" fillId="0" borderId="9" xfId="0" applyBorder="1"/>
    <xf numFmtId="164" fontId="0" fillId="0" borderId="0" xfId="0" applyNumberFormat="1" applyBorder="1"/>
    <xf numFmtId="164" fontId="0" fillId="0" borderId="8" xfId="0" applyNumberFormat="1" applyBorder="1"/>
    <xf numFmtId="0" fontId="4" fillId="0" borderId="5" xfId="3" applyBorder="1"/>
    <xf numFmtId="2" fontId="0" fillId="0" borderId="10" xfId="0" applyNumberFormat="1" applyBorder="1"/>
    <xf numFmtId="0" fontId="25" fillId="0" borderId="0" xfId="0" applyFont="1"/>
    <xf numFmtId="0" fontId="26" fillId="0" borderId="0" xfId="3" applyFont="1"/>
    <xf numFmtId="168" fontId="0" fillId="0" borderId="0" xfId="0" applyNumberFormat="1"/>
    <xf numFmtId="0" fontId="0" fillId="0" borderId="2" xfId="0" applyBorder="1"/>
    <xf numFmtId="164" fontId="4" fillId="0" borderId="3" xfId="3" applyNumberFormat="1" applyBorder="1"/>
    <xf numFmtId="0" fontId="4" fillId="0" borderId="3" xfId="3" applyBorder="1"/>
    <xf numFmtId="0" fontId="0" fillId="0" borderId="3" xfId="0" applyBorder="1"/>
    <xf numFmtId="0" fontId="4" fillId="0" borderId="2" xfId="3" applyBorder="1"/>
    <xf numFmtId="164" fontId="0" fillId="0" borderId="3" xfId="0" applyNumberFormat="1" applyBorder="1"/>
    <xf numFmtId="0" fontId="0" fillId="0" borderId="4" xfId="0" applyBorder="1"/>
    <xf numFmtId="164" fontId="4" fillId="0" borderId="0" xfId="3" applyNumberFormat="1" applyBorder="1"/>
    <xf numFmtId="0" fontId="4" fillId="0" borderId="0" xfId="3" applyBorder="1"/>
    <xf numFmtId="164" fontId="4" fillId="0" borderId="8" xfId="3" applyNumberFormat="1" applyBorder="1"/>
    <xf numFmtId="0" fontId="4" fillId="0" borderId="0" xfId="3" applyFill="1" applyBorder="1"/>
    <xf numFmtId="0" fontId="4" fillId="0" borderId="5" xfId="3" applyFill="1" applyBorder="1"/>
    <xf numFmtId="0" fontId="4" fillId="0" borderId="6" xfId="3" applyFill="1" applyBorder="1"/>
    <xf numFmtId="0" fontId="0" fillId="0" borderId="10" xfId="0" applyBorder="1"/>
    <xf numFmtId="0" fontId="0" fillId="0" borderId="11" xfId="0" applyBorder="1"/>
    <xf numFmtId="164" fontId="4" fillId="0" borderId="11" xfId="3" applyNumberFormat="1" applyBorder="1"/>
    <xf numFmtId="0" fontId="4" fillId="0" borderId="11" xfId="3" applyBorder="1"/>
    <xf numFmtId="0" fontId="4" fillId="0" borderId="10" xfId="3" applyBorder="1"/>
    <xf numFmtId="164" fontId="0" fillId="0" borderId="11" xfId="0" applyNumberFormat="1" applyBorder="1"/>
    <xf numFmtId="0" fontId="0" fillId="0" borderId="12" xfId="0" applyBorder="1"/>
    <xf numFmtId="1" fontId="0" fillId="0" borderId="4" xfId="0" applyNumberFormat="1" applyBorder="1"/>
    <xf numFmtId="1" fontId="0" fillId="0" borderId="6" xfId="0" applyNumberFormat="1" applyBorder="1"/>
    <xf numFmtId="1" fontId="0" fillId="0" borderId="9" xfId="0" applyNumberFormat="1" applyBorder="1"/>
    <xf numFmtId="0" fontId="0" fillId="14" borderId="0" xfId="0" applyFill="1"/>
    <xf numFmtId="0" fontId="4" fillId="0" borderId="0" xfId="3" applyFont="1" applyFill="1" applyBorder="1" applyAlignment="1" applyProtection="1">
      <alignment horizontal="left"/>
    </xf>
    <xf numFmtId="0" fontId="4" fillId="0" borderId="8" xfId="3" applyFont="1" applyFill="1" applyBorder="1" applyAlignment="1" applyProtection="1">
      <alignment horizontal="left"/>
    </xf>
    <xf numFmtId="0" fontId="5" fillId="0" borderId="0" xfId="3" applyFont="1" applyAlignment="1">
      <alignment horizontal="center"/>
    </xf>
    <xf numFmtId="0" fontId="0" fillId="6" borderId="0" xfId="0" applyFill="1" applyProtection="1">
      <protection hidden="1"/>
    </xf>
    <xf numFmtId="0" fontId="10" fillId="6" borderId="0" xfId="0" applyFont="1" applyFill="1" applyAlignment="1" applyProtection="1">
      <alignment horizontal="left" vertical="center"/>
      <protection hidden="1"/>
    </xf>
    <xf numFmtId="0" fontId="0" fillId="6" borderId="0" xfId="0" applyFill="1" applyAlignment="1" applyProtection="1">
      <alignment horizontal="right"/>
      <protection hidden="1"/>
    </xf>
    <xf numFmtId="0" fontId="0" fillId="6" borderId="0" xfId="0" applyFill="1" applyBorder="1" applyProtection="1">
      <protection hidden="1"/>
    </xf>
    <xf numFmtId="0" fontId="14" fillId="8" borderId="0" xfId="0" applyFont="1" applyFill="1" applyProtection="1">
      <protection hidden="1"/>
    </xf>
    <xf numFmtId="0" fontId="0" fillId="15" borderId="0" xfId="0" applyFill="1" applyProtection="1">
      <protection hidden="1"/>
    </xf>
    <xf numFmtId="0" fontId="0" fillId="8" borderId="0" xfId="0" applyFill="1" applyBorder="1" applyProtection="1">
      <protection hidden="1"/>
    </xf>
    <xf numFmtId="0" fontId="0" fillId="8" borderId="0" xfId="0" applyFill="1" applyBorder="1" applyAlignment="1" applyProtection="1">
      <alignment horizontal="right"/>
      <protection hidden="1"/>
    </xf>
    <xf numFmtId="0" fontId="14" fillId="8" borderId="0" xfId="0" applyFont="1" applyFill="1" applyBorder="1" applyProtection="1">
      <protection hidden="1"/>
    </xf>
    <xf numFmtId="0" fontId="0" fillId="15" borderId="0" xfId="0" applyFill="1" applyBorder="1" applyProtection="1">
      <protection hidden="1"/>
    </xf>
    <xf numFmtId="0" fontId="2" fillId="8" borderId="0" xfId="0" applyFont="1" applyFill="1" applyBorder="1" applyProtection="1">
      <protection hidden="1"/>
    </xf>
    <xf numFmtId="0" fontId="0" fillId="7" borderId="0" xfId="0" applyFill="1" applyBorder="1" applyProtection="1">
      <protection hidden="1"/>
    </xf>
    <xf numFmtId="0" fontId="2" fillId="8" borderId="0" xfId="0" quotePrefix="1" applyFont="1" applyFill="1" applyBorder="1" applyProtection="1">
      <protection hidden="1"/>
    </xf>
    <xf numFmtId="0" fontId="0" fillId="8" borderId="1" xfId="0" applyFill="1" applyBorder="1" applyProtection="1">
      <protection hidden="1"/>
    </xf>
    <xf numFmtId="0" fontId="0" fillId="8" borderId="1" xfId="0" applyFill="1" applyBorder="1" applyAlignment="1" applyProtection="1">
      <alignment horizontal="right"/>
      <protection hidden="1"/>
    </xf>
    <xf numFmtId="0" fontId="14" fillId="8" borderId="1" xfId="0" applyFont="1" applyFill="1" applyBorder="1" applyProtection="1">
      <protection hidden="1"/>
    </xf>
    <xf numFmtId="0" fontId="0" fillId="15" borderId="1" xfId="0" applyFill="1" applyBorder="1" applyProtection="1">
      <protection hidden="1"/>
    </xf>
    <xf numFmtId="0" fontId="0" fillId="16" borderId="0" xfId="0" applyFill="1" applyProtection="1">
      <protection hidden="1"/>
    </xf>
    <xf numFmtId="0" fontId="0" fillId="16" borderId="0" xfId="0" applyFill="1" applyAlignment="1" applyProtection="1">
      <alignment horizontal="right"/>
      <protection hidden="1"/>
    </xf>
    <xf numFmtId="49" fontId="0" fillId="16" borderId="0" xfId="0" applyNumberFormat="1" applyFill="1" applyProtection="1">
      <protection hidden="1"/>
    </xf>
    <xf numFmtId="0" fontId="0" fillId="16" borderId="0" xfId="0" applyFill="1" applyBorder="1" applyProtection="1">
      <protection hidden="1"/>
    </xf>
    <xf numFmtId="0" fontId="0" fillId="16" borderId="2" xfId="0" applyFill="1" applyBorder="1" applyProtection="1">
      <protection hidden="1"/>
    </xf>
    <xf numFmtId="0" fontId="0" fillId="16" borderId="3" xfId="0" applyFill="1" applyBorder="1" applyProtection="1">
      <protection hidden="1"/>
    </xf>
    <xf numFmtId="0" fontId="12" fillId="16" borderId="3" xfId="3" applyFont="1" applyFill="1" applyBorder="1" applyAlignment="1" applyProtection="1">
      <alignment horizontal="right"/>
      <protection hidden="1"/>
    </xf>
    <xf numFmtId="0" fontId="0" fillId="16" borderId="4" xfId="0" applyFill="1" applyBorder="1" applyProtection="1">
      <protection hidden="1"/>
    </xf>
    <xf numFmtId="0" fontId="0" fillId="16" borderId="5" xfId="0" applyFill="1" applyBorder="1" applyProtection="1">
      <protection hidden="1"/>
    </xf>
    <xf numFmtId="0" fontId="12" fillId="16" borderId="0" xfId="3" applyFont="1" applyFill="1" applyBorder="1" applyAlignment="1" applyProtection="1">
      <alignment horizontal="right"/>
      <protection hidden="1"/>
    </xf>
    <xf numFmtId="0" fontId="0" fillId="16" borderId="6" xfId="0" applyFill="1" applyBorder="1" applyProtection="1">
      <protection hidden="1"/>
    </xf>
    <xf numFmtId="0" fontId="12" fillId="16" borderId="0" xfId="0" applyFont="1" applyFill="1" applyBorder="1" applyProtection="1">
      <protection hidden="1"/>
    </xf>
    <xf numFmtId="0" fontId="0" fillId="16" borderId="8" xfId="0" applyFill="1" applyBorder="1" applyProtection="1">
      <protection hidden="1"/>
    </xf>
    <xf numFmtId="0" fontId="0" fillId="16" borderId="9" xfId="0" applyFill="1" applyBorder="1" applyProtection="1">
      <protection hidden="1"/>
    </xf>
    <xf numFmtId="0" fontId="12" fillId="16" borderId="0" xfId="0" applyFont="1" applyFill="1" applyProtection="1">
      <protection hidden="1"/>
    </xf>
    <xf numFmtId="0" fontId="0" fillId="16" borderId="7" xfId="0" applyFill="1" applyBorder="1" applyProtection="1">
      <protection hidden="1"/>
    </xf>
    <xf numFmtId="0" fontId="12" fillId="16" borderId="8" xfId="3" applyFont="1" applyFill="1" applyBorder="1" applyAlignment="1" applyProtection="1">
      <alignment horizontal="right"/>
      <protection hidden="1"/>
    </xf>
    <xf numFmtId="0" fontId="0" fillId="16" borderId="0" xfId="0" applyFill="1" applyBorder="1" applyAlignment="1" applyProtection="1">
      <alignment horizontal="right"/>
      <protection hidden="1"/>
    </xf>
    <xf numFmtId="0" fontId="16" fillId="16" borderId="6" xfId="0" applyFont="1" applyFill="1" applyBorder="1" applyProtection="1">
      <protection hidden="1"/>
    </xf>
    <xf numFmtId="0" fontId="0" fillId="16" borderId="8" xfId="0" applyFill="1" applyBorder="1" applyAlignment="1" applyProtection="1">
      <alignment horizontal="right"/>
      <protection hidden="1"/>
    </xf>
    <xf numFmtId="0" fontId="16" fillId="16" borderId="9" xfId="0" applyFont="1" applyFill="1" applyBorder="1" applyProtection="1">
      <protection hidden="1"/>
    </xf>
    <xf numFmtId="0" fontId="0" fillId="16" borderId="3" xfId="0" applyFill="1" applyBorder="1" applyAlignment="1" applyProtection="1">
      <alignment horizontal="right"/>
      <protection hidden="1"/>
    </xf>
    <xf numFmtId="0" fontId="15" fillId="16" borderId="2" xfId="0" applyFont="1" applyFill="1" applyBorder="1" applyProtection="1">
      <protection hidden="1"/>
    </xf>
    <xf numFmtId="0" fontId="14" fillId="16" borderId="3" xfId="0" applyFont="1" applyFill="1" applyBorder="1" applyAlignment="1" applyProtection="1">
      <alignment horizontal="right"/>
      <protection hidden="1"/>
    </xf>
    <xf numFmtId="0" fontId="15" fillId="16" borderId="5" xfId="0" applyFont="1" applyFill="1" applyBorder="1" applyProtection="1">
      <protection hidden="1"/>
    </xf>
    <xf numFmtId="0" fontId="22" fillId="16" borderId="0" xfId="0" applyFont="1" applyFill="1" applyBorder="1" applyAlignment="1" applyProtection="1">
      <alignment horizontal="right"/>
      <protection hidden="1"/>
    </xf>
    <xf numFmtId="0" fontId="0" fillId="16" borderId="0" xfId="0" applyFill="1" applyBorder="1" applyAlignment="1" applyProtection="1">
      <alignment horizontal="center"/>
      <protection hidden="1"/>
    </xf>
    <xf numFmtId="1" fontId="0" fillId="16" borderId="0" xfId="0" applyNumberFormat="1" applyFill="1" applyProtection="1">
      <protection hidden="1"/>
    </xf>
    <xf numFmtId="0" fontId="0" fillId="0" borderId="0" xfId="0" applyFill="1" applyProtection="1">
      <protection hidden="1"/>
    </xf>
    <xf numFmtId="0" fontId="27" fillId="13" borderId="0" xfId="0" applyFont="1" applyFill="1" applyProtection="1">
      <protection hidden="1"/>
    </xf>
    <xf numFmtId="0" fontId="0" fillId="13" borderId="0" xfId="0" applyFill="1" applyProtection="1">
      <protection hidden="1"/>
    </xf>
    <xf numFmtId="0" fontId="0" fillId="13" borderId="0" xfId="0" applyFill="1" applyAlignment="1" applyProtection="1">
      <alignment horizontal="right"/>
      <protection hidden="1"/>
    </xf>
    <xf numFmtId="0" fontId="0" fillId="17" borderId="0" xfId="0" applyFill="1" applyProtection="1">
      <protection hidden="1"/>
    </xf>
    <xf numFmtId="0" fontId="0" fillId="17" borderId="0" xfId="0" applyFill="1" applyBorder="1" applyProtection="1">
      <protection hidden="1"/>
    </xf>
    <xf numFmtId="0" fontId="4" fillId="16" borderId="3" xfId="3" applyFont="1" applyFill="1" applyBorder="1" applyAlignment="1" applyProtection="1">
      <alignment horizontal="right"/>
      <protection hidden="1"/>
    </xf>
    <xf numFmtId="0" fontId="4" fillId="16" borderId="4" xfId="3" applyFont="1" applyFill="1" applyBorder="1" applyProtection="1">
      <protection hidden="1"/>
    </xf>
    <xf numFmtId="0" fontId="4" fillId="16" borderId="0" xfId="3" applyFont="1" applyFill="1" applyBorder="1" applyAlignment="1" applyProtection="1">
      <alignment horizontal="right"/>
      <protection hidden="1"/>
    </xf>
    <xf numFmtId="0" fontId="4" fillId="16" borderId="6" xfId="3" applyFont="1" applyFill="1" applyBorder="1" applyProtection="1">
      <protection hidden="1"/>
    </xf>
    <xf numFmtId="0" fontId="4" fillId="16" borderId="8" xfId="3" applyFont="1" applyFill="1" applyBorder="1" applyAlignment="1" applyProtection="1">
      <alignment horizontal="right"/>
      <protection hidden="1"/>
    </xf>
    <xf numFmtId="0" fontId="4" fillId="16" borderId="9" xfId="3" applyFont="1" applyFill="1" applyBorder="1" applyProtection="1">
      <protection hidden="1"/>
    </xf>
    <xf numFmtId="0" fontId="0" fillId="8" borderId="0" xfId="0" applyFill="1" applyProtection="1">
      <protection hidden="1"/>
    </xf>
    <xf numFmtId="0" fontId="0" fillId="8" borderId="0" xfId="0" applyFill="1" applyAlignment="1" applyProtection="1">
      <alignment horizontal="right"/>
      <protection hidden="1"/>
    </xf>
    <xf numFmtId="0" fontId="0" fillId="15" borderId="0" xfId="0" applyFill="1" applyAlignment="1" applyProtection="1">
      <alignment horizontal="right"/>
      <protection hidden="1"/>
    </xf>
    <xf numFmtId="0" fontId="14" fillId="15" borderId="0" xfId="0" applyFont="1" applyFill="1" applyProtection="1">
      <protection hidden="1"/>
    </xf>
    <xf numFmtId="0" fontId="30" fillId="16" borderId="0" xfId="0" applyFont="1" applyFill="1" applyProtection="1">
      <protection hidden="1"/>
    </xf>
    <xf numFmtId="0" fontId="0" fillId="7" borderId="14" xfId="0" applyFill="1" applyBorder="1" applyProtection="1">
      <protection locked="0" hidden="1"/>
    </xf>
    <xf numFmtId="0" fontId="0" fillId="7" borderId="15" xfId="0" applyFill="1" applyBorder="1" applyProtection="1">
      <protection locked="0" hidden="1"/>
    </xf>
    <xf numFmtId="2" fontId="0" fillId="16" borderId="15" xfId="0" applyNumberFormat="1" applyFill="1" applyBorder="1" applyProtection="1">
      <protection hidden="1"/>
    </xf>
    <xf numFmtId="0" fontId="0" fillId="16" borderId="15" xfId="0" applyFill="1" applyBorder="1" applyProtection="1">
      <protection hidden="1"/>
    </xf>
    <xf numFmtId="1" fontId="0" fillId="16" borderId="15" xfId="0" applyNumberFormat="1" applyFill="1" applyBorder="1" applyProtection="1">
      <protection hidden="1"/>
    </xf>
    <xf numFmtId="2" fontId="0" fillId="16" borderId="16" xfId="0" applyNumberFormat="1" applyFill="1" applyBorder="1" applyProtection="1">
      <protection hidden="1"/>
    </xf>
    <xf numFmtId="0" fontId="0" fillId="7" borderId="16" xfId="0" applyFill="1" applyBorder="1" applyProtection="1">
      <protection locked="0" hidden="1"/>
    </xf>
    <xf numFmtId="2" fontId="0" fillId="0" borderId="15" xfId="0" applyNumberFormat="1" applyBorder="1" applyProtection="1">
      <protection hidden="1"/>
    </xf>
    <xf numFmtId="164" fontId="0" fillId="0" borderId="16" xfId="0" applyNumberFormat="1" applyBorder="1" applyProtection="1">
      <protection hidden="1"/>
    </xf>
    <xf numFmtId="2" fontId="0" fillId="0" borderId="14" xfId="0" applyNumberFormat="1" applyBorder="1" applyProtection="1">
      <protection hidden="1"/>
    </xf>
    <xf numFmtId="1" fontId="0" fillId="0" borderId="16" xfId="0" applyNumberFormat="1" applyBorder="1" applyProtection="1">
      <protection hidden="1"/>
    </xf>
    <xf numFmtId="0" fontId="0" fillId="16" borderId="15" xfId="0" applyFill="1" applyBorder="1" applyAlignment="1" applyProtection="1">
      <alignment horizontal="center"/>
      <protection hidden="1"/>
    </xf>
    <xf numFmtId="1" fontId="0" fillId="16" borderId="7" xfId="0" applyNumberFormat="1" applyFill="1" applyBorder="1" applyProtection="1">
      <protection hidden="1"/>
    </xf>
    <xf numFmtId="0" fontId="0" fillId="7" borderId="13" xfId="0" applyFill="1" applyBorder="1" applyProtection="1">
      <protection locked="0" hidden="1"/>
    </xf>
    <xf numFmtId="2" fontId="0" fillId="16" borderId="10" xfId="0" applyNumberFormat="1" applyFill="1" applyBorder="1" applyProtection="1">
      <protection hidden="1"/>
    </xf>
    <xf numFmtId="2" fontId="0" fillId="0" borderId="0" xfId="0" applyNumberFormat="1" applyFill="1"/>
    <xf numFmtId="0" fontId="5" fillId="0" borderId="0" xfId="3" applyFont="1" applyAlignment="1">
      <alignment horizontal="center"/>
    </xf>
    <xf numFmtId="0" fontId="0" fillId="0" borderId="0" xfId="0" applyNumberFormat="1" applyFill="1"/>
    <xf numFmtId="0" fontId="0" fillId="16" borderId="16" xfId="0" applyFill="1" applyBorder="1" applyProtection="1">
      <protection hidden="1"/>
    </xf>
    <xf numFmtId="2" fontId="0" fillId="11" borderId="0" xfId="0" applyNumberFormat="1" applyFill="1"/>
    <xf numFmtId="0" fontId="3" fillId="0" borderId="0" xfId="3" applyFont="1"/>
    <xf numFmtId="0" fontId="3" fillId="11" borderId="0" xfId="3" applyFont="1" applyFill="1"/>
    <xf numFmtId="0" fontId="5" fillId="9" borderId="0" xfId="3" applyFont="1" applyFill="1" applyAlignment="1">
      <alignment horizontal="center"/>
    </xf>
    <xf numFmtId="2" fontId="0" fillId="16" borderId="0" xfId="0" applyNumberFormat="1" applyFill="1" applyBorder="1" applyProtection="1">
      <protection hidden="1"/>
    </xf>
    <xf numFmtId="0" fontId="0" fillId="16" borderId="14" xfId="0" applyFill="1" applyBorder="1" applyProtection="1">
      <protection hidden="1"/>
    </xf>
    <xf numFmtId="2" fontId="30" fillId="0" borderId="0" xfId="0" applyNumberFormat="1" applyFont="1" applyFill="1"/>
    <xf numFmtId="169" fontId="0" fillId="9" borderId="0" xfId="0" applyNumberFormat="1" applyFill="1"/>
    <xf numFmtId="0" fontId="0" fillId="6" borderId="0" xfId="0" applyFill="1"/>
    <xf numFmtId="0" fontId="30" fillId="0" borderId="0" xfId="0" applyFont="1" applyFill="1"/>
    <xf numFmtId="0" fontId="5" fillId="0" borderId="0" xfId="3" applyFont="1" applyAlignment="1">
      <alignment horizontal="center"/>
    </xf>
    <xf numFmtId="0" fontId="0" fillId="16" borderId="15" xfId="0" applyFont="1" applyFill="1" applyBorder="1" applyAlignment="1" applyProtection="1">
      <alignment vertical="top"/>
      <protection hidden="1"/>
    </xf>
    <xf numFmtId="0" fontId="0" fillId="0" borderId="15" xfId="0" applyFill="1" applyBorder="1" applyProtection="1">
      <protection hidden="1"/>
    </xf>
    <xf numFmtId="0" fontId="16" fillId="16" borderId="10" xfId="0" applyFont="1" applyFill="1" applyBorder="1" applyAlignment="1" applyProtection="1">
      <alignment horizontal="left"/>
      <protection hidden="1"/>
    </xf>
    <xf numFmtId="0" fontId="0" fillId="16" borderId="7" xfId="0" applyFill="1" applyBorder="1" applyAlignment="1" applyProtection="1">
      <alignment horizontal="left"/>
      <protection hidden="1"/>
    </xf>
    <xf numFmtId="0" fontId="32" fillId="0" borderId="0" xfId="0" applyFont="1"/>
    <xf numFmtId="0" fontId="0" fillId="0" borderId="0" xfId="0" applyFont="1"/>
    <xf numFmtId="0" fontId="33" fillId="0" borderId="0" xfId="0" applyFont="1"/>
    <xf numFmtId="0" fontId="0" fillId="0" borderId="0" xfId="0" applyFill="1" applyAlignment="1" applyProtection="1">
      <alignment horizontal="right"/>
      <protection hidden="1"/>
    </xf>
    <xf numFmtId="0" fontId="16" fillId="16" borderId="15" xfId="0" applyFont="1" applyFill="1" applyBorder="1" applyProtection="1">
      <protection hidden="1"/>
    </xf>
    <xf numFmtId="0" fontId="14" fillId="16" borderId="0" xfId="0" applyFont="1" applyFill="1" applyBorder="1" applyAlignment="1" applyProtection="1">
      <alignment horizontal="right"/>
      <protection hidden="1"/>
    </xf>
    <xf numFmtId="0" fontId="0" fillId="7" borderId="14" xfId="0" applyFont="1" applyFill="1" applyBorder="1" applyAlignment="1" applyProtection="1">
      <alignment horizontal="right" vertical="top"/>
      <protection hidden="1"/>
    </xf>
    <xf numFmtId="170" fontId="0" fillId="10" borderId="0" xfId="0" applyNumberFormat="1" applyFill="1"/>
    <xf numFmtId="0" fontId="0" fillId="0" borderId="0" xfId="0" applyAlignment="1">
      <alignment horizontal="right"/>
    </xf>
    <xf numFmtId="0" fontId="12" fillId="16" borderId="3" xfId="0" applyFont="1" applyFill="1" applyBorder="1" applyProtection="1">
      <protection hidden="1"/>
    </xf>
    <xf numFmtId="168" fontId="0" fillId="0" borderId="15" xfId="0" applyNumberFormat="1" applyFill="1" applyBorder="1" applyProtection="1">
      <protection hidden="1"/>
    </xf>
    <xf numFmtId="168" fontId="0" fillId="0" borderId="15" xfId="0" applyNumberFormat="1" applyBorder="1" applyProtection="1">
      <protection hidden="1"/>
    </xf>
    <xf numFmtId="2" fontId="0" fillId="0" borderId="16" xfId="0" applyNumberFormat="1" applyBorder="1" applyProtection="1">
      <protection hidden="1"/>
    </xf>
    <xf numFmtId="0" fontId="0" fillId="16" borderId="0" xfId="0" applyFill="1" applyBorder="1"/>
    <xf numFmtId="0" fontId="0" fillId="0" borderId="0" xfId="0" applyBorder="1" applyAlignment="1">
      <alignment horizontal="center"/>
    </xf>
    <xf numFmtId="0" fontId="0" fillId="0" borderId="3" xfId="0" applyBorder="1" applyAlignment="1">
      <alignment horizontal="center"/>
    </xf>
    <xf numFmtId="0" fontId="0" fillId="0" borderId="0" xfId="0" applyBorder="1" applyAlignment="1"/>
    <xf numFmtId="0" fontId="0" fillId="0" borderId="6" xfId="0" applyBorder="1" applyAlignment="1"/>
    <xf numFmtId="171" fontId="0" fillId="10" borderId="0" xfId="0" applyNumberFormat="1" applyFill="1"/>
    <xf numFmtId="0" fontId="0" fillId="0" borderId="0" xfId="0" applyBorder="1" applyAlignment="1">
      <alignment horizontal="center" wrapText="1"/>
    </xf>
    <xf numFmtId="0" fontId="0" fillId="0" borderId="0" xfId="0" applyFill="1" applyBorder="1"/>
    <xf numFmtId="0" fontId="0" fillId="14" borderId="0" xfId="0" applyFill="1" applyBorder="1"/>
    <xf numFmtId="0" fontId="0" fillId="7" borderId="0" xfId="0" applyFill="1" applyBorder="1"/>
    <xf numFmtId="0" fontId="0" fillId="14" borderId="6" xfId="0" applyFill="1"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0" fillId="14" borderId="5" xfId="0" applyFill="1" applyBorder="1"/>
    <xf numFmtId="0" fontId="0" fillId="7" borderId="6" xfId="0" applyFill="1" applyBorder="1"/>
    <xf numFmtId="0" fontId="0" fillId="0" borderId="5" xfId="0" applyBorder="1" applyAlignment="1"/>
    <xf numFmtId="168" fontId="0" fillId="16" borderId="0" xfId="0" applyNumberFormat="1" applyFill="1" applyBorder="1" applyProtection="1">
      <protection hidden="1"/>
    </xf>
    <xf numFmtId="0" fontId="16" fillId="16" borderId="0" xfId="0" applyFont="1" applyFill="1" applyBorder="1" applyProtection="1">
      <protection hidden="1"/>
    </xf>
    <xf numFmtId="0" fontId="0" fillId="0" borderId="0" xfId="0" applyFill="1" applyBorder="1" applyProtection="1">
      <protection hidden="1"/>
    </xf>
    <xf numFmtId="0" fontId="4" fillId="16" borderId="0" xfId="3" applyFont="1" applyFill="1" applyBorder="1" applyProtection="1">
      <protection hidden="1"/>
    </xf>
    <xf numFmtId="0" fontId="12" fillId="16" borderId="0" xfId="0" applyFont="1" applyFill="1" applyBorder="1" applyAlignment="1" applyProtection="1">
      <alignment horizontal="right"/>
      <protection hidden="1"/>
    </xf>
    <xf numFmtId="0" fontId="35" fillId="16" borderId="0" xfId="0" applyFont="1" applyFill="1" applyBorder="1" applyProtection="1">
      <protection hidden="1"/>
    </xf>
    <xf numFmtId="0" fontId="35" fillId="16" borderId="0" xfId="0" applyFont="1" applyFill="1" applyBorder="1" applyAlignment="1" applyProtection="1">
      <alignment horizontal="center"/>
      <protection hidden="1"/>
    </xf>
    <xf numFmtId="0" fontId="35" fillId="16" borderId="0" xfId="0" applyFont="1" applyFill="1" applyProtection="1">
      <protection hidden="1"/>
    </xf>
    <xf numFmtId="0" fontId="12" fillId="16" borderId="2" xfId="0" applyFont="1" applyFill="1" applyBorder="1" applyProtection="1">
      <protection hidden="1"/>
    </xf>
    <xf numFmtId="0" fontId="34" fillId="16" borderId="0" xfId="0" applyFont="1" applyFill="1" applyBorder="1" applyAlignment="1" applyProtection="1">
      <alignment horizontal="right"/>
      <protection hidden="1"/>
    </xf>
    <xf numFmtId="0" fontId="0" fillId="0" borderId="17" xfId="0" applyBorder="1"/>
    <xf numFmtId="0" fontId="0" fillId="0" borderId="17" xfId="0" applyFill="1" applyBorder="1"/>
    <xf numFmtId="0" fontId="0" fillId="16" borderId="18" xfId="0" applyFill="1" applyBorder="1" applyProtection="1">
      <protection hidden="1"/>
    </xf>
    <xf numFmtId="0" fontId="15" fillId="16" borderId="0" xfId="0" applyFont="1" applyFill="1" applyBorder="1" applyAlignment="1" applyProtection="1">
      <alignment horizontal="right"/>
      <protection hidden="1"/>
    </xf>
    <xf numFmtId="0" fontId="36" fillId="0" borderId="0" xfId="0" applyFont="1"/>
    <xf numFmtId="0" fontId="0" fillId="0" borderId="19" xfId="0" applyBorder="1"/>
    <xf numFmtId="0" fontId="0" fillId="0" borderId="20" xfId="0" applyBorder="1"/>
    <xf numFmtId="0" fontId="0" fillId="0" borderId="20" xfId="0" applyFill="1" applyBorder="1"/>
    <xf numFmtId="0" fontId="0" fillId="0" borderId="21" xfId="0" applyBorder="1"/>
    <xf numFmtId="0" fontId="0" fillId="0" borderId="21" xfId="0" applyFill="1" applyBorder="1"/>
    <xf numFmtId="0" fontId="35" fillId="16" borderId="2" xfId="0" applyFont="1" applyFill="1" applyBorder="1" applyProtection="1">
      <protection hidden="1"/>
    </xf>
    <xf numFmtId="0" fontId="3" fillId="0" borderId="0" xfId="3" applyFont="1" applyFill="1" applyBorder="1" applyAlignment="1" applyProtection="1">
      <alignment horizontal="left"/>
    </xf>
    <xf numFmtId="49" fontId="0" fillId="16" borderId="0" xfId="0" applyNumberFormat="1" applyFill="1" applyAlignment="1" applyProtection="1">
      <alignment horizontal="right"/>
      <protection hidden="1"/>
    </xf>
    <xf numFmtId="0" fontId="37" fillId="16" borderId="0" xfId="0" applyFont="1" applyFill="1" applyBorder="1" applyProtection="1">
      <protection hidden="1"/>
    </xf>
    <xf numFmtId="0" fontId="37" fillId="16" borderId="0" xfId="0" applyFont="1" applyFill="1" applyProtection="1">
      <protection hidden="1"/>
    </xf>
    <xf numFmtId="0" fontId="0" fillId="0" borderId="0" xfId="0" applyBorder="1" applyProtection="1">
      <protection hidden="1"/>
    </xf>
    <xf numFmtId="0" fontId="38" fillId="16" borderId="0" xfId="0" applyFont="1" applyFill="1" applyBorder="1" applyAlignment="1" applyProtection="1">
      <alignment horizontal="left"/>
      <protection hidden="1"/>
    </xf>
    <xf numFmtId="0" fontId="16" fillId="16" borderId="16" xfId="0" applyFont="1" applyFill="1" applyBorder="1" applyProtection="1">
      <protection hidden="1"/>
    </xf>
    <xf numFmtId="0" fontId="0" fillId="0" borderId="14" xfId="0" applyFill="1" applyBorder="1" applyProtection="1">
      <protection hidden="1"/>
    </xf>
    <xf numFmtId="2" fontId="0" fillId="16" borderId="14" xfId="0" applyNumberFormat="1" applyFill="1" applyBorder="1" applyProtection="1">
      <protection hidden="1"/>
    </xf>
    <xf numFmtId="0" fontId="1" fillId="16" borderId="3" xfId="3" applyFont="1" applyFill="1" applyBorder="1" applyAlignment="1" applyProtection="1">
      <alignment horizontal="right"/>
      <protection hidden="1"/>
    </xf>
    <xf numFmtId="0" fontId="16" fillId="16" borderId="14" xfId="0" applyFont="1" applyFill="1" applyBorder="1" applyProtection="1">
      <protection hidden="1"/>
    </xf>
    <xf numFmtId="0" fontId="52" fillId="0" borderId="0" xfId="0" applyFont="1" applyFill="1" applyBorder="1"/>
    <xf numFmtId="0" fontId="53" fillId="0" borderId="0" xfId="0" applyFont="1" applyFill="1" applyBorder="1" applyAlignment="1">
      <alignment horizontal="center"/>
    </xf>
    <xf numFmtId="49" fontId="53" fillId="0" borderId="0" xfId="0" applyNumberFormat="1" applyFont="1" applyFill="1" applyBorder="1" applyAlignment="1">
      <alignment horizontal="left"/>
    </xf>
    <xf numFmtId="0" fontId="54" fillId="0" borderId="0" xfId="0" applyFont="1" applyFill="1" applyBorder="1"/>
    <xf numFmtId="0" fontId="55" fillId="0" borderId="0" xfId="8" applyFont="1" applyFill="1" applyBorder="1" applyAlignment="1">
      <alignment vertical="center"/>
    </xf>
    <xf numFmtId="0" fontId="55" fillId="0" borderId="0" xfId="8" applyFont="1" applyFill="1" applyBorder="1" applyAlignment="1">
      <alignment horizontal="right" vertical="center"/>
    </xf>
    <xf numFmtId="0" fontId="53" fillId="0" borderId="0" xfId="0" applyFont="1" applyFill="1" applyBorder="1" applyAlignment="1">
      <alignment horizontal="left"/>
    </xf>
    <xf numFmtId="0" fontId="52" fillId="0" borderId="0" xfId="0" applyFont="1" applyFill="1" applyBorder="1" applyAlignment="1">
      <alignment horizontal="center"/>
    </xf>
    <xf numFmtId="0" fontId="52" fillId="0" borderId="0" xfId="0" applyFont="1" applyFill="1" applyBorder="1" applyAlignment="1">
      <alignment horizontal="left"/>
    </xf>
    <xf numFmtId="0" fontId="54" fillId="0" borderId="0" xfId="0" applyFont="1" applyFill="1" applyBorder="1" applyAlignment="1">
      <alignment horizontal="center"/>
    </xf>
    <xf numFmtId="0" fontId="3" fillId="0" borderId="0" xfId="0" applyFont="1" applyFill="1" applyBorder="1" applyAlignment="1"/>
    <xf numFmtId="0" fontId="56" fillId="19" borderId="0" xfId="0" applyFont="1" applyFill="1" applyBorder="1" applyAlignment="1">
      <alignment horizontal="center"/>
    </xf>
    <xf numFmtId="49" fontId="54" fillId="0" borderId="0" xfId="0" applyNumberFormat="1" applyFont="1" applyFill="1" applyBorder="1" applyAlignment="1">
      <alignment horizontal="center"/>
    </xf>
    <xf numFmtId="0" fontId="54" fillId="0" borderId="0" xfId="0" applyFont="1" applyFill="1" applyBorder="1" applyAlignment="1">
      <alignment wrapText="1"/>
    </xf>
    <xf numFmtId="0" fontId="57" fillId="0" borderId="0" xfId="8" applyFont="1" applyFill="1" applyBorder="1" applyAlignment="1">
      <alignment vertical="center"/>
    </xf>
    <xf numFmtId="17" fontId="0" fillId="16" borderId="0" xfId="0" quotePrefix="1" applyNumberFormat="1" applyFill="1" applyBorder="1" applyProtection="1">
      <protection hidden="1"/>
    </xf>
    <xf numFmtId="0" fontId="51" fillId="8" borderId="0" xfId="8" applyFill="1" applyBorder="1" applyAlignment="1" applyProtection="1">
      <alignment horizontal="center"/>
      <protection locked="0" hidden="1"/>
    </xf>
    <xf numFmtId="0" fontId="52" fillId="0" borderId="0" xfId="0" applyFont="1" applyFill="1" applyBorder="1" applyAlignment="1">
      <alignment horizontal="center"/>
    </xf>
    <xf numFmtId="0" fontId="52" fillId="18" borderId="0" xfId="0" applyFont="1" applyFill="1" applyBorder="1" applyAlignment="1">
      <alignment horizontal="center"/>
    </xf>
    <xf numFmtId="0" fontId="56" fillId="19" borderId="0" xfId="0" applyFont="1" applyFill="1" applyBorder="1" applyAlignment="1">
      <alignment horizontal="left"/>
    </xf>
    <xf numFmtId="0" fontId="54" fillId="0" borderId="0" xfId="0" applyFont="1" applyFill="1" applyBorder="1" applyAlignment="1">
      <alignment horizontal="left"/>
    </xf>
    <xf numFmtId="0" fontId="54" fillId="0" borderId="0" xfId="0" applyFont="1" applyFill="1" applyBorder="1" applyAlignment="1">
      <alignment wrapText="1"/>
    </xf>
    <xf numFmtId="0" fontId="6" fillId="2" borderId="0" xfId="3" applyFont="1" applyFill="1" applyAlignment="1">
      <alignment horizontal="center"/>
    </xf>
    <xf numFmtId="0" fontId="5" fillId="0" borderId="0" xfId="3" applyFont="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2" fillId="0" borderId="10" xfId="0" applyFont="1" applyBorder="1" applyAlignment="1">
      <alignment horizontal="center"/>
    </xf>
    <xf numFmtId="0" fontId="4" fillId="0" borderId="0" xfId="3"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2" borderId="0" xfId="3" applyFont="1" applyFill="1"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5" xfId="0" applyBorder="1" applyAlignment="1">
      <alignment horizontal="center" wrapText="1"/>
    </xf>
    <xf numFmtId="0" fontId="0" fillId="0" borderId="0" xfId="0" applyBorder="1" applyAlignment="1">
      <alignment horizontal="center" wrapText="1"/>
    </xf>
    <xf numFmtId="0" fontId="0" fillId="0" borderId="6" xfId="0" applyBorder="1" applyAlignment="1">
      <alignment horizontal="center" wrapText="1"/>
    </xf>
  </cellXfs>
  <cellStyles count="9">
    <cellStyle name="Comma 2" xfId="5" xr:uid="{00000000-0005-0000-0000-000000000000}"/>
    <cellStyle name="Comma 3" xfId="2" xr:uid="{00000000-0005-0000-0000-000001000000}"/>
    <cellStyle name="Hyperlink" xfId="8" builtinId="8"/>
    <cellStyle name="Normal" xfId="0" builtinId="0"/>
    <cellStyle name="Normal 2" xfId="3" xr:uid="{00000000-0005-0000-0000-000003000000}"/>
    <cellStyle name="Normal 3" xfId="4" xr:uid="{00000000-0005-0000-0000-000004000000}"/>
    <cellStyle name="Normal 4" xfId="1" xr:uid="{00000000-0005-0000-0000-000005000000}"/>
    <cellStyle name="Normal 4 2" xfId="7" xr:uid="{00000000-0005-0000-0000-000006000000}"/>
    <cellStyle name="Normal 4 3" xfId="6" xr:uid="{00000000-0005-0000-0000-000007000000}"/>
  </cellStyles>
  <dxfs count="25">
    <dxf>
      <font>
        <color theme="0"/>
      </font>
      <fill>
        <patternFill>
          <bgColor theme="0"/>
        </patternFill>
      </fill>
      <border>
        <left style="hair">
          <color theme="0"/>
        </left>
        <right style="hair">
          <color theme="0"/>
        </right>
        <top style="hair">
          <color theme="0"/>
        </top>
        <bottom style="hair">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left/>
        <right/>
        <top/>
        <bottom/>
        <vertical/>
        <horizontal/>
      </border>
    </dxf>
    <dxf>
      <font>
        <strike/>
      </font>
      <fill>
        <patternFill>
          <bgColor theme="0" tint="-0.24994659260841701"/>
        </patternFill>
      </fill>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val="0"/>
        <color theme="0"/>
      </font>
      <fill>
        <patternFill>
          <bgColor theme="0"/>
        </patternFill>
      </fill>
      <border>
        <left/>
        <right/>
        <top/>
        <bottom/>
        <vertical/>
        <horizontal/>
      </border>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C000"/>
        </patternFill>
      </fill>
    </dxf>
    <dxf>
      <fill>
        <patternFill>
          <bgColor rgb="FFFF0000"/>
        </patternFill>
      </fill>
    </dxf>
    <dxf>
      <font>
        <color rgb="FFFF0000"/>
      </font>
    </dxf>
    <dxf>
      <font>
        <color rgb="FFFF0000"/>
      </font>
    </dxf>
    <dxf>
      <fill>
        <patternFill>
          <bgColor rgb="FFFF0000"/>
        </patternFill>
      </fill>
    </dxf>
    <dxf>
      <fill>
        <patternFill>
          <bgColor rgb="FFFF0000"/>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Plant Transfer</a:t>
            </a:r>
            <a:r>
              <a:rPr lang="en-US" baseline="0"/>
              <a:t> Function</a:t>
            </a:r>
            <a:endParaRPr lang="en-US"/>
          </a:p>
        </c:rich>
      </c:tx>
      <c:overlay val="0"/>
    </c:title>
    <c:autoTitleDeleted val="0"/>
    <c:plotArea>
      <c:layout/>
      <c:scatterChart>
        <c:scatterStyle val="smoothMarker"/>
        <c:varyColors val="0"/>
        <c:ser>
          <c:idx val="0"/>
          <c:order val="0"/>
          <c:tx>
            <c:v>Gain(dB)</c:v>
          </c:tx>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CCM_Loop_Modeling_Isolated!$AD$19:$AD$560</c:f>
              <c:numCache>
                <c:formatCode>0.000</c:formatCode>
                <c:ptCount val="542"/>
                <c:pt idx="0">
                  <c:v>50.747870060884878</c:v>
                </c:pt>
                <c:pt idx="1">
                  <c:v>50.62612061297213</c:v>
                </c:pt>
                <c:pt idx="2">
                  <c:v>50.502188865322061</c:v>
                </c:pt>
                <c:pt idx="3">
                  <c:v>50.376098728294451</c:v>
                </c:pt>
                <c:pt idx="4">
                  <c:v>50.247875970457656</c:v>
                </c:pt>
                <c:pt idx="5">
                  <c:v>50.117548120552257</c:v>
                </c:pt>
                <c:pt idx="6">
                  <c:v>49.98514436478154</c:v>
                </c:pt>
                <c:pt idx="7">
                  <c:v>49.850695440199885</c:v>
                </c:pt>
                <c:pt idx="8">
                  <c:v>49.714233524976393</c:v>
                </c:pt>
                <c:pt idx="9">
                  <c:v>49.575792126305018</c:v>
                </c:pt>
                <c:pt idx="10">
                  <c:v>49.435405966719401</c:v>
                </c:pt>
                <c:pt idx="11">
                  <c:v>49.293110869551874</c:v>
                </c:pt>
                <c:pt idx="12">
                  <c:v>49.148943644246323</c:v>
                </c:pt>
                <c:pt idx="13">
                  <c:v>49.00294197220046</c:v>
                </c:pt>
                <c:pt idx="14">
                  <c:v>48.855144293775901</c:v>
                </c:pt>
                <c:pt idx="15">
                  <c:v>48.705589697067978</c:v>
                </c:pt>
                <c:pt idx="16">
                  <c:v>48.554317808981118</c:v>
                </c:pt>
                <c:pt idx="17">
                  <c:v>48.401368689105936</c:v>
                </c:pt>
                <c:pt idx="18">
                  <c:v>48.246782726840458</c:v>
                </c:pt>
                <c:pt idx="19">
                  <c:v>48.090600542147556</c:v>
                </c:pt>
                <c:pt idx="20">
                  <c:v>47.932862890285662</c:v>
                </c:pt>
                <c:pt idx="21">
                  <c:v>47.773610570797729</c:v>
                </c:pt>
                <c:pt idx="22">
                  <c:v>47.61288434099307</c:v>
                </c:pt>
                <c:pt idx="23">
                  <c:v>47.450724834104918</c:v>
                </c:pt>
                <c:pt idx="24">
                  <c:v>47.28717248226198</c:v>
                </c:pt>
                <c:pt idx="25">
                  <c:v>47.122267444363636</c:v>
                </c:pt>
                <c:pt idx="26">
                  <c:v>46.956049538910705</c:v>
                </c:pt>
                <c:pt idx="27">
                  <c:v>46.788558181799672</c:v>
                </c:pt>
                <c:pt idx="28">
                  <c:v>46.619832329058283</c:v>
                </c:pt>
                <c:pt idx="29">
                  <c:v>46.449910424462615</c:v>
                </c:pt>
                <c:pt idx="30">
                  <c:v>46.278830351951882</c:v>
                </c:pt>
                <c:pt idx="31">
                  <c:v>46.10662939272725</c:v>
                </c:pt>
                <c:pt idx="32">
                  <c:v>45.93334418690354</c:v>
                </c:pt>
                <c:pt idx="33">
                  <c:v>45.75901069955875</c:v>
                </c:pt>
                <c:pt idx="34">
                  <c:v>45.583664191016197</c:v>
                </c:pt>
                <c:pt idx="35">
                  <c:v>45.407339191176419</c:v>
                </c:pt>
                <c:pt idx="36">
                  <c:v>45.230069477708739</c:v>
                </c:pt>
                <c:pt idx="37">
                  <c:v>45.051888057904804</c:v>
                </c:pt>
                <c:pt idx="38">
                  <c:v>44.87282715399067</c:v>
                </c:pt>
                <c:pt idx="39">
                  <c:v>44.692918191691014</c:v>
                </c:pt>
                <c:pt idx="40">
                  <c:v>44.512191791839442</c:v>
                </c:pt>
                <c:pt idx="41">
                  <c:v>44.330677764827456</c:v>
                </c:pt>
                <c:pt idx="42">
                  <c:v>44.148405107689882</c:v>
                </c:pt>
                <c:pt idx="43">
                  <c:v>43.965402003624888</c:v>
                </c:pt>
                <c:pt idx="44">
                  <c:v>43.781695823754305</c:v>
                </c:pt>
                <c:pt idx="45">
                  <c:v>43.597313130934161</c:v>
                </c:pt>
                <c:pt idx="46">
                  <c:v>43.41227968543167</c:v>
                </c:pt>
                <c:pt idx="47">
                  <c:v>43.226620452294142</c:v>
                </c:pt>
                <c:pt idx="48">
                  <c:v>43.040359610238959</c:v>
                </c:pt>
                <c:pt idx="49">
                  <c:v>42.853520561906713</c:v>
                </c:pt>
                <c:pt idx="50">
                  <c:v>42.666125945323415</c:v>
                </c:pt>
                <c:pt idx="51">
                  <c:v>42.478197646428683</c:v>
                </c:pt>
                <c:pt idx="52">
                  <c:v>42.289756812534669</c:v>
                </c:pt>
                <c:pt idx="53">
                  <c:v>42.100823866588364</c:v>
                </c:pt>
                <c:pt idx="54">
                  <c:v>41.911418522118623</c:v>
                </c:pt>
                <c:pt idx="55">
                  <c:v>41.721559798757824</c:v>
                </c:pt>
                <c:pt idx="56">
                  <c:v>41.53126603823538</c:v>
                </c:pt>
                <c:pt idx="57">
                  <c:v>41.340554920748588</c:v>
                </c:pt>
                <c:pt idx="58">
                  <c:v>41.149443481622953</c:v>
                </c:pt>
                <c:pt idx="59">
                  <c:v>40.957948128182636</c:v>
                </c:pt>
                <c:pt idx="60">
                  <c:v>40.766084656757727</c:v>
                </c:pt>
                <c:pt idx="61">
                  <c:v>40.573868269760865</c:v>
                </c:pt>
                <c:pt idx="62">
                  <c:v>40.381313592773864</c:v>
                </c:pt>
                <c:pt idx="63">
                  <c:v>40.188434691588341</c:v>
                </c:pt>
                <c:pt idx="64">
                  <c:v>39.995245089153293</c:v>
                </c:pt>
                <c:pt idx="65">
                  <c:v>39.801757782382928</c:v>
                </c:pt>
                <c:pt idx="66">
                  <c:v>39.607985258788581</c:v>
                </c:pt>
                <c:pt idx="67">
                  <c:v>39.413939512897727</c:v>
                </c:pt>
                <c:pt idx="68">
                  <c:v>39.219632062431458</c:v>
                </c:pt>
                <c:pt idx="69">
                  <c:v>39.025073964213107</c:v>
                </c:pt>
                <c:pt idx="70">
                  <c:v>38.830275829785123</c:v>
                </c:pt>
                <c:pt idx="71">
                  <c:v>38.635247840715401</c:v>
                </c:pt>
                <c:pt idx="72">
                  <c:v>38.43999976357599</c:v>
                </c:pt>
                <c:pt idx="73">
                  <c:v>38.244540964580395</c:v>
                </c:pt>
                <c:pt idx="74">
                  <c:v>38.048880423869136</c:v>
                </c:pt>
                <c:pt idx="75">
                  <c:v>37.853026749433724</c:v>
                </c:pt>
                <c:pt idx="76">
                  <c:v>37.656988190673658</c:v>
                </c:pt>
                <c:pt idx="77">
                  <c:v>37.460772651580193</c:v>
                </c:pt>
                <c:pt idx="78">
                  <c:v>37.264387703545268</c:v>
                </c:pt>
                <c:pt idx="79">
                  <c:v>37.06784059779315</c:v>
                </c:pt>
                <c:pt idx="80">
                  <c:v>36.871138277435179</c:v>
                </c:pt>
                <c:pt idx="81">
                  <c:v>36.67428738914839</c:v>
                </c:pt>
                <c:pt idx="82">
                  <c:v>36.477294294480799</c:v>
                </c:pt>
                <c:pt idx="83">
                  <c:v>36.280165080785622</c:v>
                </c:pt>
                <c:pt idx="84">
                  <c:v>36.082905571789574</c:v>
                </c:pt>
                <c:pt idx="85">
                  <c:v>35.885521337799084</c:v>
                </c:pt>
                <c:pt idx="86">
                  <c:v>35.688017705550095</c:v>
                </c:pt>
                <c:pt idx="87">
                  <c:v>35.490399767707871</c:v>
                </c:pt>
                <c:pt idx="88">
                  <c:v>35.292672392022205</c:v>
                </c:pt>
                <c:pt idx="89">
                  <c:v>35.094840230145735</c:v>
                </c:pt>
                <c:pt idx="90">
                  <c:v>34.896907726122031</c:v>
                </c:pt>
                <c:pt idx="91">
                  <c:v>34.698879124550352</c:v>
                </c:pt>
                <c:pt idx="92">
                  <c:v>34.500758478435515</c:v>
                </c:pt>
                <c:pt idx="93">
                  <c:v>34.302549656729589</c:v>
                </c:pt>
                <c:pt idx="94">
                  <c:v>34.104256351573618</c:v>
                </c:pt>
                <c:pt idx="95">
                  <c:v>33.905882085247214</c:v>
                </c:pt>
                <c:pt idx="96">
                  <c:v>33.707430216833274</c:v>
                </c:pt>
                <c:pt idx="97">
                  <c:v>33.508903948605855</c:v>
                </c:pt>
                <c:pt idx="98">
                  <c:v>33.310306332149239</c:v>
                </c:pt>
                <c:pt idx="99">
                  <c:v>33.111640274215347</c:v>
                </c:pt>
                <c:pt idx="100">
                  <c:v>32.912908542326889</c:v>
                </c:pt>
                <c:pt idx="101">
                  <c:v>32.714113770134212</c:v>
                </c:pt>
                <c:pt idx="102">
                  <c:v>32.515258462532429</c:v>
                </c:pt>
                <c:pt idx="103">
                  <c:v>32.316345000546335</c:v>
                </c:pt>
                <c:pt idx="104">
                  <c:v>32.117375645989746</c:v>
                </c:pt>
                <c:pt idx="105">
                  <c:v>31.9183525459066</c:v>
                </c:pt>
                <c:pt idx="106">
                  <c:v>31.719277736798972</c:v>
                </c:pt>
                <c:pt idx="107">
                  <c:v>31.520153148649769</c:v>
                </c:pt>
                <c:pt idx="108">
                  <c:v>31.320980608745671</c:v>
                </c:pt>
                <c:pt idx="109">
                  <c:v>31.121761845306139</c:v>
                </c:pt>
                <c:pt idx="110">
                  <c:v>30.922498490923701</c:v>
                </c:pt>
                <c:pt idx="111">
                  <c:v>30.723192085822333</c:v>
                </c:pt>
                <c:pt idx="112">
                  <c:v>30.523844080937664</c:v>
                </c:pt>
                <c:pt idx="113">
                  <c:v>30.324455840824989</c:v>
                </c:pt>
                <c:pt idx="114">
                  <c:v>30.12502864639924</c:v>
                </c:pt>
                <c:pt idx="115">
                  <c:v>29.925563697512203</c:v>
                </c:pt>
                <c:pt idx="116">
                  <c:v>29.726062115370038</c:v>
                </c:pt>
                <c:pt idx="117">
                  <c:v>29.526524944797266</c:v>
                </c:pt>
                <c:pt idx="118">
                  <c:v>29.326953156348186</c:v>
                </c:pt>
                <c:pt idx="119">
                  <c:v>29.127347648272327</c:v>
                </c:pt>
                <c:pt idx="120">
                  <c:v>28.927709248335205</c:v>
                </c:pt>
                <c:pt idx="121">
                  <c:v>28.728038715498169</c:v>
                </c:pt>
                <c:pt idx="122">
                  <c:v>28.528336741461228</c:v>
                </c:pt>
                <c:pt idx="123">
                  <c:v>28.328603952069695</c:v>
                </c:pt>
                <c:pt idx="124">
                  <c:v>28.128840908588721</c:v>
                </c:pt>
                <c:pt idx="125">
                  <c:v>27.929048108847574</c:v>
                </c:pt>
                <c:pt idx="126">
                  <c:v>27.729225988254896</c:v>
                </c:pt>
                <c:pt idx="127">
                  <c:v>27.529374920688198</c:v>
                </c:pt>
                <c:pt idx="128">
                  <c:v>27.329495219258</c:v>
                </c:pt>
                <c:pt idx="129">
                  <c:v>27.129587136948018</c:v>
                </c:pt>
                <c:pt idx="130">
                  <c:v>26.92965086713415</c:v>
                </c:pt>
                <c:pt idx="131">
                  <c:v>26.729686543980272</c:v>
                </c:pt>
                <c:pt idx="132">
                  <c:v>26.529694242715195</c:v>
                </c:pt>
                <c:pt idx="133">
                  <c:v>26.329673979787739</c:v>
                </c:pt>
                <c:pt idx="134">
                  <c:v>26.129625712903088</c:v>
                </c:pt>
                <c:pt idx="135">
                  <c:v>25.929549340938674</c:v>
                </c:pt>
                <c:pt idx="136">
                  <c:v>25.729444703740274</c:v>
                </c:pt>
                <c:pt idx="137">
                  <c:v>25.529311581797604</c:v>
                </c:pt>
                <c:pt idx="138">
                  <c:v>25.329149695799845</c:v>
                </c:pt>
                <c:pt idx="139">
                  <c:v>25.128958706068264</c:v>
                </c:pt>
                <c:pt idx="140">
                  <c:v>24.928738211867369</c:v>
                </c:pt>
                <c:pt idx="141">
                  <c:v>24.728487750591455</c:v>
                </c:pt>
                <c:pt idx="142">
                  <c:v>24.52820679682624</c:v>
                </c:pt>
                <c:pt idx="143">
                  <c:v>24.327894761283829</c:v>
                </c:pt>
                <c:pt idx="144">
                  <c:v>24.127550989608487</c:v>
                </c:pt>
                <c:pt idx="145">
                  <c:v>23.927174761051823</c:v>
                </c:pt>
                <c:pt idx="146">
                  <c:v>23.72676528701507</c:v>
                </c:pt>
                <c:pt idx="147">
                  <c:v>23.526321709455431</c:v>
                </c:pt>
                <c:pt idx="148">
                  <c:v>23.325843099154532</c:v>
                </c:pt>
                <c:pt idx="149">
                  <c:v>23.125328453845064</c:v>
                </c:pt>
                <c:pt idx="150">
                  <c:v>22.924776696193618</c:v>
                </c:pt>
                <c:pt idx="151">
                  <c:v>22.724186671635497</c:v>
                </c:pt>
                <c:pt idx="152">
                  <c:v>22.523557146057904</c:v>
                </c:pt>
                <c:pt idx="153">
                  <c:v>22.322886803328153</c:v>
                </c:pt>
                <c:pt idx="154">
                  <c:v>22.122174242662538</c:v>
                </c:pt>
                <c:pt idx="155">
                  <c:v>21.921417975831808</c:v>
                </c:pt>
                <c:pt idx="156">
                  <c:v>21.720616424198738</c:v>
                </c:pt>
                <c:pt idx="157">
                  <c:v>21.519767915582271</c:v>
                </c:pt>
                <c:pt idx="158">
                  <c:v>21.318870680945381</c:v>
                </c:pt>
                <c:pt idx="159">
                  <c:v>21.117922850898832</c:v>
                </c:pt>
                <c:pt idx="160">
                  <c:v>20.916922452017989</c:v>
                </c:pt>
                <c:pt idx="161">
                  <c:v>20.71586740296582</c:v>
                </c:pt>
                <c:pt idx="162">
                  <c:v>20.514755510416126</c:v>
                </c:pt>
                <c:pt idx="163">
                  <c:v>20.313584464772497</c:v>
                </c:pt>
                <c:pt idx="164">
                  <c:v>20.112351835675323</c:v>
                </c:pt>
                <c:pt idx="165">
                  <c:v>19.911055067291709</c:v>
                </c:pt>
                <c:pt idx="166">
                  <c:v>19.709691473381746</c:v>
                </c:pt>
                <c:pt idx="167">
                  <c:v>19.508258232133706</c:v>
                </c:pt>
                <c:pt idx="168">
                  <c:v>19.306752380763037</c:v>
                </c:pt>
                <c:pt idx="169">
                  <c:v>19.105170809866816</c:v>
                </c:pt>
                <c:pt idx="170">
                  <c:v>18.903510257527792</c:v>
                </c:pt>
                <c:pt idx="171">
                  <c:v>18.701767303160963</c:v>
                </c:pt>
                <c:pt idx="172">
                  <c:v>18.499938361095182</c:v>
                </c:pt>
                <c:pt idx="173">
                  <c:v>18.298019673883392</c:v>
                </c:pt>
                <c:pt idx="174">
                  <c:v>18.096007305334346</c:v>
                </c:pt>
                <c:pt idx="175">
                  <c:v>17.893897133258683</c:v>
                </c:pt>
                <c:pt idx="176">
                  <c:v>17.69168484192301</c:v>
                </c:pt>
                <c:pt idx="177">
                  <c:v>17.489365914204743</c:v>
                </c:pt>
                <c:pt idx="178">
                  <c:v>17.286935623441916</c:v>
                </c:pt>
                <c:pt idx="179">
                  <c:v>17.084389024971202</c:v>
                </c:pt>
                <c:pt idx="180">
                  <c:v>16.881720947348487</c:v>
                </c:pt>
                <c:pt idx="181">
                  <c:v>16.678925983246454</c:v>
                </c:pt>
                <c:pt idx="182">
                  <c:v>16.475998480024298</c:v>
                </c:pt>
                <c:pt idx="183">
                  <c:v>16.272932529964617</c:v>
                </c:pt>
                <c:pt idx="184">
                  <c:v>16.069721960174018</c:v>
                </c:pt>
                <c:pt idx="185">
                  <c:v>15.8663603221442</c:v>
                </c:pt>
                <c:pt idx="186">
                  <c:v>15.662840880970993</c:v>
                </c:pt>
                <c:pt idx="187">
                  <c:v>15.459156604230195</c:v>
                </c:pt>
                <c:pt idx="188">
                  <c:v>15.255300150509781</c:v>
                </c:pt>
                <c:pt idx="189">
                  <c:v>15.051263857599711</c:v>
                </c:pt>
                <c:pt idx="190">
                  <c:v>14.847039730341047</c:v>
                </c:pt>
                <c:pt idx="191">
                  <c:v>14.642619428138829</c:v>
                </c:pt>
                <c:pt idx="192">
                  <c:v>14.437994252143929</c:v>
                </c:pt>
                <c:pt idx="193">
                  <c:v>14.233155132111099</c:v>
                </c:pt>
                <c:pt idx="194">
                  <c:v>14.028092612943198</c:v>
                </c:pt>
                <c:pt idx="195">
                  <c:v>13.822796840932902</c:v>
                </c:pt>
                <c:pt idx="196">
                  <c:v>13.617257549716182</c:v>
                </c:pt>
                <c:pt idx="197">
                  <c:v>13.411464045954773</c:v>
                </c:pt>
                <c:pt idx="198">
                  <c:v>13.205405194768263</c:v>
                </c:pt>
                <c:pt idx="199">
                  <c:v>12.99906940493733</c:v>
                </c:pt>
                <c:pt idx="200">
                  <c:v>12.792444613906749</c:v>
                </c:pt>
                <c:pt idx="201">
                  <c:v>12.58551827261822</c:v>
                </c:pt>
                <c:pt idx="202">
                  <c:v>12.378277330207819</c:v>
                </c:pt>
                <c:pt idx="203">
                  <c:v>12.170708218606789</c:v>
                </c:pt>
                <c:pt idx="204">
                  <c:v>11.962796837090631</c:v>
                </c:pt>
                <c:pt idx="205">
                  <c:v>11.754528536825667</c:v>
                </c:pt>
                <c:pt idx="206">
                  <c:v>11.545888105466997</c:v>
                </c:pt>
                <c:pt idx="207">
                  <c:v>11.336859751867935</c:v>
                </c:pt>
                <c:pt idx="208">
                  <c:v>11.127427090969315</c:v>
                </c:pt>
                <c:pt idx="209">
                  <c:v>10.917573128940226</c:v>
                </c:pt>
                <c:pt idx="210">
                  <c:v>10.707280248649365</c:v>
                </c:pt>
                <c:pt idx="211">
                  <c:v>10.496530195556566</c:v>
                </c:pt>
                <c:pt idx="212">
                  <c:v>10.285304064116589</c:v>
                </c:pt>
                <c:pt idx="213">
                  <c:v>10.073582284798256</c:v>
                </c:pt>
                <c:pt idx="214">
                  <c:v>9.861344611829562</c:v>
                </c:pt>
                <c:pt idx="215">
                  <c:v>9.6485701117866842</c:v>
                </c:pt>
                <c:pt idx="216">
                  <c:v>9.4352371531536754</c:v>
                </c:pt>
                <c:pt idx="217">
                  <c:v>9.2213233969894617</c:v>
                </c:pt>
                <c:pt idx="218">
                  <c:v>9.0068057888440372</c:v>
                </c:pt>
                <c:pt idx="219">
                  <c:v>8.7916605520789002</c:v>
                </c:pt>
                <c:pt idx="220">
                  <c:v>8.5758631827510463</c:v>
                </c:pt>
                <c:pt idx="221">
                  <c:v>8.359388446230728</c:v>
                </c:pt>
                <c:pt idx="222">
                  <c:v>8.1422103757311941</c:v>
                </c:pt>
                <c:pt idx="223">
                  <c:v>7.9243022729335184</c:v>
                </c:pt>
                <c:pt idx="224">
                  <c:v>7.7056367109010857</c:v>
                </c:pt>
                <c:pt idx="225">
                  <c:v>7.4861855394808652</c:v>
                </c:pt>
                <c:pt idx="226">
                  <c:v>7.2659198933949263</c:v>
                </c:pt>
                <c:pt idx="227">
                  <c:v>7.0448102032329789</c:v>
                </c:pt>
                <c:pt idx="228">
                  <c:v>6.8228262095556156</c:v>
                </c:pt>
                <c:pt idx="229">
                  <c:v>6.5999369803215746</c:v>
                </c:pt>
                <c:pt idx="230">
                  <c:v>6.3761109318562239</c:v>
                </c:pt>
                <c:pt idx="231">
                  <c:v>6.1513158535682697</c:v>
                </c:pt>
                <c:pt idx="232">
                  <c:v>5.925518936628511</c:v>
                </c:pt>
                <c:pt idx="233">
                  <c:v>5.6986868068093717</c:v>
                </c:pt>
                <c:pt idx="234">
                  <c:v>5.4707855616822378</c:v>
                </c:pt>
                <c:pt idx="235">
                  <c:v>5.2417808123541807</c:v>
                </c:pt>
                <c:pt idx="236">
                  <c:v>5.0116377299144377</c:v>
                </c:pt>
                <c:pt idx="237">
                  <c:v>4.7803210967430783</c:v>
                </c:pt>
                <c:pt idx="238">
                  <c:v>4.5477953628136172</c:v>
                </c:pt>
                <c:pt idx="239">
                  <c:v>4.3140247070989446</c:v>
                </c:pt>
                <c:pt idx="240">
                  <c:v>4.0789731041628805</c:v>
                </c:pt>
                <c:pt idx="241">
                  <c:v>3.8426043959879701</c:v>
                </c:pt>
                <c:pt idx="242">
                  <c:v>3.6048823690580041</c:v>
                </c:pt>
                <c:pt idx="243">
                  <c:v>3.3657708366769756</c:v>
                </c:pt>
                <c:pt idx="244">
                  <c:v>3.125233726462517</c:v>
                </c:pt>
                <c:pt idx="245">
                  <c:v>2.8832351729122792</c:v>
                </c:pt>
                <c:pt idx="246">
                  <c:v>2.6397396148936396</c:v>
                </c:pt>
                <c:pt idx="247">
                  <c:v>2.3947118978570798</c:v>
                </c:pt>
                <c:pt idx="248">
                  <c:v>2.1481173805258131</c:v>
                </c:pt>
                <c:pt idx="249">
                  <c:v>1.8999220457585095</c:v>
                </c:pt>
                <c:pt idx="250">
                  <c:v>1.6500926152315607</c:v>
                </c:pt>
                <c:pt idx="251">
                  <c:v>1.3985966675314476</c:v>
                </c:pt>
                <c:pt idx="252">
                  <c:v>1.1454027591967386</c:v>
                </c:pt>
                <c:pt idx="253">
                  <c:v>0.89048054819485911</c:v>
                </c:pt>
                <c:pt idx="254">
                  <c:v>0.63380091927161264</c:v>
                </c:pt>
                <c:pt idx="255">
                  <c:v>0.37533611056195926</c:v>
                </c:pt>
                <c:pt idx="256">
                  <c:v>0.11505984081011059</c:v>
                </c:pt>
                <c:pt idx="257">
                  <c:v>-0.14705256349454646</c:v>
                </c:pt>
                <c:pt idx="258">
                  <c:v>-0.41102404178859864</c:v>
                </c:pt>
                <c:pt idx="259">
                  <c:v>-0.67687567466431586</c:v>
                </c:pt>
                <c:pt idx="260">
                  <c:v>-0.94462656142785395</c:v>
                </c:pt>
                <c:pt idx="261">
                  <c:v>-1.2142937007664081</c:v>
                </c:pt>
                <c:pt idx="262">
                  <c:v>-1.4858918753087382</c:v>
                </c:pt>
                <c:pt idx="263">
                  <c:v>-1.7594335408559727</c:v>
                </c:pt>
                <c:pt idx="264">
                  <c:v>-2.0349287210453606</c:v>
                </c:pt>
                <c:pt idx="265">
                  <c:v>-2.3123849081835637</c:v>
                </c:pt>
                <c:pt idx="266">
                  <c:v>-2.5918069709533578</c:v>
                </c:pt>
                <c:pt idx="267">
                  <c:v>-2.8731970696535187</c:v>
                </c:pt>
                <c:pt idx="268">
                  <c:v>-3.1565545795798871</c:v>
                </c:pt>
                <c:pt idx="269">
                  <c:v>-3.4418760230962335</c:v>
                </c:pt>
                <c:pt idx="270">
                  <c:v>-3.7291550108761395</c:v>
                </c:pt>
                <c:pt idx="271">
                  <c:v>-4.0183821927230863</c:v>
                </c:pt>
                <c:pt idx="272">
                  <c:v>-4.3095452182980125</c:v>
                </c:pt>
                <c:pt idx="273">
                  <c:v>-4.6026287080006378</c:v>
                </c:pt>
                <c:pt idx="274">
                  <c:v>-4.897614234164986</c:v>
                </c:pt>
                <c:pt idx="275">
                  <c:v>-5.1944803126433303</c:v>
                </c:pt>
                <c:pt idx="276">
                  <c:v>-5.4932024047659036</c:v>
                </c:pt>
                <c:pt idx="277">
                  <c:v>-5.7937529295784804</c:v>
                </c:pt>
                <c:pt idx="278">
                  <c:v>-6.096101286178655</c:v>
                </c:pt>
                <c:pt idx="279">
                  <c:v>-6.4002138858918443</c:v>
                </c:pt>
                <c:pt idx="280">
                  <c:v>-6.7060541939585114</c:v>
                </c:pt>
                <c:pt idx="281">
                  <c:v>-7.0135827803346888</c:v>
                </c:pt>
                <c:pt idx="282">
                  <c:v>-7.3227573791536766</c:v>
                </c:pt>
                <c:pt idx="283">
                  <c:v>-7.6335329563427763</c:v>
                </c:pt>
                <c:pt idx="284">
                  <c:v>-7.945861784851437</c:v>
                </c:pt>
                <c:pt idx="285">
                  <c:v>-8.2596935269128196</c:v>
                </c:pt>
                <c:pt idx="286">
                  <c:v>-8.5749753227404106</c:v>
                </c:pt>
                <c:pt idx="287">
                  <c:v>-8.8916518850480948</c:v>
                </c:pt>
                <c:pt idx="288">
                  <c:v>-9.2096655987787361</c:v>
                </c:pt>
                <c:pt idx="289">
                  <c:v>-9.5289566254322882</c:v>
                </c:pt>
                <c:pt idx="290">
                  <c:v>-9.8494630113993793</c:v>
                </c:pt>
                <c:pt idx="291">
                  <c:v>-10.171120799726696</c:v>
                </c:pt>
                <c:pt idx="292">
                  <c:v>-10.493864144772759</c:v>
                </c:pt>
                <c:pt idx="293">
                  <c:v>-10.817625429243341</c:v>
                </c:pt>
                <c:pt idx="294">
                  <c:v>-11.142335383141223</c:v>
                </c:pt>
                <c:pt idx="295">
                  <c:v>-11.467923204204842</c:v>
                </c:pt>
                <c:pt idx="296">
                  <c:v>-11.794316679460984</c:v>
                </c:pt>
                <c:pt idx="297">
                  <c:v>-12.121442307564044</c:v>
                </c:pt>
                <c:pt idx="298">
                  <c:v>-12.449225421643806</c:v>
                </c:pt>
                <c:pt idx="299">
                  <c:v>-12.777590312436324</c:v>
                </c:pt>
                <c:pt idx="300">
                  <c:v>-13.106460351516942</c:v>
                </c:pt>
                <c:pt idx="301">
                  <c:v>-13.435758114502168</c:v>
                </c:pt>
                <c:pt idx="302">
                  <c:v>-13.765405504130872</c:v>
                </c:pt>
                <c:pt idx="303">
                  <c:v>-14.095323873171923</c:v>
                </c:pt>
                <c:pt idx="304">
                  <c:v>-14.425434147140264</c:v>
                </c:pt>
                <c:pt idx="305">
                  <c:v>-14.755656946832156</c:v>
                </c:pt>
                <c:pt idx="306">
                  <c:v>-15.085912710712757</c:v>
                </c:pt>
                <c:pt idx="307">
                  <c:v>-15.416121817205326</c:v>
                </c:pt>
                <c:pt idx="308">
                  <c:v>-15.746204706941121</c:v>
                </c:pt>
                <c:pt idx="309">
                  <c:v>-16.076082005032436</c:v>
                </c:pt>
                <c:pt idx="310">
                  <c:v>-16.405674643428185</c:v>
                </c:pt>
                <c:pt idx="311">
                  <c:v>-16.734903983397519</c:v>
                </c:pt>
                <c:pt idx="312">
                  <c:v>-17.063691938175051</c:v>
                </c:pt>
                <c:pt idx="313">
                  <c:v>-17.391961095774093</c:v>
                </c:pt>
                <c:pt idx="314">
                  <c:v>-17.71963484194535</c:v>
                </c:pt>
                <c:pt idx="315">
                  <c:v>-18.04663748322649</c:v>
                </c:pt>
                <c:pt idx="316">
                  <c:v>-18.372894369986035</c:v>
                </c:pt>
                <c:pt idx="317">
                  <c:v>-18.698332019324454</c:v>
                </c:pt>
                <c:pt idx="318">
                  <c:v>-19.022878237645934</c:v>
                </c:pt>
                <c:pt idx="319">
                  <c:v>-19.34646224266849</c:v>
                </c:pt>
                <c:pt idx="320">
                  <c:v>-19.669014784590992</c:v>
                </c:pt>
                <c:pt idx="321">
                  <c:v>-19.990468266081336</c:v>
                </c:pt>
                <c:pt idx="322">
                  <c:v>-20.310756860705808</c:v>
                </c:pt>
                <c:pt idx="323">
                  <c:v>-20.629816629370232</c:v>
                </c:pt>
                <c:pt idx="324">
                  <c:v>-20.947585634300729</c:v>
                </c:pt>
                <c:pt idx="325">
                  <c:v>-21.264004050048449</c:v>
                </c:pt>
                <c:pt idx="326">
                  <c:v>-21.579014270973772</c:v>
                </c:pt>
                <c:pt idx="327">
                  <c:v>-21.892561014632825</c:v>
                </c:pt>
                <c:pt idx="328">
                  <c:v>-22.204591420467761</c:v>
                </c:pt>
                <c:pt idx="329">
                  <c:v>-22.515055143192871</c:v>
                </c:pt>
                <c:pt idx="330">
                  <c:v>-22.823904440256342</c:v>
                </c:pt>
                <c:pt idx="331">
                  <c:v>-23.131094252771234</c:v>
                </c:pt>
                <c:pt idx="332">
                  <c:v>-23.436582279312187</c:v>
                </c:pt>
                <c:pt idx="333">
                  <c:v>-23.740329042007723</c:v>
                </c:pt>
                <c:pt idx="334">
                  <c:v>-24.042297944382</c:v>
                </c:pt>
                <c:pt idx="335">
                  <c:v>-24.342455320447712</c:v>
                </c:pt>
                <c:pt idx="336">
                  <c:v>-24.640770474599055</c:v>
                </c:pt>
                <c:pt idx="337">
                  <c:v>-24.937215711916178</c:v>
                </c:pt>
                <c:pt idx="338">
                  <c:v>-25.231766358554264</c:v>
                </c:pt>
                <c:pt idx="339">
                  <c:v>-25.524400771968992</c:v>
                </c:pt>
                <c:pt idx="340">
                  <c:v>-25.8151003408029</c:v>
                </c:pt>
                <c:pt idx="341">
                  <c:v>-26.103849474345424</c:v>
                </c:pt>
                <c:pt idx="342">
                  <c:v>-26.390635581558971</c:v>
                </c:pt>
                <c:pt idx="343">
                  <c:v>-26.675449039754024</c:v>
                </c:pt>
                <c:pt idx="344">
                  <c:v>-26.958283153081545</c:v>
                </c:pt>
                <c:pt idx="345">
                  <c:v>-27.23913410109602</c:v>
                </c:pt>
                <c:pt idx="346">
                  <c:v>-27.518000877724941</c:v>
                </c:pt>
                <c:pt idx="347">
                  <c:v>-27.794885221057847</c:v>
                </c:pt>
                <c:pt idx="348">
                  <c:v>-28.069791534444182</c:v>
                </c:pt>
                <c:pt idx="349">
                  <c:v>-28.34272679944975</c:v>
                </c:pt>
                <c:pt idx="350">
                  <c:v>-28.613700481287594</c:v>
                </c:pt>
                <c:pt idx="351">
                  <c:v>-28.882724427383231</c:v>
                </c:pt>
                <c:pt idx="352">
                  <c:v>-29.14981275978208</c:v>
                </c:pt>
                <c:pt idx="353">
                  <c:v>-29.414981762135575</c:v>
                </c:pt>
                <c:pt idx="354">
                  <c:v>-29.678249762030553</c:v>
                </c:pt>
                <c:pt idx="355">
                  <c:v>-29.93963700943565</c:v>
                </c:pt>
                <c:pt idx="356">
                  <c:v>-30.199165552049063</c:v>
                </c:pt>
                <c:pt idx="357">
                  <c:v>-30.456859108325013</c:v>
                </c:pt>
                <c:pt idx="358">
                  <c:v>-30.712742938944871</c:v>
                </c:pt>
                <c:pt idx="359">
                  <c:v>-30.966843717480156</c:v>
                </c:pt>
                <c:pt idx="360">
                  <c:v>-31.21918940096641</c:v>
                </c:pt>
                <c:pt idx="361">
                  <c:v>-31.469809101074247</c:v>
                </c:pt>
                <c:pt idx="362">
                  <c:v>-31.718732956525201</c:v>
                </c:pt>
                <c:pt idx="363">
                  <c:v>-31.965992007355606</c:v>
                </c:pt>
                <c:pt idx="364">
                  <c:v>-32.211618071586685</c:v>
                </c:pt>
                <c:pt idx="365">
                  <c:v>-32.455643624805845</c:v>
                </c:pt>
                <c:pt idx="366">
                  <c:v>-32.698101683116519</c:v>
                </c:pt>
                <c:pt idx="367">
                  <c:v>-32.939025689855882</c:v>
                </c:pt>
                <c:pt idx="368">
                  <c:v>-33.178449406431831</c:v>
                </c:pt>
                <c:pt idx="369">
                  <c:v>-33.416406807572152</c:v>
                </c:pt>
                <c:pt idx="370">
                  <c:v>-33.652931981232186</c:v>
                </c:pt>
                <c:pt idx="371">
                  <c:v>-33.888059033352377</c:v>
                </c:pt>
                <c:pt idx="372">
                  <c:v>-34.121821997613246</c:v>
                </c:pt>
                <c:pt idx="373">
                  <c:v>-34.354254750285698</c:v>
                </c:pt>
                <c:pt idx="374">
                  <c:v>-34.585390930235278</c:v>
                </c:pt>
                <c:pt idx="375">
                  <c:v>-34.815263864096899</c:v>
                </c:pt>
                <c:pt idx="376">
                  <c:v>-35.043906496603164</c:v>
                </c:pt>
                <c:pt idx="377">
                  <c:v>-35.271351326013161</c:v>
                </c:pt>
                <c:pt idx="378">
                  <c:v>-35.497630344562921</c:v>
                </c:pt>
                <c:pt idx="379">
                  <c:v>-35.722774983830348</c:v>
                </c:pt>
                <c:pt idx="380">
                  <c:v>-35.946816064887898</c:v>
                </c:pt>
                <c:pt idx="381">
                  <c:v>-36.169783753094485</c:v>
                </c:pt>
                <c:pt idx="382">
                  <c:v>-36.391707517365049</c:v>
                </c:pt>
                <c:pt idx="383">
                  <c:v>-36.612616093743512</c:v>
                </c:pt>
                <c:pt idx="384">
                  <c:v>-36.832537453093835</c:v>
                </c:pt>
                <c:pt idx="385">
                  <c:v>-37.05149877271969</c:v>
                </c:pt>
                <c:pt idx="386">
                  <c:v>-37.269526411716349</c:v>
                </c:pt>
                <c:pt idx="387">
                  <c:v>-37.486645889860625</c:v>
                </c:pt>
                <c:pt idx="388">
                  <c:v>-37.702881869840155</c:v>
                </c:pt>
                <c:pt idx="389">
                  <c:v>-37.918258142629739</c:v>
                </c:pt>
                <c:pt idx="390">
                  <c:v>-38.132797615825659</c:v>
                </c:pt>
                <c:pt idx="391">
                  <c:v>-38.346522304752767</c:v>
                </c:pt>
                <c:pt idx="392">
                  <c:v>-38.559453326167386</c:v>
                </c:pt>
                <c:pt idx="393">
                  <c:v>-38.771610894388708</c:v>
                </c:pt>
                <c:pt idx="394">
                  <c:v>-38.983014319697183</c:v>
                </c:pt>
                <c:pt idx="395">
                  <c:v>-39.19368200885102</c:v>
                </c:pt>
                <c:pt idx="396">
                  <c:v>-39.403631467581384</c:v>
                </c:pt>
                <c:pt idx="397">
                  <c:v>-39.612879304938481</c:v>
                </c:pt>
                <c:pt idx="398">
                  <c:v>-39.821441239371588</c:v>
                </c:pt>
                <c:pt idx="399">
                  <c:v>-40.029332106438986</c:v>
                </c:pt>
                <c:pt idx="400">
                  <c:v>-40.23656586805572</c:v>
                </c:pt>
                <c:pt idx="401">
                  <c:v>-40.443155623196972</c:v>
                </c:pt>
                <c:pt idx="402">
                  <c:v>-40.649113619990956</c:v>
                </c:pt>
                <c:pt idx="403">
                  <c:v>-40.85445126914405</c:v>
                </c:pt>
                <c:pt idx="404">
                  <c:v>-41.059179158653329</c:v>
                </c:pt>
                <c:pt idx="405">
                  <c:v>-41.263307069775415</c:v>
                </c:pt>
                <c:pt idx="406">
                  <c:v>-41.46684399422773</c:v>
                </c:pt>
                <c:pt idx="407">
                  <c:v>-41.669798152613573</c:v>
                </c:pt>
                <c:pt idx="408">
                  <c:v>-41.872177014070175</c:v>
                </c:pt>
                <c:pt idx="409">
                  <c:v>-42.07398731714764</c:v>
                </c:pt>
                <c:pt idx="410">
                  <c:v>-42.275235091940495</c:v>
                </c:pt>
                <c:pt idx="411">
                  <c:v>-42.475925683495312</c:v>
                </c:pt>
                <c:pt idx="412">
                  <c:v>-42.676063776531954</c:v>
                </c:pt>
                <c:pt idx="413">
                  <c:v>-42.875653421518166</c:v>
                </c:pt>
                <c:pt idx="414">
                  <c:v>-43.074698062144662</c:v>
                </c:pt>
                <c:pt idx="415">
                  <c:v>-43.273200564252711</c:v>
                </c:pt>
                <c:pt idx="416">
                  <c:v>-43.471163246268858</c:v>
                </c:pt>
                <c:pt idx="417">
                  <c:v>-43.668587911203652</c:v>
                </c:pt>
                <c:pt idx="418">
                  <c:v>-43.865475880271759</c:v>
                </c:pt>
                <c:pt idx="419">
                  <c:v>-44.06182802818968</c:v>
                </c:pt>
                <c:pt idx="420">
                  <c:v>-44.257644820205641</c:v>
                </c:pt>
                <c:pt idx="421">
                  <c:v>-44.452926350910495</c:v>
                </c:pt>
                <c:pt idx="422">
                  <c:v>-44.647672384871207</c:v>
                </c:pt>
                <c:pt idx="423">
                  <c:v>-44.841882399123904</c:v>
                </c:pt>
                <c:pt idx="424">
                  <c:v>-45.035555627547865</c:v>
                </c:pt>
                <c:pt idx="425">
                  <c:v>-45.228691107132235</c:v>
                </c:pt>
                <c:pt idx="426">
                  <c:v>-45.421287726132363</c:v>
                </c:pt>
                <c:pt idx="427">
                  <c:v>-45.613344274091745</c:v>
                </c:pt>
                <c:pt idx="428">
                  <c:v>-45.804859493690103</c:v>
                </c:pt>
                <c:pt idx="429">
                  <c:v>-45.995832134354153</c:v>
                </c:pt>
                <c:pt idx="430">
                  <c:v>-46.18626100753989</c:v>
                </c:pt>
                <c:pt idx="431">
                  <c:v>-46.376145043575974</c:v>
                </c:pt>
                <c:pt idx="432">
                  <c:v>-46.565483349920129</c:v>
                </c:pt>
                <c:pt idx="433">
                  <c:v>-46.754275270657629</c:v>
                </c:pt>
                <c:pt idx="434">
                  <c:v>-46.942520447032706</c:v>
                </c:pt>
                <c:pt idx="435">
                  <c:v>-47.130218878773881</c:v>
                </c:pt>
                <c:pt idx="436">
                  <c:v>-47.317370985937487</c:v>
                </c:pt>
                <c:pt idx="437">
                  <c:v>-47.50397767096036</c:v>
                </c:pt>
                <c:pt idx="438">
                  <c:v>-47.690040380575155</c:v>
                </c:pt>
                <c:pt idx="439">
                  <c:v>-47.875561167210243</c:v>
                </c:pt>
                <c:pt idx="440">
                  <c:v>-48.06054274946068</c:v>
                </c:pt>
                <c:pt idx="441">
                  <c:v>-48.244988571186823</c:v>
                </c:pt>
                <c:pt idx="442">
                  <c:v>-48.428902858767621</c:v>
                </c:pt>
                <c:pt idx="443">
                  <c:v>-48.612290676011902</c:v>
                </c:pt>
                <c:pt idx="444">
                  <c:v>-48.795157976208621</c:v>
                </c:pt>
                <c:pt idx="445">
                  <c:v>-48.977511650782752</c:v>
                </c:pt>
                <c:pt idx="446">
                  <c:v>-49.159359574012697</c:v>
                </c:pt>
                <c:pt idx="447">
                  <c:v>-49.340710643261943</c:v>
                </c:pt>
                <c:pt idx="448">
                  <c:v>-49.521574814183076</c:v>
                </c:pt>
                <c:pt idx="449">
                  <c:v>-49.701963130361719</c:v>
                </c:pt>
                <c:pt idx="450">
                  <c:v>-49.881887746892197</c:v>
                </c:pt>
                <c:pt idx="451">
                  <c:v>-50.061361947401423</c:v>
                </c:pt>
                <c:pt idx="452">
                  <c:v>-50.240400154079893</c:v>
                </c:pt>
                <c:pt idx="453">
                  <c:v>-50.419017930324443</c:v>
                </c:pt>
                <c:pt idx="454">
                  <c:v>-50.597231975652818</c:v>
                </c:pt>
                <c:pt idx="455">
                  <c:v>-50.775060112616742</c:v>
                </c:pt>
                <c:pt idx="456">
                  <c:v>-50.952521265511379</c:v>
                </c:pt>
                <c:pt idx="457">
                  <c:v>-51.129635430761809</c:v>
                </c:pt>
                <c:pt idx="458">
                  <c:v>-51.306423638949411</c:v>
                </c:pt>
                <c:pt idx="459">
                  <c:v>-51.482907908536497</c:v>
                </c:pt>
                <c:pt idx="460">
                  <c:v>-51.659111191439671</c:v>
                </c:pt>
                <c:pt idx="461">
                  <c:v>-51.835057310700734</c:v>
                </c:pt>
                <c:pt idx="462">
                  <c:v>-52.010770890600753</c:v>
                </c:pt>
                <c:pt idx="463">
                  <c:v>-52.18627727965859</c:v>
                </c:pt>
                <c:pt idx="464">
                  <c:v>-52.361602467049444</c:v>
                </c:pt>
                <c:pt idx="465">
                  <c:v>-52.536772993063764</c:v>
                </c:pt>
                <c:pt idx="466">
                  <c:v>-52.71181585431183</c:v>
                </c:pt>
                <c:pt idx="467">
                  <c:v>-52.88675840444732</c:v>
                </c:pt>
                <c:pt idx="468">
                  <c:v>-53.061628251248663</c:v>
                </c:pt>
                <c:pt idx="469">
                  <c:v>-53.236453150947469</c:v>
                </c:pt>
                <c:pt idx="470">
                  <c:v>-53.411260900730291</c:v>
                </c:pt>
                <c:pt idx="471">
                  <c:v>-53.58607923036719</c:v>
                </c:pt>
                <c:pt idx="472">
                  <c:v>-53.760935693930563</c:v>
                </c:pt>
                <c:pt idx="473">
                  <c:v>-53.935857562565289</c:v>
                </c:pt>
                <c:pt idx="474">
                  <c:v>-54.110871719254803</c:v>
                </c:pt>
                <c:pt idx="475">
                  <c:v>-54.286004556495456</c:v>
                </c:pt>
                <c:pt idx="476">
                  <c:v>-54.461281877750871</c:v>
                </c:pt>
                <c:pt idx="477">
                  <c:v>-54.636728803497903</c:v>
                </c:pt>
                <c:pt idx="478">
                  <c:v>-54.812369682613692</c:v>
                </c:pt>
                <c:pt idx="479">
                  <c:v>-54.988228009774282</c:v>
                </c:pt>
                <c:pt idx="480">
                  <c:v>-55.164326349451585</c:v>
                </c:pt>
                <c:pt idx="481">
                  <c:v>-55.34068626700693</c:v>
                </c:pt>
                <c:pt idx="482">
                  <c:v>-55.517328267283503</c:v>
                </c:pt>
                <c:pt idx="483">
                  <c:v>-55.694271741002943</c:v>
                </c:pt>
                <c:pt idx="484">
                  <c:v>-55.871534919175545</c:v>
                </c:pt>
                <c:pt idx="485">
                  <c:v>-56.049134835633978</c:v>
                </c:pt>
                <c:pt idx="486">
                  <c:v>-56.227087297709204</c:v>
                </c:pt>
                <c:pt idx="487">
                  <c:v>-56.405406864975745</c:v>
                </c:pt>
                <c:pt idx="488">
                  <c:v>-56.584106835909047</c:v>
                </c:pt>
                <c:pt idx="489">
                  <c:v>-56.763199242222271</c:v>
                </c:pt>
                <c:pt idx="490">
                  <c:v>-56.942694850576117</c:v>
                </c:pt>
                <c:pt idx="491">
                  <c:v>-57.122603171295843</c:v>
                </c:pt>
                <c:pt idx="492">
                  <c:v>-57.302932473676684</c:v>
                </c:pt>
                <c:pt idx="493">
                  <c:v>-57.483689807412127</c:v>
                </c:pt>
                <c:pt idx="494">
                  <c:v>-57.664881029648008</c:v>
                </c:pt>
                <c:pt idx="495">
                  <c:v>-57.8465108371363</c:v>
                </c:pt>
                <c:pt idx="496">
                  <c:v>-58.028582802946275</c:v>
                </c:pt>
                <c:pt idx="497">
                  <c:v>-58.211099417182865</c:v>
                </c:pt>
                <c:pt idx="498">
                  <c:v>-58.394062131157945</c:v>
                </c:pt>
                <c:pt idx="499">
                  <c:v>-58.577471404467829</c:v>
                </c:pt>
                <c:pt idx="500">
                  <c:v>-58.761326754444063</c:v>
                </c:pt>
                <c:pt idx="501">
                  <c:v>-58.945626807457217</c:v>
                </c:pt>
                <c:pt idx="502">
                  <c:v>-59.130369351581031</c:v>
                </c:pt>
                <c:pt idx="503">
                  <c:v>-59.315551390149331</c:v>
                </c:pt>
                <c:pt idx="504">
                  <c:v>-59.501169195765591</c:v>
                </c:pt>
                <c:pt idx="505">
                  <c:v>-59.687218364360604</c:v>
                </c:pt>
                <c:pt idx="506">
                  <c:v>-59.873693868925514</c:v>
                </c:pt>
                <c:pt idx="507">
                  <c:v>-60.060590112583732</c:v>
                </c:pt>
                <c:pt idx="508">
                  <c:v>-60.247900980699285</c:v>
                </c:pt>
                <c:pt idx="509">
                  <c:v>-60.435619891756467</c:v>
                </c:pt>
                <c:pt idx="510">
                  <c:v>-60.623739846778626</c:v>
                </c:pt>
                <c:pt idx="511">
                  <c:v>-60.812253477089484</c:v>
                </c:pt>
                <c:pt idx="512">
                  <c:v>-61.001153090250462</c:v>
                </c:pt>
                <c:pt idx="513">
                  <c:v>-61.190430714041959</c:v>
                </c:pt>
                <c:pt idx="514">
                  <c:v>-61.380078138381286</c:v>
                </c:pt>
                <c:pt idx="515">
                  <c:v>-61.57008695510018</c:v>
                </c:pt>
                <c:pt idx="516">
                  <c:v>-61.760448595528707</c:v>
                </c:pt>
                <c:pt idx="517">
                  <c:v>-61.951154365854478</c:v>
                </c:pt>
                <c:pt idx="518">
                  <c:v>-62.142195480247047</c:v>
                </c:pt>
                <c:pt idx="519">
                  <c:v>-62.333563091755494</c:v>
                </c:pt>
                <c:pt idx="520">
                  <c:v>-62.525248321005087</c:v>
                </c:pt>
                <c:pt idx="521">
                  <c:v>-62.717242282728655</c:v>
                </c:pt>
                <c:pt idx="522">
                  <c:v>-62.909536110185577</c:v>
                </c:pt>
                <c:pt idx="523">
                  <c:v>-63.102120977528074</c:v>
                </c:pt>
                <c:pt idx="524">
                  <c:v>-63.294988120184868</c:v>
                </c:pt>
                <c:pt idx="525">
                  <c:v>-63.488128853336832</c:v>
                </c:pt>
                <c:pt idx="526">
                  <c:v>-63.681534588567629</c:v>
                </c:pt>
                <c:pt idx="527">
                  <c:v>-63.875196848774287</c:v>
                </c:pt>
                <c:pt idx="528">
                  <c:v>-64.06910728142546</c:v>
                </c:pt>
                <c:pt idx="529">
                  <c:v>-64.263257670258881</c:v>
                </c:pt>
                <c:pt idx="530">
                  <c:v>-64.457639945506102</c:v>
                </c:pt>
                <c:pt idx="531">
                  <c:v>-64.652246192738147</c:v>
                </c:pt>
                <c:pt idx="532">
                  <c:v>-64.847068660418842</c:v>
                </c:pt>
                <c:pt idx="533">
                  <c:v>-65.042099766256683</c:v>
                </c:pt>
                <c:pt idx="534">
                  <c:v>-65.237332102438771</c:v>
                </c:pt>
                <c:pt idx="535">
                  <c:v>-65.43275843983298</c:v>
                </c:pt>
                <c:pt idx="536">
                  <c:v>-65.628371731236896</c:v>
                </c:pt>
                <c:pt idx="537">
                  <c:v>-65.824165113753466</c:v>
                </c:pt>
                <c:pt idx="538">
                  <c:v>-66.020131910365706</c:v>
                </c:pt>
                <c:pt idx="539">
                  <c:v>-66.216265630783184</c:v>
                </c:pt>
                <c:pt idx="540">
                  <c:v>-66.412559971626251</c:v>
                </c:pt>
                <c:pt idx="541">
                  <c:v>-66.609008816012945</c:v>
                </c:pt>
              </c:numCache>
            </c:numRef>
          </c:yVal>
          <c:smooth val="1"/>
          <c:extLst>
            <c:ext xmlns:c16="http://schemas.microsoft.com/office/drawing/2014/chart" uri="{C3380CC4-5D6E-409C-BE32-E72D297353CC}">
              <c16:uniqueId val="{00000000-D13D-4F31-A1F4-F359C82058E5}"/>
            </c:ext>
          </c:extLst>
        </c:ser>
        <c:dLbls>
          <c:showLegendKey val="0"/>
          <c:showVal val="0"/>
          <c:showCatName val="0"/>
          <c:showSerName val="0"/>
          <c:showPercent val="0"/>
          <c:showBubbleSize val="0"/>
        </c:dLbls>
        <c:axId val="331786112"/>
        <c:axId val="331788288"/>
      </c:scatterChart>
      <c:scatterChart>
        <c:scatterStyle val="smoothMarker"/>
        <c:varyColors val="0"/>
        <c:ser>
          <c:idx val="1"/>
          <c:order val="1"/>
          <c:tx>
            <c:v>Phase (deg)</c:v>
          </c:tx>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CCM_Loop_Modeling_Isolated!$AE$19:$AE$560</c:f>
              <c:numCache>
                <c:formatCode>General</c:formatCode>
                <c:ptCount val="542"/>
                <c:pt idx="0">
                  <c:v>-51.091643337566353</c:v>
                </c:pt>
                <c:pt idx="1">
                  <c:v>-51.738578234361754</c:v>
                </c:pt>
                <c:pt idx="2">
                  <c:v>-52.382208021278281</c:v>
                </c:pt>
                <c:pt idx="3">
                  <c:v>-53.022233781590423</c:v>
                </c:pt>
                <c:pt idx="4">
                  <c:v>-53.658365648601396</c:v>
                </c:pt>
                <c:pt idx="5">
                  <c:v>-54.290323379868845</c:v>
                </c:pt>
                <c:pt idx="6">
                  <c:v>-54.917836877599854</c:v>
                </c:pt>
                <c:pt idx="7">
                  <c:v>-55.540646653675083</c:v>
                </c:pt>
                <c:pt idx="8">
                  <c:v>-56.158504238297063</c:v>
                </c:pt>
                <c:pt idx="9">
                  <c:v>-56.771172531770802</c:v>
                </c:pt>
                <c:pt idx="10">
                  <c:v>-57.378426099433419</c:v>
                </c:pt>
                <c:pt idx="11">
                  <c:v>-57.980051410204766</c:v>
                </c:pt>
                <c:pt idx="12">
                  <c:v>-58.575847019697669</c:v>
                </c:pt>
                <c:pt idx="13">
                  <c:v>-59.165623699218209</c:v>
                </c:pt>
                <c:pt idx="14">
                  <c:v>-59.749204512366717</c:v>
                </c:pt>
                <c:pt idx="15">
                  <c:v>-60.326424841278346</c:v>
                </c:pt>
                <c:pt idx="16">
                  <c:v>-60.89713236483135</c:v>
                </c:pt>
                <c:pt idx="17">
                  <c:v>-61.461186991393198</c:v>
                </c:pt>
                <c:pt idx="18">
                  <c:v>-62.018460748883712</c:v>
                </c:pt>
                <c:pt idx="19">
                  <c:v>-62.568837635081579</c:v>
                </c:pt>
                <c:pt idx="20">
                  <c:v>-63.112213431231829</c:v>
                </c:pt>
                <c:pt idx="21">
                  <c:v>-63.648495482078076</c:v>
                </c:pt>
                <c:pt idx="22">
                  <c:v>-64.17760244548947</c:v>
                </c:pt>
                <c:pt idx="23">
                  <c:v>-64.699464014863707</c:v>
                </c:pt>
                <c:pt idx="24">
                  <c:v>-65.214020617444618</c:v>
                </c:pt>
                <c:pt idx="25">
                  <c:v>-65.721223091664413</c:v>
                </c:pt>
                <c:pt idx="26">
                  <c:v>-66.221032346515841</c:v>
                </c:pt>
                <c:pt idx="27">
                  <c:v>-66.713419005878848</c:v>
                </c:pt>
                <c:pt idx="28">
                  <c:v>-67.198363040595368</c:v>
                </c:pt>
                <c:pt idx="29">
                  <c:v>-67.675853390956348</c:v>
                </c:pt>
                <c:pt idx="30">
                  <c:v>-68.145887582116401</c:v>
                </c:pt>
                <c:pt idx="31">
                  <c:v>-68.608471334799304</c:v>
                </c:pt>
                <c:pt idx="32">
                  <c:v>-69.063618173487427</c:v>
                </c:pt>
                <c:pt idx="33">
                  <c:v>-69.511349034133787</c:v>
                </c:pt>
                <c:pt idx="34">
                  <c:v>-69.951691873254006</c:v>
                </c:pt>
                <c:pt idx="35">
                  <c:v>-70.384681280099656</c:v>
                </c:pt>
                <c:pt idx="36">
                  <c:v>-70.810358093440357</c:v>
                </c:pt>
                <c:pt idx="37">
                  <c:v>-71.228769024325345</c:v>
                </c:pt>
                <c:pt idx="38">
                  <c:v>-71.639966286034962</c:v>
                </c:pt>
                <c:pt idx="39">
                  <c:v>-72.044007232284059</c:v>
                </c:pt>
                <c:pt idx="40">
                  <c:v>-72.440954004592172</c:v>
                </c:pt>
                <c:pt idx="41">
                  <c:v>-72.830873189603878</c:v>
                </c:pt>
                <c:pt idx="42">
                  <c:v>-73.213835487008438</c:v>
                </c:pt>
                <c:pt idx="43">
                  <c:v>-73.589915388589489</c:v>
                </c:pt>
                <c:pt idx="44">
                  <c:v>-73.959190868829182</c:v>
                </c:pt>
                <c:pt idx="45">
                  <c:v>-74.321743087380639</c:v>
                </c:pt>
                <c:pt idx="46">
                  <c:v>-74.677656103631691</c:v>
                </c:pt>
                <c:pt idx="47">
                  <c:v>-75.02701660349976</c:v>
                </c:pt>
                <c:pt idx="48">
                  <c:v>-75.369913638514447</c:v>
                </c:pt>
                <c:pt idx="49">
                  <c:v>-75.706438377179637</c:v>
                </c:pt>
                <c:pt idx="50">
                  <c:v>-76.036683868542511</c:v>
                </c:pt>
                <c:pt idx="51">
                  <c:v>-76.360744817841564</c:v>
                </c:pt>
                <c:pt idx="52">
                  <c:v>-76.678717374059701</c:v>
                </c:pt>
                <c:pt idx="53">
                  <c:v>-76.990698929165475</c:v>
                </c:pt>
                <c:pt idx="54">
                  <c:v>-77.296787928787936</c:v>
                </c:pt>
                <c:pt idx="55">
                  <c:v>-77.597083694046887</c:v>
                </c:pt>
                <c:pt idx="56">
                  <c:v>-77.891686254226315</c:v>
                </c:pt>
                <c:pt idx="57">
                  <c:v>-78.180696189966341</c:v>
                </c:pt>
                <c:pt idx="58">
                  <c:v>-78.464214486628705</c:v>
                </c:pt>
                <c:pt idx="59">
                  <c:v>-78.742342397478382</c:v>
                </c:pt>
                <c:pt idx="60">
                  <c:v>-79.015181316319413</c:v>
                </c:pt>
                <c:pt idx="61">
                  <c:v>-79.28283265921138</c:v>
                </c:pt>
                <c:pt idx="62">
                  <c:v>-79.545397754894594</c:v>
                </c:pt>
                <c:pt idx="63">
                  <c:v>-79.802977743550912</c:v>
                </c:pt>
                <c:pt idx="64">
                  <c:v>-80.055673483527514</c:v>
                </c:pt>
                <c:pt idx="65">
                  <c:v>-80.303585465654592</c:v>
                </c:pt>
                <c:pt idx="66">
                  <c:v>-80.546813734796388</c:v>
                </c:pt>
                <c:pt idx="67">
                  <c:v>-80.78545781827664</c:v>
                </c:pt>
                <c:pt idx="68">
                  <c:v>-81.019616660832241</c:v>
                </c:pt>
                <c:pt idx="69">
                  <c:v>-81.249388565753534</c:v>
                </c:pt>
                <c:pt idx="70">
                  <c:v>-81.474871141883256</c:v>
                </c:pt>
                <c:pt idx="71">
                  <c:v>-81.696161256152166</c:v>
                </c:pt>
                <c:pt idx="72">
                  <c:v>-81.913354991344121</c:v>
                </c:pt>
                <c:pt idx="73">
                  <c:v>-82.126547608791782</c:v>
                </c:pt>
                <c:pt idx="74">
                  <c:v>-82.335833515716061</c:v>
                </c:pt>
                <c:pt idx="75">
                  <c:v>-82.541306236934801</c:v>
                </c:pt>
                <c:pt idx="76">
                  <c:v>-82.743058390676651</c:v>
                </c:pt>
                <c:pt idx="77">
                  <c:v>-82.941181668248433</c:v>
                </c:pt>
                <c:pt idx="78">
                  <c:v>-83.135766817314561</c:v>
                </c:pt>
                <c:pt idx="79">
                  <c:v>-83.326903628560203</c:v>
                </c:pt>
                <c:pt idx="80">
                  <c:v>-83.514680925519386</c:v>
                </c:pt>
                <c:pt idx="81">
                  <c:v>-83.699186557360775</c:v>
                </c:pt>
                <c:pt idx="82">
                  <c:v>-83.880507394434559</c:v>
                </c:pt>
                <c:pt idx="83">
                  <c:v>-84.058729326394399</c:v>
                </c:pt>
                <c:pt idx="84">
                  <c:v>-84.233937262717475</c:v>
                </c:pt>
                <c:pt idx="85">
                  <c:v>-84.406215135456847</c:v>
                </c:pt>
                <c:pt idx="86">
                  <c:v>-84.575645904068708</c:v>
                </c:pt>
                <c:pt idx="87">
                  <c:v>-84.742311562165881</c:v>
                </c:pt>
                <c:pt idx="88">
                  <c:v>-84.906293146059127</c:v>
                </c:pt>
                <c:pt idx="89">
                  <c:v>-85.067670744954341</c:v>
                </c:pt>
                <c:pt idx="90">
                  <c:v>-85.226523512682732</c:v>
                </c:pt>
                <c:pt idx="91">
                  <c:v>-85.382929680848775</c:v>
                </c:pt>
                <c:pt idx="92">
                  <c:v>-85.536966573287273</c:v>
                </c:pt>
                <c:pt idx="93">
                  <c:v>-85.68871062172866</c:v>
                </c:pt>
                <c:pt idx="94">
                  <c:v>-85.83823738257756</c:v>
                </c:pt>
                <c:pt idx="95">
                  <c:v>-85.985621554716488</c:v>
                </c:pt>
                <c:pt idx="96">
                  <c:v>-86.130936998251968</c:v>
                </c:pt>
                <c:pt idx="97">
                  <c:v>-86.274256754127009</c:v>
                </c:pt>
                <c:pt idx="98">
                  <c:v>-86.415653064527277</c:v>
                </c:pt>
                <c:pt idx="99">
                  <c:v>-86.55519739401619</c:v>
                </c:pt>
                <c:pt idx="100">
                  <c:v>-86.692960451335992</c:v>
                </c:pt>
                <c:pt idx="101">
                  <c:v>-86.829012211818807</c:v>
                </c:pt>
                <c:pt idx="102">
                  <c:v>-86.963421940354564</c:v>
                </c:pt>
                <c:pt idx="103">
                  <c:v>-87.09625821486695</c:v>
                </c:pt>
                <c:pt idx="104">
                  <c:v>-87.22758895025288</c:v>
                </c:pt>
                <c:pt idx="105">
                  <c:v>-87.357481422743646</c:v>
                </c:pt>
                <c:pt idx="106">
                  <c:v>-87.486002294650248</c:v>
                </c:pt>
                <c:pt idx="107">
                  <c:v>-87.613217639458171</c:v>
                </c:pt>
                <c:pt idx="108">
                  <c:v>-87.739192967238822</c:v>
                </c:pt>
                <c:pt idx="109">
                  <c:v>-87.86399325034975</c:v>
                </c:pt>
                <c:pt idx="110">
                  <c:v>-87.987682949396444</c:v>
                </c:pt>
                <c:pt idx="111">
                  <c:v>-88.110326039431641</c:v>
                </c:pt>
                <c:pt idx="112">
                  <c:v>-88.231986036370856</c:v>
                </c:pt>
                <c:pt idx="113">
                  <c:v>-88.352726023603807</c:v>
                </c:pt>
                <c:pt idx="114">
                  <c:v>-88.472608678784525</c:v>
                </c:pt>
                <c:pt idx="115">
                  <c:v>-88.591696300784164</c:v>
                </c:pt>
                <c:pt idx="116">
                  <c:v>-88.710050836792277</c:v>
                </c:pt>
                <c:pt idx="117">
                  <c:v>-88.827733909553956</c:v>
                </c:pt>
                <c:pt idx="118">
                  <c:v>-88.944806844732213</c:v>
                </c:pt>
                <c:pt idx="119">
                  <c:v>-89.06133069838495</c:v>
                </c:pt>
                <c:pt idx="120">
                  <c:v>-89.177366284549123</c:v>
                </c:pt>
                <c:pt idx="121">
                  <c:v>-89.292974202923943</c:v>
                </c:pt>
                <c:pt idx="122">
                  <c:v>-89.408214866647057</c:v>
                </c:pt>
                <c:pt idx="123">
                  <c:v>-89.523148530158736</c:v>
                </c:pt>
                <c:pt idx="124">
                  <c:v>-89.637835317149012</c:v>
                </c:pt>
                <c:pt idx="125">
                  <c:v>-89.752335248584458</c:v>
                </c:pt>
                <c:pt idx="126">
                  <c:v>-89.86670827081187</c:v>
                </c:pt>
                <c:pt idx="127">
                  <c:v>-89.981014283735732</c:v>
                </c:pt>
                <c:pt idx="128">
                  <c:v>-90.095313169068362</c:v>
                </c:pt>
                <c:pt idx="129">
                  <c:v>-90.209664818651461</c:v>
                </c:pt>
                <c:pt idx="130">
                  <c:v>-90.324129162847115</c:v>
                </c:pt>
                <c:pt idx="131">
                  <c:v>-90.438766198999247</c:v>
                </c:pt>
                <c:pt idx="132">
                  <c:v>-90.553636019963349</c:v>
                </c:pt>
                <c:pt idx="133">
                  <c:v>-90.668798842706167</c:v>
                </c:pt>
                <c:pt idx="134">
                  <c:v>-90.784315036973524</c:v>
                </c:pt>
                <c:pt idx="135">
                  <c:v>-90.900245154027729</c:v>
                </c:pt>
                <c:pt idx="136">
                  <c:v>-91.016649955453644</c:v>
                </c:pt>
                <c:pt idx="137">
                  <c:v>-91.133590442033778</c:v>
                </c:pt>
                <c:pt idx="138">
                  <c:v>-91.251127882691549</c:v>
                </c:pt>
                <c:pt idx="139">
                  <c:v>-91.369323843503452</c:v>
                </c:pt>
                <c:pt idx="140">
                  <c:v>-91.488240216777612</c:v>
                </c:pt>
                <c:pt idx="141">
                  <c:v>-91.607939250199294</c:v>
                </c:pt>
                <c:pt idx="142">
                  <c:v>-91.728483576040716</c:v>
                </c:pt>
                <c:pt idx="143">
                  <c:v>-91.849936240433109</c:v>
                </c:pt>
                <c:pt idx="144">
                  <c:v>-91.972360732699059</c:v>
                </c:pt>
                <c:pt idx="145">
                  <c:v>-92.095821014741048</c:v>
                </c:pt>
                <c:pt idx="146">
                  <c:v>-92.220381550482244</c:v>
                </c:pt>
                <c:pt idx="147">
                  <c:v>-92.346107335354802</c:v>
                </c:pt>
                <c:pt idx="148">
                  <c:v>-92.473063925829422</c:v>
                </c:pt>
                <c:pt idx="149">
                  <c:v>-92.601317468979516</c:v>
                </c:pt>
                <c:pt idx="150">
                  <c:v>-92.730934732071731</c:v>
                </c:pt>
                <c:pt idx="151">
                  <c:v>-92.861983132173549</c:v>
                </c:pt>
                <c:pt idx="152">
                  <c:v>-92.994530765767323</c:v>
                </c:pt>
                <c:pt idx="153">
                  <c:v>-93.128646438358658</c:v>
                </c:pt>
                <c:pt idx="154">
                  <c:v>-93.264399694065531</c:v>
                </c:pt>
                <c:pt idx="155">
                  <c:v>-93.401860845172337</c:v>
                </c:pt>
                <c:pt idx="156">
                  <c:v>-93.541101001632029</c:v>
                </c:pt>
                <c:pt idx="157">
                  <c:v>-93.682192100497403</c:v>
                </c:pt>
                <c:pt idx="158">
                  <c:v>-93.825206935258933</c:v>
                </c:pt>
                <c:pt idx="159">
                  <c:v>-93.970219185067222</c:v>
                </c:pt>
                <c:pt idx="160">
                  <c:v>-94.117303443812617</c:v>
                </c:pt>
                <c:pt idx="161">
                  <c:v>-94.26653524903378</c:v>
                </c:pt>
                <c:pt idx="162">
                  <c:v>-94.417991110623944</c:v>
                </c:pt>
                <c:pt idx="163">
                  <c:v>-94.571748539299705</c:v>
                </c:pt>
                <c:pt idx="164">
                  <c:v>-94.727886074795705</c:v>
                </c:pt>
                <c:pt idx="165">
                  <c:v>-94.886483313742644</c:v>
                </c:pt>
                <c:pt idx="166">
                  <c:v>-95.047620937185201</c:v>
                </c:pt>
                <c:pt idx="167">
                  <c:v>-95.211380737690774</c:v>
                </c:pt>
                <c:pt idx="168">
                  <c:v>-95.377845645996075</c:v>
                </c:pt>
                <c:pt idx="169">
                  <c:v>-95.547099757135214</c:v>
                </c:pt>
                <c:pt idx="170">
                  <c:v>-95.719228355987084</c:v>
                </c:pt>
                <c:pt idx="171">
                  <c:v>-95.894317942175874</c:v>
                </c:pt>
                <c:pt idx="172">
                  <c:v>-96.072456254252742</c:v>
                </c:pt>
                <c:pt idx="173">
                  <c:v>-96.253732293081839</c:v>
                </c:pt>
                <c:pt idx="174">
                  <c:v>-96.438236344347686</c:v>
                </c:pt>
                <c:pt idx="175">
                  <c:v>-96.626060000094469</c:v>
                </c:pt>
                <c:pt idx="176">
                  <c:v>-96.817296179202771</c:v>
                </c:pt>
                <c:pt idx="177">
                  <c:v>-97.012039146700403</c:v>
                </c:pt>
                <c:pt idx="178">
                  <c:v>-97.210384531799463</c:v>
                </c:pt>
                <c:pt idx="179">
                  <c:v>-97.41242934454138</c:v>
                </c:pt>
                <c:pt idx="180">
                  <c:v>-97.618271990927369</c:v>
                </c:pt>
                <c:pt idx="181">
                  <c:v>-97.828012286399598</c:v>
                </c:pt>
                <c:pt idx="182">
                  <c:v>-98.041751467533615</c:v>
                </c:pt>
                <c:pt idx="183">
                  <c:v>-98.259592201791492</c:v>
                </c:pt>
                <c:pt idx="184">
                  <c:v>-98.481638595175909</c:v>
                </c:pt>
                <c:pt idx="185">
                  <c:v>-98.70799619761749</c:v>
                </c:pt>
                <c:pt idx="186">
                  <c:v>-98.938772005915681</c:v>
                </c:pt>
                <c:pt idx="187">
                  <c:v>-99.174074464044764</c:v>
                </c:pt>
                <c:pt idx="188">
                  <c:v>-99.41401346062527</c:v>
                </c:pt>
                <c:pt idx="189">
                  <c:v>-99.658700323350487</c:v>
                </c:pt>
                <c:pt idx="190">
                  <c:v>-99.908247810146634</c:v>
                </c:pt>
                <c:pt idx="191">
                  <c:v>-100.16277009683412</c:v>
                </c:pt>
                <c:pt idx="192">
                  <c:v>-100.42238276104479</c:v>
                </c:pt>
                <c:pt idx="193">
                  <c:v>-100.6872027621399</c:v>
                </c:pt>
                <c:pt idx="194">
                  <c:v>-100.95734841686171</c:v>
                </c:pt>
                <c:pt idx="195">
                  <c:v>-101.23293937043749</c:v>
                </c:pt>
                <c:pt idx="196">
                  <c:v>-101.51409656284704</c:v>
                </c:pt>
                <c:pt idx="197">
                  <c:v>-101.80094218994955</c:v>
                </c:pt>
                <c:pt idx="198">
                  <c:v>-102.09359965915762</c:v>
                </c:pt>
                <c:pt idx="199">
                  <c:v>-102.3921935393323</c:v>
                </c:pt>
                <c:pt idx="200">
                  <c:v>-102.69684950456674</c:v>
                </c:pt>
                <c:pt idx="201">
                  <c:v>-103.00769427151066</c:v>
                </c:pt>
                <c:pt idx="202">
                  <c:v>-103.32485552988693</c:v>
                </c:pt>
                <c:pt idx="203">
                  <c:v>-103.64846186583536</c:v>
                </c:pt>
                <c:pt idx="204">
                  <c:v>-103.9786426777186</c:v>
                </c:pt>
                <c:pt idx="205">
                  <c:v>-104.31552808401726</c:v>
                </c:pt>
                <c:pt idx="206">
                  <c:v>-104.65924882293891</c:v>
                </c:pt>
                <c:pt idx="207">
                  <c:v>-105.0099361433616</c:v>
                </c:pt>
                <c:pt idx="208">
                  <c:v>-105.36772168673852</c:v>
                </c:pt>
                <c:pt idx="209">
                  <c:v>-105.73273735958901</c:v>
                </c:pt>
                <c:pt idx="210">
                  <c:v>-106.10511519620846</c:v>
                </c:pt>
                <c:pt idx="211">
                  <c:v>-106.48498721124179</c:v>
                </c:pt>
                <c:pt idx="212">
                  <c:v>-106.87248524177367</c:v>
                </c:pt>
                <c:pt idx="213">
                  <c:v>-107.26774077861096</c:v>
                </c:pt>
                <c:pt idx="214">
                  <c:v>-107.67088478644828</c:v>
                </c:pt>
                <c:pt idx="215">
                  <c:v>-108.08204751263965</c:v>
                </c:pt>
                <c:pt idx="216">
                  <c:v>-108.50135828432646</c:v>
                </c:pt>
                <c:pt idx="217">
                  <c:v>-108.92894529371077</c:v>
                </c:pt>
                <c:pt idx="218">
                  <c:v>-109.36493537130562</c:v>
                </c:pt>
                <c:pt idx="219">
                  <c:v>-109.80945374704433</c:v>
                </c:pt>
                <c:pt idx="220">
                  <c:v>-110.26262379918587</c:v>
                </c:pt>
                <c:pt idx="221">
                  <c:v>-110.7245667910188</c:v>
                </c:pt>
                <c:pt idx="222">
                  <c:v>-111.19540159543658</c:v>
                </c:pt>
                <c:pt idx="223">
                  <c:v>-111.67524440753785</c:v>
                </c:pt>
                <c:pt idx="224">
                  <c:v>-112.16420844548911</c:v>
                </c:pt>
                <c:pt idx="225">
                  <c:v>-112.66240363999006</c:v>
                </c:pt>
                <c:pt idx="226">
                  <c:v>-113.16993631277958</c:v>
                </c:pt>
                <c:pt idx="227">
                  <c:v>-113.68690884473493</c:v>
                </c:pt>
                <c:pt idx="228">
                  <c:v>-114.21341933424176</c:v>
                </c:pt>
                <c:pt idx="229">
                  <c:v>-114.74956124663824</c:v>
                </c:pt>
                <c:pt idx="230">
                  <c:v>-115.29542305567199</c:v>
                </c:pt>
                <c:pt idx="231">
                  <c:v>-115.85108787805898</c:v>
                </c:pt>
                <c:pt idx="232">
                  <c:v>-116.41663310237598</c:v>
                </c:pt>
                <c:pt idx="233">
                  <c:v>-116.99213001368251</c:v>
                </c:pt>
                <c:pt idx="234">
                  <c:v>-117.57764341542037</c:v>
                </c:pt>
                <c:pt idx="235">
                  <c:v>-118.17323125030508</c:v>
                </c:pt>
                <c:pt idx="236">
                  <c:v>-118.77894422208993</c:v>
                </c:pt>
                <c:pt idx="237">
                  <c:v>-119.3948254202427</c:v>
                </c:pt>
                <c:pt idx="238">
                  <c:v>-120.02090994973327</c:v>
                </c:pt>
                <c:pt idx="239">
                  <c:v>-120.65722456829359</c:v>
                </c:pt>
                <c:pt idx="240">
                  <c:v>-121.30378733364769</c:v>
                </c:pt>
                <c:pt idx="241">
                  <c:v>-121.96060726335485</c:v>
                </c:pt>
                <c:pt idx="242">
                  <c:v>-122.62768401002374</c:v>
                </c:pt>
                <c:pt idx="243">
                  <c:v>-123.3050075547644</c:v>
                </c:pt>
                <c:pt idx="244">
                  <c:v>-123.99255792183254</c:v>
                </c:pt>
                <c:pt idx="245">
                  <c:v>-124.69030491747498</c:v>
                </c:pt>
                <c:pt idx="246">
                  <c:v>-125.39820789602332</c:v>
                </c:pt>
                <c:pt idx="247">
                  <c:v>-126.11621555629175</c:v>
                </c:pt>
                <c:pt idx="248">
                  <c:v>-126.84426577129737</c:v>
                </c:pt>
                <c:pt idx="249">
                  <c:v>-127.58228545426093</c:v>
                </c:pt>
                <c:pt idx="250">
                  <c:v>-128.33019046374366</c:v>
                </c:pt>
                <c:pt idx="251">
                  <c:v>-129.08788555062779</c:v>
                </c:pt>
                <c:pt idx="252">
                  <c:v>-129.85526434946198</c:v>
                </c:pt>
                <c:pt idx="253">
                  <c:v>-130.63220941646608</c:v>
                </c:pt>
                <c:pt idx="254">
                  <c:v>-131.41859231620845</c:v>
                </c:pt>
                <c:pt idx="255">
                  <c:v>-132.21427375866048</c:v>
                </c:pt>
                <c:pt idx="256">
                  <c:v>-133.01910378796322</c:v>
                </c:pt>
                <c:pt idx="257">
                  <c:v>-133.83292202385275</c:v>
                </c:pt>
                <c:pt idx="258">
                  <c:v>-134.65555795624351</c:v>
                </c:pt>
                <c:pt idx="259">
                  <c:v>-135.48683129300937</c:v>
                </c:pt>
                <c:pt idx="260">
                  <c:v>-136.32655236049783</c:v>
                </c:pt>
                <c:pt idx="261">
                  <c:v>-137.1745225557971</c:v>
                </c:pt>
                <c:pt idx="262">
                  <c:v>-138.03053484924021</c:v>
                </c:pt>
                <c:pt idx="263">
                  <c:v>-138.89437433508644</c:v>
                </c:pt>
                <c:pt idx="264">
                  <c:v>-139.76581882777475</c:v>
                </c:pt>
                <c:pt idx="265">
                  <c:v>-140.64463950060824</c:v>
                </c:pt>
                <c:pt idx="266">
                  <c:v>-141.53060156320771</c:v>
                </c:pt>
                <c:pt idx="267">
                  <c:v>-142.42346497357619</c:v>
                </c:pt>
                <c:pt idx="268">
                  <c:v>-143.32298518015068</c:v>
                </c:pt>
                <c:pt idx="269">
                  <c:v>-144.22891388879788</c:v>
                </c:pt>
                <c:pt idx="270">
                  <c:v>-145.14099984933424</c:v>
                </c:pt>
                <c:pt idx="271">
                  <c:v>-146.05898965583614</c:v>
                </c:pt>
                <c:pt idx="272">
                  <c:v>-146.98262855474053</c:v>
                </c:pt>
                <c:pt idx="273">
                  <c:v>-147.91166125456186</c:v>
                </c:pt>
                <c:pt idx="274">
                  <c:v>-148.84583273091354</c:v>
                </c:pt>
                <c:pt idx="275">
                  <c:v>-149.78488902048628</c:v>
                </c:pt>
                <c:pt idx="276">
                  <c:v>-150.72857799766385</c:v>
                </c:pt>
                <c:pt idx="277">
                  <c:v>-151.67665012754605</c:v>
                </c:pt>
                <c:pt idx="278">
                  <c:v>-152.62885918933901</c:v>
                </c:pt>
                <c:pt idx="279">
                  <c:v>-153.58496296429828</c:v>
                </c:pt>
                <c:pt idx="280">
                  <c:v>-154.5447238827372</c:v>
                </c:pt>
                <c:pt idx="281">
                  <c:v>-155.50790962496137</c:v>
                </c:pt>
                <c:pt idx="282">
                  <c:v>-156.47429367143619</c:v>
                </c:pt>
                <c:pt idx="283">
                  <c:v>-157.4436557979478</c:v>
                </c:pt>
                <c:pt idx="284">
                  <c:v>-158.41578251203751</c:v>
                </c:pt>
                <c:pt idx="285">
                  <c:v>-159.39046742753783</c:v>
                </c:pt>
                <c:pt idx="286">
                  <c:v>-160.3675115745946</c:v>
                </c:pt>
                <c:pt idx="287">
                  <c:v>-161.34672364316324</c:v>
                </c:pt>
                <c:pt idx="288">
                  <c:v>-162.3279201585429</c:v>
                </c:pt>
                <c:pt idx="289">
                  <c:v>-163.31092558812179</c:v>
                </c:pt>
                <c:pt idx="290">
                  <c:v>-164.29557237909344</c:v>
                </c:pt>
                <c:pt idx="291">
                  <c:v>-165.28170092747283</c:v>
                </c:pt>
                <c:pt idx="292">
                  <c:v>-166.2691594793225</c:v>
                </c:pt>
                <c:pt idx="293">
                  <c:v>-167.25780396560725</c:v>
                </c:pt>
                <c:pt idx="294">
                  <c:v>-168.24749777263773</c:v>
                </c:pt>
                <c:pt idx="295">
                  <c:v>-169.23811145051738</c:v>
                </c:pt>
                <c:pt idx="296">
                  <c:v>-170.22952236247565</c:v>
                </c:pt>
                <c:pt idx="297">
                  <c:v>-171.22161427836593</c:v>
                </c:pt>
                <c:pt idx="298">
                  <c:v>-172.21427691600218</c:v>
                </c:pt>
                <c:pt idx="299">
                  <c:v>-173.20740543433047</c:v>
                </c:pt>
                <c:pt idx="300">
                  <c:v>-174.20089988275694</c:v>
                </c:pt>
                <c:pt idx="301">
                  <c:v>-175.19466461119936</c:v>
                </c:pt>
                <c:pt idx="302">
                  <c:v>-176.1886076456905</c:v>
                </c:pt>
                <c:pt idx="303">
                  <c:v>-177.18264003453342</c:v>
                </c:pt>
                <c:pt idx="304">
                  <c:v>-178.17667517019731</c:v>
                </c:pt>
                <c:pt idx="305">
                  <c:v>-179.1706280922624</c:v>
                </c:pt>
                <c:pt idx="306">
                  <c:v>179.83558522316625</c:v>
                </c:pt>
                <c:pt idx="307">
                  <c:v>178.84204858209068</c:v>
                </c:pt>
                <c:pt idx="308">
                  <c:v>177.84884629376378</c:v>
                </c:pt>
                <c:pt idx="309">
                  <c:v>176.85606388880154</c:v>
                </c:pt>
                <c:pt idx="310">
                  <c:v>175.86378882873632</c:v>
                </c:pt>
                <c:pt idx="311">
                  <c:v>174.87211120152722</c:v>
                </c:pt>
                <c:pt idx="312">
                  <c:v>173.8811243976196</c:v>
                </c:pt>
                <c:pt idx="313">
                  <c:v>172.89092576125597</c:v>
                </c:pt>
                <c:pt idx="314">
                  <c:v>171.90161721186948</c:v>
                </c:pt>
                <c:pt idx="315">
                  <c:v>170.91330583057044</c:v>
                </c:pt>
                <c:pt idx="316">
                  <c:v>169.92610440692994</c:v>
                </c:pt>
                <c:pt idx="317">
                  <c:v>168.94013194150961</c:v>
                </c:pt>
                <c:pt idx="318">
                  <c:v>167.95551409985544</c:v>
                </c:pt>
                <c:pt idx="319">
                  <c:v>166.97238361398396</c:v>
                </c:pt>
                <c:pt idx="320">
                  <c:v>165.99088062772967</c:v>
                </c:pt>
                <c:pt idx="321">
                  <c:v>165.01115298271156</c:v>
                </c:pt>
                <c:pt idx="322">
                  <c:v>164.03335644208792</c:v>
                </c:pt>
                <c:pt idx="323">
                  <c:v>163.05765484971906</c:v>
                </c:pt>
                <c:pt idx="324">
                  <c:v>162.08422022284404</c:v>
                </c:pt>
                <c:pt idx="325">
                  <c:v>161.11323277689308</c:v>
                </c:pt>
                <c:pt idx="326">
                  <c:v>160.14488088159302</c:v>
                </c:pt>
                <c:pt idx="327">
                  <c:v>159.1793609480836</c:v>
                </c:pt>
                <c:pt idx="328">
                  <c:v>158.21687724735267</c:v>
                </c:pt>
                <c:pt idx="329">
                  <c:v>157.25764166087251</c:v>
                </c:pt>
                <c:pt idx="330">
                  <c:v>156.30187336493429</c:v>
                </c:pt>
                <c:pt idx="331">
                  <c:v>155.34979845075134</c:v>
                </c:pt>
                <c:pt idx="332">
                  <c:v>154.40164948300406</c:v>
                </c:pt>
                <c:pt idx="333">
                  <c:v>153.45766500004979</c:v>
                </c:pt>
                <c:pt idx="334">
                  <c:v>152.51808895957458</c:v>
                </c:pt>
                <c:pt idx="335">
                  <c:v>151.58317013396345</c:v>
                </c:pt>
                <c:pt idx="336">
                  <c:v>150.65316146013532</c:v>
                </c:pt>
                <c:pt idx="337">
                  <c:v>149.72831934900319</c:v>
                </c:pt>
                <c:pt idx="338">
                  <c:v>148.80890296008812</c:v>
                </c:pt>
                <c:pt idx="339">
                  <c:v>147.89517344711103</c:v>
                </c:pt>
                <c:pt idx="340">
                  <c:v>146.98739318062775</c:v>
                </c:pt>
                <c:pt idx="341">
                  <c:v>146.08582495392741</c:v>
                </c:pt>
                <c:pt idx="342">
                  <c:v>145.19073117852091</c:v>
                </c:pt>
                <c:pt idx="343">
                  <c:v>144.3023730755541</c:v>
                </c:pt>
                <c:pt idx="344">
                  <c:v>143.42100986942538</c:v>
                </c:pt>
                <c:pt idx="345">
                  <c:v>142.54689798976563</c:v>
                </c:pt>
                <c:pt idx="346">
                  <c:v>141.68029028773108</c:v>
                </c:pt>
                <c:pt idx="347">
                  <c:v>140.82143527230772</c:v>
                </c:pt>
                <c:pt idx="348">
                  <c:v>139.97057637197955</c:v>
                </c:pt>
                <c:pt idx="349">
                  <c:v>139.12795122675766</c:v>
                </c:pt>
                <c:pt idx="350">
                  <c:v>138.29379101512154</c:v>
                </c:pt>
                <c:pt idx="351">
                  <c:v>137.46831981995726</c:v>
                </c:pt>
                <c:pt idx="352">
                  <c:v>136.65175403708284</c:v>
                </c:pt>
                <c:pt idx="353">
                  <c:v>135.8443018294231</c:v>
                </c:pt>
                <c:pt idx="354">
                  <c:v>135.04616262935266</c:v>
                </c:pt>
                <c:pt idx="355">
                  <c:v>134.25752669118862</c:v>
                </c:pt>
                <c:pt idx="356">
                  <c:v>133.47857469525735</c:v>
                </c:pt>
                <c:pt idx="357">
                  <c:v>132.70947740443862</c:v>
                </c:pt>
                <c:pt idx="358">
                  <c:v>131.95039537355697</c:v>
                </c:pt>
                <c:pt idx="359">
                  <c:v>131.20147871150419</c:v>
                </c:pt>
                <c:pt idx="360">
                  <c:v>130.46286689550411</c:v>
                </c:pt>
                <c:pt idx="361">
                  <c:v>129.73468863649546</c:v>
                </c:pt>
                <c:pt idx="362">
                  <c:v>129.01706179421535</c:v>
                </c:pt>
                <c:pt idx="363">
                  <c:v>128.31009334020234</c:v>
                </c:pt>
                <c:pt idx="364">
                  <c:v>127.61387936662696</c:v>
                </c:pt>
                <c:pt idx="365">
                  <c:v>126.92850513858664</c:v>
                </c:pt>
                <c:pt idx="366">
                  <c:v>126.2540451872643</c:v>
                </c:pt>
                <c:pt idx="367">
                  <c:v>125.59056344117941</c:v>
                </c:pt>
                <c:pt idx="368">
                  <c:v>124.9381133926012</c:v>
                </c:pt>
                <c:pt idx="369">
                  <c:v>124.29673829610275</c:v>
                </c:pt>
                <c:pt idx="370">
                  <c:v>123.66647139616707</c:v>
                </c:pt>
                <c:pt idx="371">
                  <c:v>123.04733618072156</c:v>
                </c:pt>
                <c:pt idx="372">
                  <c:v>122.43934665749187</c:v>
                </c:pt>
                <c:pt idx="373">
                  <c:v>121.84250765009325</c:v>
                </c:pt>
                <c:pt idx="374">
                  <c:v>121.25681511083774</c:v>
                </c:pt>
                <c:pt idx="375">
                  <c:v>120.68225644732401</c:v>
                </c:pt>
                <c:pt idx="376">
                  <c:v>120.11881085997368</c:v>
                </c:pt>
                <c:pt idx="377">
                  <c:v>119.5664496878052</c:v>
                </c:pt>
                <c:pt idx="378">
                  <c:v>119.02513675986253</c:v>
                </c:pt>
                <c:pt idx="379">
                  <c:v>118.49482874986552</c:v>
                </c:pt>
                <c:pt idx="380">
                  <c:v>117.97547553179776</c:v>
                </c:pt>
                <c:pt idx="381">
                  <c:v>117.46702053430649</c:v>
                </c:pt>
                <c:pt idx="382">
                  <c:v>116.96940109194388</c:v>
                </c:pt>
                <c:pt idx="383">
                  <c:v>116.48254879144888</c:v>
                </c:pt>
                <c:pt idx="384">
                  <c:v>116.00638981141584</c:v>
                </c:pt>
                <c:pt idx="385">
                  <c:v>115.54084525386577</c:v>
                </c:pt>
                <c:pt idx="386">
                  <c:v>115.0858314663773</c:v>
                </c:pt>
                <c:pt idx="387">
                  <c:v>114.6412603535895</c:v>
                </c:pt>
                <c:pt idx="388">
                  <c:v>114.20703967702734</c:v>
                </c:pt>
                <c:pt idx="389">
                  <c:v>113.78307334233631</c:v>
                </c:pt>
                <c:pt idx="390">
                  <c:v>113.36926167314141</c:v>
                </c:pt>
                <c:pt idx="391">
                  <c:v>112.96550167086386</c:v>
                </c:pt>
                <c:pt idx="392">
                  <c:v>112.57168725994478</c:v>
                </c:pt>
                <c:pt idx="393">
                  <c:v>112.18770951803143</c:v>
                </c:pt>
                <c:pt idx="394">
                  <c:v>111.81345689077467</c:v>
                </c:pt>
                <c:pt idx="395">
                  <c:v>111.4488153909857</c:v>
                </c:pt>
                <c:pt idx="396">
                  <c:v>111.09366878197631</c:v>
                </c:pt>
                <c:pt idx="397">
                  <c:v>110.74789874499245</c:v>
                </c:pt>
                <c:pt idx="398">
                  <c:v>110.41138503071868</c:v>
                </c:pt>
                <c:pt idx="399">
                  <c:v>110.08400559490079</c:v>
                </c:pt>
                <c:pt idx="400">
                  <c:v>109.76563671819524</c:v>
                </c:pt>
                <c:pt idx="401">
                  <c:v>109.45615311041328</c:v>
                </c:pt>
                <c:pt idx="402">
                  <c:v>109.15542799938351</c:v>
                </c:pt>
                <c:pt idx="403">
                  <c:v>108.86333320470719</c:v>
                </c:pt>
                <c:pt idx="404">
                  <c:v>108.57973919673326</c:v>
                </c:pt>
                <c:pt idx="405">
                  <c:v>108.30451514112742</c:v>
                </c:pt>
                <c:pt idx="406">
                  <c:v>108.03752892945818</c:v>
                </c:pt>
                <c:pt idx="407">
                  <c:v>107.77864719627148</c:v>
                </c:pt>
                <c:pt idx="408">
                  <c:v>107.52773532317305</c:v>
                </c:pt>
                <c:pt idx="409">
                  <c:v>107.28465743048504</c:v>
                </c:pt>
                <c:pt idx="410">
                  <c:v>107.04927635710175</c:v>
                </c:pt>
                <c:pt idx="411">
                  <c:v>106.82145362921129</c:v>
                </c:pt>
                <c:pt idx="412">
                  <c:v>106.60104941861117</c:v>
                </c:pt>
                <c:pt idx="413">
                  <c:v>106.38792249140641</c:v>
                </c:pt>
                <c:pt idx="414">
                  <c:v>106.18193014793144</c:v>
                </c:pt>
                <c:pt idx="415">
                  <c:v>105.98292815480545</c:v>
                </c:pt>
                <c:pt idx="416">
                  <c:v>105.79077067009955</c:v>
                </c:pt>
                <c:pt idx="417">
                  <c:v>105.60531016265608</c:v>
                </c:pt>
                <c:pt idx="418">
                  <c:v>105.42639732668096</c:v>
                </c:pt>
                <c:pt idx="419">
                  <c:v>105.2538809928021</c:v>
                </c:pt>
                <c:pt idx="420">
                  <c:v>105.08760803686044</c:v>
                </c:pt>
                <c:pt idx="421">
                  <c:v>104.92742328778476</c:v>
                </c:pt>
                <c:pt idx="422">
                  <c:v>104.77316943597631</c:v>
                </c:pt>
                <c:pt idx="423">
                  <c:v>104.62468694370945</c:v>
                </c:pt>
                <c:pt idx="424">
                  <c:v>104.48181395913298</c:v>
                </c:pt>
                <c:pt idx="425">
                  <c:v>104.34438623552934</c:v>
                </c:pt>
                <c:pt idx="426">
                  <c:v>104.21223705756152</c:v>
                </c:pt>
                <c:pt idx="427">
                  <c:v>104.08519717630165</c:v>
                </c:pt>
                <c:pt idx="428">
                  <c:v>103.9630947548887</c:v>
                </c:pt>
                <c:pt idx="429">
                  <c:v>103.84575532671579</c:v>
                </c:pt>
                <c:pt idx="430">
                  <c:v>103.73300176807589</c:v>
                </c:pt>
                <c:pt idx="431">
                  <c:v>103.62465428721758</c:v>
                </c:pt>
                <c:pt idx="432">
                  <c:v>103.52053043176946</c:v>
                </c:pt>
                <c:pt idx="433">
                  <c:v>103.42044511646705</c:v>
                </c:pt>
                <c:pt idx="434">
                  <c:v>103.32421067309168</c:v>
                </c:pt>
                <c:pt idx="435">
                  <c:v>103.23163692445426</c:v>
                </c:pt>
                <c:pt idx="436">
                  <c:v>103.14253128418198</c:v>
                </c:pt>
                <c:pt idx="437">
                  <c:v>103.05669888394431</c:v>
                </c:pt>
                <c:pt idx="438">
                  <c:v>102.97394272960321</c:v>
                </c:pt>
                <c:pt idx="439">
                  <c:v>102.89406388760464</c:v>
                </c:pt>
                <c:pt idx="440">
                  <c:v>102.81686170270764</c:v>
                </c:pt>
                <c:pt idx="441">
                  <c:v>102.74213404790602</c:v>
                </c:pt>
                <c:pt idx="442">
                  <c:v>102.66967760712205</c:v>
                </c:pt>
                <c:pt idx="443">
                  <c:v>102.5992881909354</c:v>
                </c:pt>
                <c:pt idx="444">
                  <c:v>102.53076108527419</c:v>
                </c:pt>
                <c:pt idx="445">
                  <c:v>102.46389143262095</c:v>
                </c:pt>
                <c:pt idx="446">
                  <c:v>102.39847464489144</c:v>
                </c:pt>
                <c:pt idx="447">
                  <c:v>102.33430684672581</c:v>
                </c:pt>
                <c:pt idx="448">
                  <c:v>102.27118534750051</c:v>
                </c:pt>
                <c:pt idx="449">
                  <c:v>102.20890913991693</c:v>
                </c:pt>
                <c:pt idx="450">
                  <c:v>102.14727942258686</c:v>
                </c:pt>
                <c:pt idx="451">
                  <c:v>102.08610014357082</c:v>
                </c:pt>
                <c:pt idx="452">
                  <c:v>102.02517856140865</c:v>
                </c:pt>
                <c:pt idx="453">
                  <c:v>101.96432581975806</c:v>
                </c:pt>
                <c:pt idx="454">
                  <c:v>101.90335753136819</c:v>
                </c:pt>
                <c:pt idx="455">
                  <c:v>101.84209436677573</c:v>
                </c:pt>
                <c:pt idx="456">
                  <c:v>101.78036264279895</c:v>
                </c:pt>
                <c:pt idx="457">
                  <c:v>101.71799490566457</c:v>
                </c:pt>
                <c:pt idx="458">
                  <c:v>101.65483050341096</c:v>
                </c:pt>
                <c:pt idx="459">
                  <c:v>101.59071614209994</c:v>
                </c:pt>
                <c:pt idx="460">
                  <c:v>101.52550642032537</c:v>
                </c:pt>
                <c:pt idx="461">
                  <c:v>101.45906433654427</c:v>
                </c:pt>
                <c:pt idx="462">
                  <c:v>101.39126176388179</c:v>
                </c:pt>
                <c:pt idx="463">
                  <c:v>101.3219798872601</c:v>
                </c:pt>
                <c:pt idx="464">
                  <c:v>101.2511095979965</c:v>
                </c:pt>
                <c:pt idx="465">
                  <c:v>101.17855184137696</c:v>
                </c:pt>
                <c:pt idx="466">
                  <c:v>101.10421791316553</c:v>
                </c:pt>
                <c:pt idx="467">
                  <c:v>101.02802970151812</c:v>
                </c:pt>
                <c:pt idx="468">
                  <c:v>100.94991987135717</c:v>
                </c:pt>
                <c:pt idx="469">
                  <c:v>100.86983198887904</c:v>
                </c:pt>
                <c:pt idx="470">
                  <c:v>100.78772058456515</c:v>
                </c:pt>
                <c:pt idx="471">
                  <c:v>100.70355115373881</c:v>
                </c:pt>
                <c:pt idx="472">
                  <c:v>100.6173000944647</c:v>
                </c:pt>
                <c:pt idx="473">
                  <c:v>100.52895458328598</c:v>
                </c:pt>
                <c:pt idx="474">
                  <c:v>100.43851239002433</c:v>
                </c:pt>
                <c:pt idx="475">
                  <c:v>100.34598163356176</c:v>
                </c:pt>
                <c:pt idx="476">
                  <c:v>100.2513804811784</c:v>
                </c:pt>
                <c:pt idx="477">
                  <c:v>100.15473679462879</c:v>
                </c:pt>
                <c:pt idx="478">
                  <c:v>100.05608772671691</c:v>
                </c:pt>
                <c:pt idx="479">
                  <c:v>99.955479272586246</c:v>
                </c:pt>
                <c:pt idx="480">
                  <c:v>99.852965780399074</c:v>
                </c:pt>
                <c:pt idx="481">
                  <c:v>99.748609426386153</c:v>
                </c:pt>
                <c:pt idx="482">
                  <c:v>99.642479659521285</c:v>
                </c:pt>
                <c:pt idx="483">
                  <c:v>99.534652621258218</c:v>
                </c:pt>
                <c:pt idx="484">
                  <c:v>99.425210545831646</c:v>
                </c:pt>
                <c:pt idx="485">
                  <c:v>99.314241146665012</c:v>
                </c:pt>
                <c:pt idx="486">
                  <c:v>99.201836994335636</c:v>
                </c:pt>
                <c:pt idx="487">
                  <c:v>99.08809489142115</c:v>
                </c:pt>
                <c:pt idx="488">
                  <c:v>98.973115249336544</c:v>
                </c:pt>
                <c:pt idx="489">
                  <c:v>98.857001472001201</c:v>
                </c:pt>
                <c:pt idx="490">
                  <c:v>98.739859350872251</c:v>
                </c:pt>
                <c:pt idx="491">
                  <c:v>98.621796475498869</c:v>
                </c:pt>
                <c:pt idx="492">
                  <c:v>98.502921663373172</c:v>
                </c:pt>
                <c:pt idx="493">
                  <c:v>98.383344412425458</c:v>
                </c:pt>
                <c:pt idx="494">
                  <c:v>98.263174379081249</c:v>
                </c:pt>
                <c:pt idx="495">
                  <c:v>98.142520884348102</c:v>
                </c:pt>
                <c:pt idx="496">
                  <c:v>98.02149244996113</c:v>
                </c:pt>
                <c:pt idx="497">
                  <c:v>97.900196366173034</c:v>
                </c:pt>
                <c:pt idx="498">
                  <c:v>97.778738292359819</c:v>
                </c:pt>
                <c:pt idx="499">
                  <c:v>97.657221891199285</c:v>
                </c:pt>
                <c:pt idx="500">
                  <c:v>97.535748496803762</c:v>
                </c:pt>
                <c:pt idx="501">
                  <c:v>97.414416816830609</c:v>
                </c:pt>
                <c:pt idx="502">
                  <c:v>97.293322668276218</c:v>
                </c:pt>
                <c:pt idx="503">
                  <c:v>97.172558746357325</c:v>
                </c:pt>
                <c:pt idx="504">
                  <c:v>97.052214425634048</c:v>
                </c:pt>
                <c:pt idx="505">
                  <c:v>96.932375592300303</c:v>
                </c:pt>
                <c:pt idx="506">
                  <c:v>96.813124506374905</c:v>
                </c:pt>
                <c:pt idx="507">
                  <c:v>96.694539692369247</c:v>
                </c:pt>
                <c:pt idx="508">
                  <c:v>96.576695856882552</c:v>
                </c:pt>
                <c:pt idx="509">
                  <c:v>96.459663831475581</c:v>
                </c:pt>
                <c:pt idx="510">
                  <c:v>96.343510539108834</c:v>
                </c:pt>
                <c:pt idx="511">
                  <c:v>96.228298982383038</c:v>
                </c:pt>
                <c:pt idx="512">
                  <c:v>96.114088251807885</c:v>
                </c:pt>
                <c:pt idx="513">
                  <c:v>96.00093355232012</c:v>
                </c:pt>
                <c:pt idx="514">
                  <c:v>95.888886246295186</c:v>
                </c:pt>
                <c:pt idx="515">
                  <c:v>95.777993911337006</c:v>
                </c:pt>
                <c:pt idx="516">
                  <c:v>95.668300411170947</c:v>
                </c:pt>
                <c:pt idx="517">
                  <c:v>95.559845978040826</c:v>
                </c:pt>
                <c:pt idx="518">
                  <c:v>95.452667305067692</c:v>
                </c:pt>
                <c:pt idx="519">
                  <c:v>95.346797647119956</c:v>
                </c:pt>
                <c:pt idx="520">
                  <c:v>95.242266928814772</c:v>
                </c:pt>
                <c:pt idx="521">
                  <c:v>95.139101858373451</c:v>
                </c:pt>
                <c:pt idx="522">
                  <c:v>95.037326046128143</c:v>
                </c:pt>
                <c:pt idx="523">
                  <c:v>94.936960126580303</c:v>
                </c:pt>
                <c:pt idx="524">
                  <c:v>94.838021882994241</c:v>
                </c:pt>
                <c:pt idx="525">
                  <c:v>94.740526373600588</c:v>
                </c:pt>
                <c:pt idx="526">
                  <c:v>94.64448605857379</c:v>
                </c:pt>
                <c:pt idx="527">
                  <c:v>94.549910927027184</c:v>
                </c:pt>
                <c:pt idx="528">
                  <c:v>94.456808623355215</c:v>
                </c:pt>
                <c:pt idx="529">
                  <c:v>94.365184572324168</c:v>
                </c:pt>
                <c:pt idx="530">
                  <c:v>94.275042102391012</c:v>
                </c:pt>
                <c:pt idx="531">
                  <c:v>94.186382566794634</c:v>
                </c:pt>
                <c:pt idx="532">
                  <c:v>94.099205462028522</c:v>
                </c:pt>
                <c:pt idx="533">
                  <c:v>94.013508543364182</c:v>
                </c:pt>
                <c:pt idx="534">
                  <c:v>93.929287937151344</c:v>
                </c:pt>
                <c:pt idx="535">
                  <c:v>93.846538249664633</c:v>
                </c:pt>
                <c:pt idx="536">
                  <c:v>93.765252672323058</c:v>
                </c:pt>
                <c:pt idx="537">
                  <c:v>93.685423083140066</c:v>
                </c:pt>
                <c:pt idx="538">
                  <c:v>93.607040144306126</c:v>
                </c:pt>
                <c:pt idx="539">
                  <c:v>93.530093395838605</c:v>
                </c:pt>
                <c:pt idx="540">
                  <c:v>93.454571345261769</c:v>
                </c:pt>
                <c:pt idx="541">
                  <c:v>93.380461553308251</c:v>
                </c:pt>
              </c:numCache>
            </c:numRef>
          </c:yVal>
          <c:smooth val="1"/>
          <c:extLst>
            <c:ext xmlns:c16="http://schemas.microsoft.com/office/drawing/2014/chart" uri="{C3380CC4-5D6E-409C-BE32-E72D297353CC}">
              <c16:uniqueId val="{00000001-D13D-4F31-A1F4-F359C82058E5}"/>
            </c:ext>
          </c:extLst>
        </c:ser>
        <c:dLbls>
          <c:showLegendKey val="0"/>
          <c:showVal val="0"/>
          <c:showCatName val="0"/>
          <c:showSerName val="0"/>
          <c:showPercent val="0"/>
          <c:showBubbleSize val="0"/>
        </c:dLbls>
        <c:axId val="331791744"/>
        <c:axId val="331790208"/>
      </c:scatterChart>
      <c:valAx>
        <c:axId val="331786112"/>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31788288"/>
        <c:crosses val="autoZero"/>
        <c:crossBetween val="midCat"/>
      </c:valAx>
      <c:valAx>
        <c:axId val="331788288"/>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31786112"/>
        <c:crosses val="autoZero"/>
        <c:crossBetween val="midCat"/>
        <c:majorUnit val="20"/>
        <c:minorUnit val="10"/>
      </c:valAx>
      <c:valAx>
        <c:axId val="331790208"/>
        <c:scaling>
          <c:orientation val="minMax"/>
          <c:max val="180"/>
          <c:min val="-180"/>
        </c:scaling>
        <c:delete val="0"/>
        <c:axPos val="r"/>
        <c:numFmt formatCode="General" sourceLinked="1"/>
        <c:majorTickMark val="out"/>
        <c:minorTickMark val="none"/>
        <c:tickLblPos val="nextTo"/>
        <c:crossAx val="331791744"/>
        <c:crosses val="max"/>
        <c:crossBetween val="midCat"/>
        <c:majorUnit val="90"/>
        <c:minorUnit val="45"/>
      </c:valAx>
      <c:valAx>
        <c:axId val="331791744"/>
        <c:scaling>
          <c:logBase val="10"/>
          <c:orientation val="minMax"/>
        </c:scaling>
        <c:delete val="1"/>
        <c:axPos val="b"/>
        <c:numFmt formatCode="0.00" sourceLinked="1"/>
        <c:majorTickMark val="out"/>
        <c:minorTickMark val="none"/>
        <c:tickLblPos val="nextTo"/>
        <c:crossAx val="331790208"/>
        <c:crosses val="autoZero"/>
        <c:crossBetween val="midCat"/>
      </c:valAx>
    </c:plotArea>
    <c:legend>
      <c:legendPos val="r"/>
      <c:layout>
        <c:manualLayout>
          <c:xMode val="edge"/>
          <c:yMode val="edge"/>
          <c:x val="0.79880558209512509"/>
          <c:y val="0.14321997959862004"/>
          <c:w val="0.13459449276057311"/>
          <c:h val="0.10691609861199437"/>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Eff_vs_IOUT!$BZ$7:$BZ$157</c:f>
              <c:numCache>
                <c:formatCode>General</c:formatCode>
                <c:ptCount val="151"/>
                <c:pt idx="0">
                  <c:v>0</c:v>
                </c:pt>
                <c:pt idx="1">
                  <c:v>49.0362395285524</c:v>
                </c:pt>
                <c:pt idx="2">
                  <c:v>64.489521815492409</c:v>
                </c:pt>
                <c:pt idx="3">
                  <c:v>72.104963594677272</c:v>
                </c:pt>
                <c:pt idx="4">
                  <c:v>76.647487522770092</c:v>
                </c:pt>
                <c:pt idx="5">
                  <c:v>79.6673266190042</c:v>
                </c:pt>
                <c:pt idx="6">
                  <c:v>81.821107789819351</c:v>
                </c:pt>
                <c:pt idx="7">
                  <c:v>83.434983834181494</c:v>
                </c:pt>
                <c:pt idx="8">
                  <c:v>84.689428387103575</c:v>
                </c:pt>
                <c:pt idx="9">
                  <c:v>85.692454586184965</c:v>
                </c:pt>
                <c:pt idx="10">
                  <c:v>86.512688887391391</c:v>
                </c:pt>
                <c:pt idx="11">
                  <c:v>87.195836779376364</c:v>
                </c:pt>
                <c:pt idx="12">
                  <c:v>87.773521751397809</c:v>
                </c:pt>
                <c:pt idx="13">
                  <c:v>88.268324887613133</c:v>
                </c:pt>
                <c:pt idx="14">
                  <c:v>88.696803683357871</c:v>
                </c:pt>
                <c:pt idx="15">
                  <c:v>89.071376535380779</c:v>
                </c:pt>
                <c:pt idx="16">
                  <c:v>89.401541042035547</c:v>
                </c:pt>
                <c:pt idx="17">
                  <c:v>89.694685684656974</c:v>
                </c:pt>
                <c:pt idx="18">
                  <c:v>89.956644938146013</c:v>
                </c:pt>
                <c:pt idx="19">
                  <c:v>90.19208773026088</c:v>
                </c:pt>
                <c:pt idx="20">
                  <c:v>90.404794860364348</c:v>
                </c:pt>
                <c:pt idx="21">
                  <c:v>90.597860739204208</c:v>
                </c:pt>
                <c:pt idx="22">
                  <c:v>90.773842497695227</c:v>
                </c:pt>
                <c:pt idx="23">
                  <c:v>90.934871822757017</c:v>
                </c:pt>
                <c:pt idx="24">
                  <c:v>91.082739959885757</c:v>
                </c:pt>
                <c:pt idx="25">
                  <c:v>91.218963107949492</c:v>
                </c:pt>
                <c:pt idx="26">
                  <c:v>91.344833289802978</c:v>
                </c:pt>
                <c:pt idx="27">
                  <c:v>91.461458329368014</c:v>
                </c:pt>
                <c:pt idx="28">
                  <c:v>91.569793564054208</c:v>
                </c:pt>
                <c:pt idx="29">
                  <c:v>91.670667220289175</c:v>
                </c:pt>
                <c:pt idx="30">
                  <c:v>91.764800882441264</c:v>
                </c:pt>
                <c:pt idx="31">
                  <c:v>91.852826127883219</c:v>
                </c:pt>
                <c:pt idx="32">
                  <c:v>91.935298140936339</c:v>
                </c:pt>
                <c:pt idx="33">
                  <c:v>92.012706927254285</c:v>
                </c:pt>
                <c:pt idx="34">
                  <c:v>92.085486608187267</c:v>
                </c:pt>
                <c:pt idx="35">
                  <c:v>92.154023168148029</c:v>
                </c:pt>
                <c:pt idx="36">
                  <c:v>92.218660947389068</c:v>
                </c:pt>
                <c:pt idx="37">
                  <c:v>92.279708111075578</c:v>
                </c:pt>
                <c:pt idx="38">
                  <c:v>92.337441278207237</c:v>
                </c:pt>
                <c:pt idx="39">
                  <c:v>92.392109457257348</c:v>
                </c:pt>
                <c:pt idx="40">
                  <c:v>92.443937406761094</c:v>
                </c:pt>
                <c:pt idx="41">
                  <c:v>92.493128516582729</c:v>
                </c:pt>
                <c:pt idx="42">
                  <c:v>92.539867287796199</c:v>
                </c:pt>
                <c:pt idx="43">
                  <c:v>92.584321474956027</c:v>
                </c:pt>
                <c:pt idx="44">
                  <c:v>92.626643943208393</c:v>
                </c:pt>
                <c:pt idx="45">
                  <c:v>92.666974283578853</c:v>
                </c:pt>
                <c:pt idx="46">
                  <c:v>92.70544022240415</c:v>
                </c:pt>
                <c:pt idx="47">
                  <c:v>92.742158854887819</c:v>
                </c:pt>
                <c:pt idx="48">
                  <c:v>92.777237727869149</c:v>
                </c:pt>
                <c:pt idx="49">
                  <c:v>92.810775792885906</c:v>
                </c:pt>
                <c:pt idx="50">
                  <c:v>92.842864247307261</c:v>
                </c:pt>
                <c:pt idx="51">
                  <c:v>92.873587278583017</c:v>
                </c:pt>
                <c:pt idx="52">
                  <c:v>92.903022724385536</c:v>
                </c:pt>
                <c:pt idx="53">
                  <c:v>92.928260453654033</c:v>
                </c:pt>
                <c:pt idx="54">
                  <c:v>92.951531317437414</c:v>
                </c:pt>
                <c:pt idx="55">
                  <c:v>92.973665796253542</c:v>
                </c:pt>
                <c:pt idx="56">
                  <c:v>92.994723787324745</c:v>
                </c:pt>
                <c:pt idx="57">
                  <c:v>93.014761056600449</c:v>
                </c:pt>
                <c:pt idx="58">
                  <c:v>93.033829588898513</c:v>
                </c:pt>
                <c:pt idx="59">
                  <c:v>93.05197790302897</c:v>
                </c:pt>
                <c:pt idx="60">
                  <c:v>93.069251335919375</c:v>
                </c:pt>
                <c:pt idx="61">
                  <c:v>93.085692299241515</c:v>
                </c:pt>
                <c:pt idx="62">
                  <c:v>93.101340511595296</c:v>
                </c:pt>
                <c:pt idx="63">
                  <c:v>93.116233208923461</c:v>
                </c:pt>
                <c:pt idx="64">
                  <c:v>93.130405335501877</c:v>
                </c:pt>
                <c:pt idx="65">
                  <c:v>93.143889717565401</c:v>
                </c:pt>
                <c:pt idx="66">
                  <c:v>93.156717221383929</c:v>
                </c:pt>
                <c:pt idx="67">
                  <c:v>93.168916897389494</c:v>
                </c:pt>
                <c:pt idx="68">
                  <c:v>93.180516111769293</c:v>
                </c:pt>
                <c:pt idx="69">
                  <c:v>93.19154066677882</c:v>
                </c:pt>
                <c:pt idx="70">
                  <c:v>93.202014910886405</c:v>
                </c:pt>
                <c:pt idx="71">
                  <c:v>93.211961839738677</c:v>
                </c:pt>
                <c:pt idx="72">
                  <c:v>93.221403188826756</c:v>
                </c:pt>
                <c:pt idx="73">
                  <c:v>93.230359518638338</c:v>
                </c:pt>
                <c:pt idx="74">
                  <c:v>93.238850292997171</c:v>
                </c:pt>
                <c:pt idx="75">
                  <c:v>93.246893951217274</c:v>
                </c:pt>
                <c:pt idx="76">
                  <c:v>93.254507974634592</c:v>
                </c:pt>
                <c:pt idx="77">
                  <c:v>93.261708948020086</c:v>
                </c:pt>
                <c:pt idx="78">
                  <c:v>93.268512616328536</c:v>
                </c:pt>
                <c:pt idx="79">
                  <c:v>93.274933937190724</c:v>
                </c:pt>
                <c:pt idx="80">
                  <c:v>93.28098712951703</c:v>
                </c:pt>
                <c:pt idx="81">
                  <c:v>93.286685718544533</c:v>
                </c:pt>
                <c:pt idx="82">
                  <c:v>93.292042577627299</c:v>
                </c:pt>
                <c:pt idx="83">
                  <c:v>93.297069967041679</c:v>
                </c:pt>
                <c:pt idx="84">
                  <c:v>93.301779570051963</c:v>
                </c:pt>
                <c:pt idx="85">
                  <c:v>93.306182526459949</c:v>
                </c:pt>
                <c:pt idx="86">
                  <c:v>93.310289463840277</c:v>
                </c:pt>
                <c:pt idx="87">
                  <c:v>93.314110526646289</c:v>
                </c:pt>
                <c:pt idx="88">
                  <c:v>93.317655403353257</c:v>
                </c:pt>
                <c:pt idx="89">
                  <c:v>93.320933351792149</c:v>
                </c:pt>
                <c:pt idx="90">
                  <c:v>93.323953222812932</c:v>
                </c:pt>
                <c:pt idx="91">
                  <c:v>93.326723482404375</c:v>
                </c:pt>
                <c:pt idx="92">
                  <c:v>93.329252232386793</c:v>
                </c:pt>
                <c:pt idx="93">
                  <c:v>93.331547229783894</c:v>
                </c:pt>
                <c:pt idx="94">
                  <c:v>93.333615904971097</c:v>
                </c:pt>
                <c:pt idx="95">
                  <c:v>93.335465378689364</c:v>
                </c:pt>
                <c:pt idx="96">
                  <c:v>93.337102478006798</c:v>
                </c:pt>
                <c:pt idx="97">
                  <c:v>93.338533751302649</c:v>
                </c:pt>
                <c:pt idx="98">
                  <c:v>93.339765482343509</c:v>
                </c:pt>
                <c:pt idx="99">
                  <c:v>93.340803703514595</c:v>
                </c:pt>
                <c:pt idx="100">
                  <c:v>93.341654208265041</c:v>
                </c:pt>
                <c:pt idx="101">
                  <c:v>93.342322562821224</c:v>
                </c:pt>
                <c:pt idx="102">
                  <c:v>93.342814117217458</c:v>
                </c:pt>
                <c:pt idx="103">
                  <c:v>93.343134015690509</c:v>
                </c:pt>
                <c:pt idx="104">
                  <c:v>93.343287206480028</c:v>
                </c:pt>
                <c:pt idx="105">
                  <c:v>93.343278451074085</c:v>
                </c:pt>
                <c:pt idx="106">
                  <c:v>93.343112332936499</c:v>
                </c:pt>
                <c:pt idx="107">
                  <c:v>93.342793265748952</c:v>
                </c:pt>
                <c:pt idx="108">
                  <c:v>93.342325501199781</c:v>
                </c:pt>
                <c:pt idx="109">
                  <c:v>93.341713136347479</c:v>
                </c:pt>
                <c:pt idx="110">
                  <c:v>93.340960120586558</c:v>
                </c:pt>
                <c:pt idx="111">
                  <c:v>93.340070262239877</c:v>
                </c:pt>
                <c:pt idx="112">
                  <c:v>93.339047234801185</c:v>
                </c:pt>
                <c:pt idx="113">
                  <c:v>93.337894582848875</c:v>
                </c:pt>
                <c:pt idx="114">
                  <c:v>93.336615727651392</c:v>
                </c:pt>
                <c:pt idx="115">
                  <c:v>93.335213972482421</c:v>
                </c:pt>
                <c:pt idx="116">
                  <c:v>93.333692507663841</c:v>
                </c:pt>
                <c:pt idx="117">
                  <c:v>93.332054415351891</c:v>
                </c:pt>
                <c:pt idx="118">
                  <c:v>93.330302674082276</c:v>
                </c:pt>
                <c:pt idx="119">
                  <c:v>93.328440163087834</c:v>
                </c:pt>
                <c:pt idx="120">
                  <c:v>93.326469666402161</c:v>
                </c:pt>
                <c:pt idx="121">
                  <c:v>93.324393876761462</c:v>
                </c:pt>
                <c:pt idx="122">
                  <c:v>93.322215399315908</c:v>
                </c:pt>
                <c:pt idx="123">
                  <c:v>93.319936755161606</c:v>
                </c:pt>
                <c:pt idx="124">
                  <c:v>93.317560384702801</c:v>
                </c:pt>
                <c:pt idx="125">
                  <c:v>93.315088650854221</c:v>
                </c:pt>
                <c:pt idx="126">
                  <c:v>93.312523842091863</c:v>
                </c:pt>
                <c:pt idx="127">
                  <c:v>93.309868175360933</c:v>
                </c:pt>
                <c:pt idx="128">
                  <c:v>93.307123798848508</c:v>
                </c:pt>
                <c:pt idx="129">
                  <c:v>93.304292794628168</c:v>
                </c:pt>
                <c:pt idx="130">
                  <c:v>93.301377181183554</c:v>
                </c:pt>
                <c:pt idx="131">
                  <c:v>93.298378915817167</c:v>
                </c:pt>
                <c:pt idx="132">
                  <c:v>93.29529989695051</c:v>
                </c:pt>
                <c:pt idx="133">
                  <c:v>93.292141966321225</c:v>
                </c:pt>
                <c:pt idx="134">
                  <c:v>93.288906911082663</c:v>
                </c:pt>
                <c:pt idx="135">
                  <c:v>93.285596465810613</c:v>
                </c:pt>
                <c:pt idx="136">
                  <c:v>93.282212314422438</c:v>
                </c:pt>
                <c:pt idx="137">
                  <c:v>93.2787560920125</c:v>
                </c:pt>
                <c:pt idx="138">
                  <c:v>93.275229386608416</c:v>
                </c:pt>
                <c:pt idx="139">
                  <c:v>93.271633740852238</c:v>
                </c:pt>
                <c:pt idx="140">
                  <c:v>93.267970653609837</c:v>
                </c:pt>
                <c:pt idx="141">
                  <c:v>93.264241581512351</c:v>
                </c:pt>
                <c:pt idx="142">
                  <c:v>93.260447940433096</c:v>
                </c:pt>
                <c:pt idx="143">
                  <c:v>93.256591106902704</c:v>
                </c:pt>
                <c:pt idx="144">
                  <c:v>93.252672419465981</c:v>
                </c:pt>
                <c:pt idx="145">
                  <c:v>93.248693179982666</c:v>
                </c:pt>
                <c:pt idx="146">
                  <c:v>93.244654654875418</c:v>
                </c:pt>
                <c:pt idx="147">
                  <c:v>93.240558076327019</c:v>
                </c:pt>
                <c:pt idx="148">
                  <c:v>93.236404643429367</c:v>
                </c:pt>
                <c:pt idx="149">
                  <c:v>93.232195523286592</c:v>
                </c:pt>
                <c:pt idx="150">
                  <c:v>93.227931852074335</c:v>
                </c:pt>
              </c:numCache>
            </c:numRef>
          </c:yVal>
          <c:smooth val="0"/>
          <c:extLst>
            <c:ext xmlns:c16="http://schemas.microsoft.com/office/drawing/2014/chart" uri="{C3380CC4-5D6E-409C-BE32-E72D297353CC}">
              <c16:uniqueId val="{00000000-2D92-4CB2-A641-52AD34A639BE}"/>
            </c:ext>
          </c:extLst>
        </c:ser>
        <c:dLbls>
          <c:showLegendKey val="0"/>
          <c:showVal val="0"/>
          <c:showCatName val="0"/>
          <c:showSerName val="0"/>
          <c:showPercent val="0"/>
          <c:showBubbleSize val="0"/>
        </c:dLbls>
        <c:axId val="586594176"/>
        <c:axId val="586595712"/>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Eff_vs_IOUT!$AJ$7:$AJ$157</c:f>
              <c:numCache>
                <c:formatCode>General</c:formatCode>
                <c:ptCount val="151"/>
                <c:pt idx="0">
                  <c:v>0</c:v>
                </c:pt>
                <c:pt idx="1">
                  <c:v>5.3217457793648254E-3</c:v>
                </c:pt>
                <c:pt idx="2">
                  <c:v>7.5709478729362734E-3</c:v>
                </c:pt>
                <c:pt idx="3">
                  <c:v>9.3274250830784142E-3</c:v>
                </c:pt>
                <c:pt idx="4">
                  <c:v>1.0833828368319344E-2</c:v>
                </c:pt>
                <c:pt idx="5">
                  <c:v>1.2183522684874338E-2</c:v>
                </c:pt>
                <c:pt idx="6">
                  <c:v>1.3424085085890498E-2</c:v>
                </c:pt>
                <c:pt idx="7">
                  <c:v>1.4583599736422721E-2</c:v>
                </c:pt>
                <c:pt idx="8">
                  <c:v>1.5680249540953685E-2</c:v>
                </c:pt>
                <c:pt idx="9">
                  <c:v>1.6726584576453245E-2</c:v>
                </c:pt>
                <c:pt idx="10">
                  <c:v>1.7731684552490558E-2</c:v>
                </c:pt>
                <c:pt idx="11">
                  <c:v>1.8702360281814479E-2</c:v>
                </c:pt>
                <c:pt idx="12">
                  <c:v>1.9643869240436561E-2</c:v>
                </c:pt>
                <c:pt idx="13">
                  <c:v>2.0560365535651669E-2</c:v>
                </c:pt>
                <c:pt idx="14">
                  <c:v>2.145519551997534E-2</c:v>
                </c:pt>
                <c:pt idx="15">
                  <c:v>2.2331099128222221E-2</c:v>
                </c:pt>
                <c:pt idx="16">
                  <c:v>2.319035121335623E-2</c:v>
                </c:pt>
                <c:pt idx="17">
                  <c:v>2.4034863348689831E-2</c:v>
                </c:pt>
                <c:pt idx="18">
                  <c:v>2.4866258799133373E-2</c:v>
                </c:pt>
                <c:pt idx="19">
                  <c:v>2.5685928810177613E-2</c:v>
                </c:pt>
                <c:pt idx="20">
                  <c:v>2.6495075594063614E-2</c:v>
                </c:pt>
                <c:pt idx="21">
                  <c:v>2.7294745654854947E-2</c:v>
                </c:pt>
                <c:pt idx="22">
                  <c:v>2.8085855973115626E-2</c:v>
                </c:pt>
                <c:pt idx="23">
                  <c:v>2.886921482981665E-2</c:v>
                </c:pt>
                <c:pt idx="24">
                  <c:v>2.9645538548365161E-2</c:v>
                </c:pt>
                <c:pt idx="25">
                  <c:v>3.0415465088617977E-2</c:v>
                </c:pt>
                <c:pt idx="26">
                  <c:v>3.1179565184748102E-2</c:v>
                </c:pt>
                <c:pt idx="27">
                  <c:v>3.1938351546354181E-2</c:v>
                </c:pt>
                <c:pt idx="28">
                  <c:v>3.2692286517455912E-2</c:v>
                </c:pt>
                <c:pt idx="29">
                  <c:v>3.3441788496573858E-2</c:v>
                </c:pt>
                <c:pt idx="30">
                  <c:v>3.4187237353225874E-2</c:v>
                </c:pt>
                <c:pt idx="31">
                  <c:v>3.4928979025229831E-2</c:v>
                </c:pt>
                <c:pt idx="32">
                  <c:v>3.5667329442556475E-2</c:v>
                </c:pt>
                <c:pt idx="33">
                  <c:v>3.6402577893871496E-2</c:v>
                </c:pt>
                <c:pt idx="34">
                  <c:v>3.7134989929019369E-2</c:v>
                </c:pt>
                <c:pt idx="35">
                  <c:v>3.7864809872857771E-2</c:v>
                </c:pt>
                <c:pt idx="36">
                  <c:v>3.8592263011828193E-2</c:v>
                </c:pt>
                <c:pt idx="37">
                  <c:v>3.9317557503545195E-2</c:v>
                </c:pt>
                <c:pt idx="38">
                  <c:v>4.0040886050834286E-2</c:v>
                </c:pt>
                <c:pt idx="39">
                  <c:v>4.0762427374543192E-2</c:v>
                </c:pt>
                <c:pt idx="40">
                  <c:v>4.14823475137132E-2</c:v>
                </c:pt>
                <c:pt idx="41">
                  <c:v>4.220080097703624E-2</c:v>
                </c:pt>
                <c:pt idx="42">
                  <c:v>4.2917931765715581E-2</c:v>
                </c:pt>
                <c:pt idx="43">
                  <c:v>4.3633874284721791E-2</c:v>
                </c:pt>
                <c:pt idx="44">
                  <c:v>4.4348754156854603E-2</c:v>
                </c:pt>
                <c:pt idx="45">
                  <c:v>4.5062688951882757E-2</c:v>
                </c:pt>
                <c:pt idx="46">
                  <c:v>4.5775788841250747E-2</c:v>
                </c:pt>
                <c:pt idx="47">
                  <c:v>4.6488157187351442E-2</c:v>
                </c:pt>
                <c:pt idx="48">
                  <c:v>4.7199891075110995E-2</c:v>
                </c:pt>
                <c:pt idx="49">
                  <c:v>4.7911081792576575E-2</c:v>
                </c:pt>
                <c:pt idx="50">
                  <c:v>4.862181526630413E-2</c:v>
                </c:pt>
                <c:pt idx="51">
                  <c:v>4.9332172456583723E-2</c:v>
                </c:pt>
                <c:pt idx="52">
                  <c:v>5.0042229716893566E-2</c:v>
                </c:pt>
                <c:pt idx="53">
                  <c:v>5.1045028398696991E-2</c:v>
                </c:pt>
                <c:pt idx="54">
                  <c:v>5.2129514008259409E-2</c:v>
                </c:pt>
                <c:pt idx="55">
                  <c:v>5.3220585356215634E-2</c:v>
                </c:pt>
                <c:pt idx="56">
                  <c:v>5.4318242442565653E-2</c:v>
                </c:pt>
                <c:pt idx="57">
                  <c:v>5.5422485267309488E-2</c:v>
                </c:pt>
                <c:pt idx="58">
                  <c:v>5.6533313830447129E-2</c:v>
                </c:pt>
                <c:pt idx="59">
                  <c:v>5.7650728131978579E-2</c:v>
                </c:pt>
                <c:pt idx="60">
                  <c:v>5.8774728171903837E-2</c:v>
                </c:pt>
                <c:pt idx="61">
                  <c:v>5.9905313950222902E-2</c:v>
                </c:pt>
                <c:pt idx="62">
                  <c:v>6.1042485466935775E-2</c:v>
                </c:pt>
                <c:pt idx="63">
                  <c:v>6.218624272204247E-2</c:v>
                </c:pt>
                <c:pt idx="64">
                  <c:v>6.3336585715542959E-2</c:v>
                </c:pt>
                <c:pt idx="65">
                  <c:v>6.4493514447437256E-2</c:v>
                </c:pt>
                <c:pt idx="66">
                  <c:v>6.5657028917725346E-2</c:v>
                </c:pt>
                <c:pt idx="67">
                  <c:v>6.6827129126407273E-2</c:v>
                </c:pt>
                <c:pt idx="68">
                  <c:v>6.8003815073482993E-2</c:v>
                </c:pt>
                <c:pt idx="69">
                  <c:v>6.9187086758952521E-2</c:v>
                </c:pt>
                <c:pt idx="70">
                  <c:v>7.037694418281587E-2</c:v>
                </c:pt>
                <c:pt idx="71">
                  <c:v>7.1573387345072986E-2</c:v>
                </c:pt>
                <c:pt idx="72">
                  <c:v>7.2776416245723966E-2</c:v>
                </c:pt>
                <c:pt idx="73">
                  <c:v>7.3986030884768725E-2</c:v>
                </c:pt>
                <c:pt idx="74">
                  <c:v>7.5202231262207292E-2</c:v>
                </c:pt>
                <c:pt idx="75">
                  <c:v>7.6425017378039653E-2</c:v>
                </c:pt>
                <c:pt idx="76">
                  <c:v>7.765438923226585E-2</c:v>
                </c:pt>
                <c:pt idx="77">
                  <c:v>7.889034682488584E-2</c:v>
                </c:pt>
                <c:pt idx="78">
                  <c:v>8.0132890155899639E-2</c:v>
                </c:pt>
                <c:pt idx="79">
                  <c:v>8.1382019225307259E-2</c:v>
                </c:pt>
                <c:pt idx="80">
                  <c:v>8.2637734033108659E-2</c:v>
                </c:pt>
                <c:pt idx="81">
                  <c:v>8.3900034579303909E-2</c:v>
                </c:pt>
                <c:pt idx="82">
                  <c:v>8.5168920863892952E-2</c:v>
                </c:pt>
                <c:pt idx="83">
                  <c:v>8.6444392886875748E-2</c:v>
                </c:pt>
                <c:pt idx="84">
                  <c:v>8.7726450648252408E-2</c:v>
                </c:pt>
                <c:pt idx="85">
                  <c:v>8.9015094148022861E-2</c:v>
                </c:pt>
                <c:pt idx="86">
                  <c:v>9.0310323386187136E-2</c:v>
                </c:pt>
                <c:pt idx="87">
                  <c:v>9.1612138362745191E-2</c:v>
                </c:pt>
                <c:pt idx="88">
                  <c:v>9.2920539077697081E-2</c:v>
                </c:pt>
                <c:pt idx="89">
                  <c:v>9.423552553104278E-2</c:v>
                </c:pt>
                <c:pt idx="90">
                  <c:v>9.5557097722782286E-2</c:v>
                </c:pt>
                <c:pt idx="91">
                  <c:v>9.6885255652915572E-2</c:v>
                </c:pt>
                <c:pt idx="92">
                  <c:v>9.8219999321442694E-2</c:v>
                </c:pt>
                <c:pt idx="93">
                  <c:v>9.9561328728363596E-2</c:v>
                </c:pt>
                <c:pt idx="94">
                  <c:v>0.10090924387367833</c:v>
                </c:pt>
                <c:pt idx="95">
                  <c:v>0.10226374475738688</c:v>
                </c:pt>
                <c:pt idx="96">
                  <c:v>0.10362483137948919</c:v>
                </c:pt>
                <c:pt idx="97">
                  <c:v>0.10499250373998532</c:v>
                </c:pt>
                <c:pt idx="98">
                  <c:v>0.10636676183887531</c:v>
                </c:pt>
                <c:pt idx="99">
                  <c:v>0.10774760567615907</c:v>
                </c:pt>
                <c:pt idx="100">
                  <c:v>0.10913503525183663</c:v>
                </c:pt>
                <c:pt idx="101">
                  <c:v>0.11052905056590803</c:v>
                </c:pt>
                <c:pt idx="102">
                  <c:v>0.11192965161837323</c:v>
                </c:pt>
                <c:pt idx="103">
                  <c:v>0.11333683840923221</c:v>
                </c:pt>
                <c:pt idx="104">
                  <c:v>0.11475061093848501</c:v>
                </c:pt>
                <c:pt idx="105">
                  <c:v>0.11617096920613165</c:v>
                </c:pt>
                <c:pt idx="106">
                  <c:v>0.11759791321217208</c:v>
                </c:pt>
                <c:pt idx="107">
                  <c:v>0.11903144295660628</c:v>
                </c:pt>
                <c:pt idx="108">
                  <c:v>0.12047155843943436</c:v>
                </c:pt>
                <c:pt idx="109">
                  <c:v>0.12191825966065617</c:v>
                </c:pt>
                <c:pt idx="110">
                  <c:v>0.12337154662027185</c:v>
                </c:pt>
                <c:pt idx="111">
                  <c:v>0.12483141931828132</c:v>
                </c:pt>
                <c:pt idx="112">
                  <c:v>0.1262978777546846</c:v>
                </c:pt>
                <c:pt idx="113">
                  <c:v>0.12777092192948164</c:v>
                </c:pt>
                <c:pt idx="114">
                  <c:v>0.12925055184267253</c:v>
                </c:pt>
                <c:pt idx="115">
                  <c:v>0.13073676749425722</c:v>
                </c:pt>
                <c:pt idx="116">
                  <c:v>0.1322295688842357</c:v>
                </c:pt>
                <c:pt idx="117">
                  <c:v>0.13372895601260798</c:v>
                </c:pt>
                <c:pt idx="118">
                  <c:v>0.13523492887937411</c:v>
                </c:pt>
                <c:pt idx="119">
                  <c:v>0.13674748748453405</c:v>
                </c:pt>
                <c:pt idx="120">
                  <c:v>0.13826663182808779</c:v>
                </c:pt>
                <c:pt idx="121">
                  <c:v>0.13979236191003536</c:v>
                </c:pt>
                <c:pt idx="122">
                  <c:v>0.14132467773037669</c:v>
                </c:pt>
                <c:pt idx="123">
                  <c:v>0.14286357928911181</c:v>
                </c:pt>
                <c:pt idx="124">
                  <c:v>0.14440906658624078</c:v>
                </c:pt>
                <c:pt idx="125">
                  <c:v>0.14596113962176355</c:v>
                </c:pt>
                <c:pt idx="126">
                  <c:v>0.14751979839568016</c:v>
                </c:pt>
                <c:pt idx="127">
                  <c:v>0.14908504290799049</c:v>
                </c:pt>
                <c:pt idx="128">
                  <c:v>0.15065687315869472</c:v>
                </c:pt>
                <c:pt idx="129">
                  <c:v>0.15223528914779272</c:v>
                </c:pt>
                <c:pt idx="130">
                  <c:v>0.15382029087528451</c:v>
                </c:pt>
                <c:pt idx="131">
                  <c:v>0.15541187834117015</c:v>
                </c:pt>
                <c:pt idx="132">
                  <c:v>0.15701005154544956</c:v>
                </c:pt>
                <c:pt idx="133">
                  <c:v>0.15861481048812281</c:v>
                </c:pt>
                <c:pt idx="134">
                  <c:v>0.16022615516918987</c:v>
                </c:pt>
                <c:pt idx="135">
                  <c:v>0.16184408558865071</c:v>
                </c:pt>
                <c:pt idx="136">
                  <c:v>0.16346860174650535</c:v>
                </c:pt>
                <c:pt idx="137">
                  <c:v>0.16509970364275384</c:v>
                </c:pt>
                <c:pt idx="138">
                  <c:v>0.16673739127739612</c:v>
                </c:pt>
                <c:pt idx="139">
                  <c:v>0.16838166465043219</c:v>
                </c:pt>
                <c:pt idx="140">
                  <c:v>0.17003252376186209</c:v>
                </c:pt>
                <c:pt idx="141">
                  <c:v>0.17168996861168573</c:v>
                </c:pt>
                <c:pt idx="142">
                  <c:v>0.17335399919990319</c:v>
                </c:pt>
                <c:pt idx="143">
                  <c:v>0.17502461552651455</c:v>
                </c:pt>
                <c:pt idx="144">
                  <c:v>0.17670181759151971</c:v>
                </c:pt>
                <c:pt idx="145">
                  <c:v>0.17838560539491857</c:v>
                </c:pt>
                <c:pt idx="146">
                  <c:v>0.18007597893671137</c:v>
                </c:pt>
                <c:pt idx="147">
                  <c:v>0.18177293821689791</c:v>
                </c:pt>
                <c:pt idx="148">
                  <c:v>0.18347648323547824</c:v>
                </c:pt>
                <c:pt idx="149">
                  <c:v>0.1851866139924524</c:v>
                </c:pt>
                <c:pt idx="150">
                  <c:v>0.18690333048782037</c:v>
                </c:pt>
              </c:numCache>
            </c:numRef>
          </c:yVal>
          <c:smooth val="1"/>
          <c:extLst>
            <c:ext xmlns:c16="http://schemas.microsoft.com/office/drawing/2014/chart" uri="{C3380CC4-5D6E-409C-BE32-E72D297353CC}">
              <c16:uniqueId val="{00000001-2D92-4CB2-A641-52AD34A639BE}"/>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Eff_vs_IOUT!$BU$7:$BU$157</c:f>
              <c:numCache>
                <c:formatCode>General</c:formatCode>
                <c:ptCount val="151"/>
                <c:pt idx="0">
                  <c:v>0</c:v>
                </c:pt>
                <c:pt idx="1">
                  <c:v>7.2925980685706084E-6</c:v>
                </c:pt>
                <c:pt idx="2">
                  <c:v>2.0626582187016798E-5</c:v>
                </c:pt>
                <c:pt idx="3">
                  <c:v>3.7893451121828883E-5</c:v>
                </c:pt>
                <c:pt idx="4">
                  <c:v>5.8340784548564888E-5</c:v>
                </c:pt>
                <c:pt idx="5">
                  <c:v>8.1533725069537797E-5</c:v>
                </c:pt>
                <c:pt idx="6">
                  <c:v>1.0717886500322474E-4</c:v>
                </c:pt>
                <c:pt idx="7">
                  <c:v>1.3506080630691465E-4</c:v>
                </c:pt>
                <c:pt idx="8">
                  <c:v>1.6501265749613439E-4</c:v>
                </c:pt>
                <c:pt idx="9">
                  <c:v>1.9690014785140648E-4</c:v>
                </c:pt>
                <c:pt idx="10">
                  <c:v>2.3061219956827911E-4</c:v>
                </c:pt>
                <c:pt idx="11">
                  <c:v>2.6605492694351115E-4</c:v>
                </c:pt>
                <c:pt idx="12">
                  <c:v>3.0314760897463101E-4</c:v>
                </c:pt>
                <c:pt idx="13">
                  <c:v>3.4181987147855283E-4</c:v>
                </c:pt>
                <c:pt idx="14">
                  <c:v>3.8200964804856852E-4</c:v>
                </c:pt>
                <c:pt idx="15">
                  <c:v>4.2366166305237519E-4</c:v>
                </c:pt>
                <c:pt idx="16">
                  <c:v>4.6672627638851894E-4</c:v>
                </c:pt>
                <c:pt idx="17">
                  <c:v>5.1115858607216384E-4</c:v>
                </c:pt>
                <c:pt idx="18">
                  <c:v>5.5691771904945332E-4</c:v>
                </c:pt>
                <c:pt idx="19">
                  <c:v>6.039662623184243E-4</c:v>
                </c:pt>
                <c:pt idx="20">
                  <c:v>6.5226980055630248E-4</c:v>
                </c:pt>
                <c:pt idx="21">
                  <c:v>7.0179653590438519E-4</c:v>
                </c:pt>
                <c:pt idx="22">
                  <c:v>7.5251697203939272E-4</c:v>
                </c:pt>
                <c:pt idx="23">
                  <c:v>8.0440364919430907E-4</c:v>
                </c:pt>
                <c:pt idx="24">
                  <c:v>8.574309200257978E-4</c:v>
                </c:pt>
                <c:pt idx="25">
                  <c:v>9.1157475857132583E-4</c:v>
                </c:pt>
                <c:pt idx="26">
                  <c:v>9.6681259626719518E-4</c:v>
                </c:pt>
                <c:pt idx="27">
                  <c:v>1.0231231802893806E-3</c:v>
                </c:pt>
                <c:pt idx="28">
                  <c:v>1.0804864504553168E-3</c:v>
                </c:pt>
                <c:pt idx="29">
                  <c:v>1.1388834316718619E-3</c:v>
                </c:pt>
                <c:pt idx="30">
                  <c:v>1.1982961394924193E-3</c:v>
                </c:pt>
                <c:pt idx="31">
                  <c:v>1.2587074967975453E-3</c:v>
                </c:pt>
                <c:pt idx="32">
                  <c:v>1.3201012599690751E-3</c:v>
                </c:pt>
                <c:pt idx="33">
                  <c:v>1.3824619532105612E-3</c:v>
                </c:pt>
                <c:pt idx="34">
                  <c:v>1.4457748098934179E-3</c:v>
                </c:pt>
                <c:pt idx="35">
                  <c:v>1.5100257199909663E-3</c:v>
                </c:pt>
                <c:pt idx="36">
                  <c:v>1.5752011828112514E-3</c:v>
                </c:pt>
                <c:pt idx="37">
                  <c:v>1.6412882643609794E-3</c:v>
                </c:pt>
                <c:pt idx="38">
                  <c:v>1.7082745587730052E-3</c:v>
                </c:pt>
                <c:pt idx="39">
                  <c:v>1.7761481533125516E-3</c:v>
                </c:pt>
                <c:pt idx="40">
                  <c:v>1.8448975965462326E-3</c:v>
                </c:pt>
                <c:pt idx="41">
                  <c:v>1.9145118693155395E-3</c:v>
                </c:pt>
                <c:pt idx="42">
                  <c:v>1.9849803582048763E-3</c:v>
                </c:pt>
                <c:pt idx="43">
                  <c:v>2.0562928312350972E-3</c:v>
                </c:pt>
                <c:pt idx="44">
                  <c:v>2.1284394155480892E-3</c:v>
                </c:pt>
                <c:pt idx="45">
                  <c:v>2.2014105768775206E-3</c:v>
                </c:pt>
                <c:pt idx="46">
                  <c:v>2.275197100626002E-3</c:v>
                </c:pt>
                <c:pt idx="47">
                  <c:v>2.3497900743905784E-3</c:v>
                </c:pt>
                <c:pt idx="48">
                  <c:v>2.4251808717970485E-3</c:v>
                </c:pt>
                <c:pt idx="49">
                  <c:v>2.5013611375197201E-3</c:v>
                </c:pt>
                <c:pt idx="50">
                  <c:v>2.578322773377099E-3</c:v>
                </c:pt>
                <c:pt idx="51">
                  <c:v>2.6560579254061687E-3</c:v>
                </c:pt>
                <c:pt idx="52">
                  <c:v>2.7345589718284226E-3</c:v>
                </c:pt>
                <c:pt idx="53">
                  <c:v>2.8140580017313498E-3</c:v>
                </c:pt>
                <c:pt idx="54">
                  <c:v>2.8950550141609421E-3</c:v>
                </c:pt>
                <c:pt idx="55">
                  <c:v>2.9775659894396862E-3</c:v>
                </c:pt>
                <c:pt idx="56">
                  <c:v>3.0615909275675773E-3</c:v>
                </c:pt>
                <c:pt idx="57">
                  <c:v>3.1471298285446233E-3</c:v>
                </c:pt>
                <c:pt idx="58">
                  <c:v>3.2341826923708186E-3</c:v>
                </c:pt>
                <c:pt idx="59">
                  <c:v>3.3227495190461648E-3</c:v>
                </c:pt>
                <c:pt idx="60">
                  <c:v>3.4128303085706651E-3</c:v>
                </c:pt>
                <c:pt idx="61">
                  <c:v>3.5044250609443128E-3</c:v>
                </c:pt>
                <c:pt idx="62">
                  <c:v>3.5975337761671145E-3</c:v>
                </c:pt>
                <c:pt idx="63">
                  <c:v>3.6921564542390681E-3</c:v>
                </c:pt>
                <c:pt idx="64">
                  <c:v>3.78829309516017E-3</c:v>
                </c:pt>
                <c:pt idx="65">
                  <c:v>3.885943698930425E-3</c:v>
                </c:pt>
                <c:pt idx="66">
                  <c:v>3.9851082655498306E-3</c:v>
                </c:pt>
                <c:pt idx="67">
                  <c:v>4.085786795018388E-3</c:v>
                </c:pt>
                <c:pt idx="68">
                  <c:v>4.1879792873360982E-3</c:v>
                </c:pt>
                <c:pt idx="69">
                  <c:v>4.291685742502954E-3</c:v>
                </c:pt>
                <c:pt idx="70">
                  <c:v>4.3969061605189678E-3</c:v>
                </c:pt>
                <c:pt idx="71">
                  <c:v>4.5036405413841265E-3</c:v>
                </c:pt>
                <c:pt idx="72">
                  <c:v>4.6118888850984422E-3</c:v>
                </c:pt>
                <c:pt idx="73">
                  <c:v>4.7216511916619054E-3</c:v>
                </c:pt>
                <c:pt idx="74">
                  <c:v>4.8329274610745213E-3</c:v>
                </c:pt>
                <c:pt idx="75">
                  <c:v>4.9457176933362882E-3</c:v>
                </c:pt>
                <c:pt idx="76">
                  <c:v>5.0600218884472069E-3</c:v>
                </c:pt>
                <c:pt idx="77">
                  <c:v>5.1758400464072766E-3</c:v>
                </c:pt>
                <c:pt idx="78">
                  <c:v>5.2931721672164972E-3</c:v>
                </c:pt>
                <c:pt idx="79">
                  <c:v>5.4120182508748697E-3</c:v>
                </c:pt>
                <c:pt idx="80">
                  <c:v>5.5323782973823897E-3</c:v>
                </c:pt>
                <c:pt idx="81">
                  <c:v>5.6542523067390684E-3</c:v>
                </c:pt>
                <c:pt idx="82">
                  <c:v>5.7776402789448955E-3</c:v>
                </c:pt>
                <c:pt idx="83">
                  <c:v>5.9025422139998684E-3</c:v>
                </c:pt>
                <c:pt idx="84">
                  <c:v>6.0289581119039939E-3</c:v>
                </c:pt>
                <c:pt idx="85">
                  <c:v>6.1568879726572765E-3</c:v>
                </c:pt>
                <c:pt idx="86">
                  <c:v>6.2863317962597075E-3</c:v>
                </c:pt>
                <c:pt idx="87">
                  <c:v>6.4172895827112868E-3</c:v>
                </c:pt>
                <c:pt idx="88">
                  <c:v>6.5497613320120206E-3</c:v>
                </c:pt>
                <c:pt idx="89">
                  <c:v>6.6837470441619027E-3</c:v>
                </c:pt>
                <c:pt idx="90">
                  <c:v>6.8192467191609428E-3</c:v>
                </c:pt>
                <c:pt idx="91">
                  <c:v>6.9562603570091286E-3</c:v>
                </c:pt>
                <c:pt idx="92">
                  <c:v>7.0947879577064671E-3</c:v>
                </c:pt>
                <c:pt idx="93">
                  <c:v>7.2348295212529548E-3</c:v>
                </c:pt>
                <c:pt idx="94">
                  <c:v>7.3763850476485961E-3</c:v>
                </c:pt>
                <c:pt idx="95">
                  <c:v>7.5194545368933901E-3</c:v>
                </c:pt>
                <c:pt idx="96">
                  <c:v>7.6640379889873298E-3</c:v>
                </c:pt>
                <c:pt idx="97">
                  <c:v>7.8101354039304188E-3</c:v>
                </c:pt>
                <c:pt idx="98">
                  <c:v>7.9577467817226709E-3</c:v>
                </c:pt>
                <c:pt idx="99">
                  <c:v>8.1068721223640644E-3</c:v>
                </c:pt>
                <c:pt idx="100">
                  <c:v>8.2575114258546106E-3</c:v>
                </c:pt>
                <c:pt idx="101">
                  <c:v>8.409664692194313E-3</c:v>
                </c:pt>
                <c:pt idx="102">
                  <c:v>8.5633319213831629E-3</c:v>
                </c:pt>
                <c:pt idx="103">
                  <c:v>8.7185131134211637E-3</c:v>
                </c:pt>
                <c:pt idx="104">
                  <c:v>8.8752082683083156E-3</c:v>
                </c:pt>
                <c:pt idx="105">
                  <c:v>9.0334173860446253E-3</c:v>
                </c:pt>
                <c:pt idx="106">
                  <c:v>9.1931404666300807E-3</c:v>
                </c:pt>
                <c:pt idx="107">
                  <c:v>9.3543775100646837E-3</c:v>
                </c:pt>
                <c:pt idx="108">
                  <c:v>9.5171285163484463E-3</c:v>
                </c:pt>
                <c:pt idx="109">
                  <c:v>9.6813934854813512E-3</c:v>
                </c:pt>
                <c:pt idx="110">
                  <c:v>9.8471724174634141E-3</c:v>
                </c:pt>
                <c:pt idx="111">
                  <c:v>1.0014465312294628E-2</c:v>
                </c:pt>
                <c:pt idx="112">
                  <c:v>1.0183272169974991E-2</c:v>
                </c:pt>
                <c:pt idx="113">
                  <c:v>1.03535929905045E-2</c:v>
                </c:pt>
                <c:pt idx="114">
                  <c:v>1.0525427773883165E-2</c:v>
                </c:pt>
                <c:pt idx="115">
                  <c:v>1.0698776520110982E-2</c:v>
                </c:pt>
                <c:pt idx="116">
                  <c:v>1.0873639229187944E-2</c:v>
                </c:pt>
                <c:pt idx="117">
                  <c:v>1.1050015901114062E-2</c:v>
                </c:pt>
                <c:pt idx="118">
                  <c:v>1.1227906535889334E-2</c:v>
                </c:pt>
                <c:pt idx="119">
                  <c:v>1.1407311133513759E-2</c:v>
                </c:pt>
                <c:pt idx="120">
                  <c:v>1.1588229693987335E-2</c:v>
                </c:pt>
                <c:pt idx="121">
                  <c:v>1.1770662217310057E-2</c:v>
                </c:pt>
                <c:pt idx="122">
                  <c:v>1.1954608703481929E-2</c:v>
                </c:pt>
                <c:pt idx="123">
                  <c:v>1.2140069152502955E-2</c:v>
                </c:pt>
                <c:pt idx="124">
                  <c:v>1.2327043564373133E-2</c:v>
                </c:pt>
                <c:pt idx="125">
                  <c:v>1.2515531939092462E-2</c:v>
                </c:pt>
                <c:pt idx="126">
                  <c:v>1.2705534276660947E-2</c:v>
                </c:pt>
                <c:pt idx="127">
                  <c:v>1.2897050577078569E-2</c:v>
                </c:pt>
                <c:pt idx="128">
                  <c:v>1.3090080840345355E-2</c:v>
                </c:pt>
                <c:pt idx="129">
                  <c:v>1.3284625066461284E-2</c:v>
                </c:pt>
                <c:pt idx="130">
                  <c:v>1.3480683255426371E-2</c:v>
                </c:pt>
                <c:pt idx="131">
                  <c:v>1.3678255407240613E-2</c:v>
                </c:pt>
                <c:pt idx="132">
                  <c:v>1.3877341521903997E-2</c:v>
                </c:pt>
                <c:pt idx="133">
                  <c:v>1.4077941599416536E-2</c:v>
                </c:pt>
                <c:pt idx="134">
                  <c:v>1.4280055639778225E-2</c:v>
                </c:pt>
                <c:pt idx="135">
                  <c:v>1.4483683642989069E-2</c:v>
                </c:pt>
                <c:pt idx="136">
                  <c:v>1.4688825609049062E-2</c:v>
                </c:pt>
                <c:pt idx="137">
                  <c:v>1.4895481537958201E-2</c:v>
                </c:pt>
                <c:pt idx="138">
                  <c:v>1.5103651429716498E-2</c:v>
                </c:pt>
                <c:pt idx="139">
                  <c:v>1.5313335284323947E-2</c:v>
                </c:pt>
                <c:pt idx="140">
                  <c:v>1.5524533101780546E-2</c:v>
                </c:pt>
                <c:pt idx="141">
                  <c:v>1.5737244882086283E-2</c:v>
                </c:pt>
                <c:pt idx="142">
                  <c:v>1.5951470625241177E-2</c:v>
                </c:pt>
                <c:pt idx="143">
                  <c:v>1.6167210331245237E-2</c:v>
                </c:pt>
                <c:pt idx="144">
                  <c:v>1.6384464000098443E-2</c:v>
                </c:pt>
                <c:pt idx="145">
                  <c:v>1.6603231631800785E-2</c:v>
                </c:pt>
                <c:pt idx="146">
                  <c:v>1.68235132263523E-2</c:v>
                </c:pt>
                <c:pt idx="147">
                  <c:v>1.7045308783752957E-2</c:v>
                </c:pt>
                <c:pt idx="148">
                  <c:v>1.726861830400276E-2</c:v>
                </c:pt>
                <c:pt idx="149">
                  <c:v>1.7493441787101716E-2</c:v>
                </c:pt>
                <c:pt idx="150">
                  <c:v>1.7719779233049831E-2</c:v>
                </c:pt>
              </c:numCache>
            </c:numRef>
          </c:yVal>
          <c:smooth val="1"/>
          <c:extLst>
            <c:ext xmlns:c16="http://schemas.microsoft.com/office/drawing/2014/chart" uri="{C3380CC4-5D6E-409C-BE32-E72D297353CC}">
              <c16:uniqueId val="{00000002-2D92-4CB2-A641-52AD34A639BE}"/>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Eff_vs_IOUT!$AY$8:$AY$157</c:f>
              <c:numCache>
                <c:formatCode>General</c:formatCode>
                <c:ptCount val="150"/>
                <c:pt idx="0">
                  <c:v>0.110428</c:v>
                </c:pt>
                <c:pt idx="1">
                  <c:v>0.111428</c:v>
                </c:pt>
                <c:pt idx="2">
                  <c:v>0.112428</c:v>
                </c:pt>
                <c:pt idx="3">
                  <c:v>0.113428</c:v>
                </c:pt>
                <c:pt idx="4">
                  <c:v>0.114428</c:v>
                </c:pt>
                <c:pt idx="5">
                  <c:v>0.115428</c:v>
                </c:pt>
                <c:pt idx="6">
                  <c:v>0.116428</c:v>
                </c:pt>
                <c:pt idx="7">
                  <c:v>0.117428</c:v>
                </c:pt>
                <c:pt idx="8">
                  <c:v>0.11842799999999999</c:v>
                </c:pt>
                <c:pt idx="9">
                  <c:v>0.11942799999999999</c:v>
                </c:pt>
                <c:pt idx="10">
                  <c:v>0.12042799999999999</c:v>
                </c:pt>
                <c:pt idx="11">
                  <c:v>0.12142799999999999</c:v>
                </c:pt>
                <c:pt idx="12">
                  <c:v>0.122428</c:v>
                </c:pt>
                <c:pt idx="13">
                  <c:v>0.123428</c:v>
                </c:pt>
                <c:pt idx="14">
                  <c:v>0.124428</c:v>
                </c:pt>
                <c:pt idx="15">
                  <c:v>0.12542799999999998</c:v>
                </c:pt>
                <c:pt idx="16">
                  <c:v>0.12642799999999998</c:v>
                </c:pt>
                <c:pt idx="17">
                  <c:v>0.12742799999999999</c:v>
                </c:pt>
                <c:pt idx="18">
                  <c:v>0.12842799999999999</c:v>
                </c:pt>
                <c:pt idx="19">
                  <c:v>0.12942799999999999</c:v>
                </c:pt>
                <c:pt idx="20">
                  <c:v>0.13042799999999999</c:v>
                </c:pt>
                <c:pt idx="21">
                  <c:v>0.13142799999999999</c:v>
                </c:pt>
                <c:pt idx="22">
                  <c:v>0.13242799999999999</c:v>
                </c:pt>
                <c:pt idx="23">
                  <c:v>0.13342799999999999</c:v>
                </c:pt>
                <c:pt idx="24">
                  <c:v>0.13442799999999999</c:v>
                </c:pt>
                <c:pt idx="25">
                  <c:v>0.13542799999999999</c:v>
                </c:pt>
                <c:pt idx="26">
                  <c:v>0.13642799999999999</c:v>
                </c:pt>
                <c:pt idx="27">
                  <c:v>0.13742799999999999</c:v>
                </c:pt>
                <c:pt idx="28">
                  <c:v>0.138428</c:v>
                </c:pt>
                <c:pt idx="29">
                  <c:v>0.139428</c:v>
                </c:pt>
                <c:pt idx="30">
                  <c:v>0.140428</c:v>
                </c:pt>
                <c:pt idx="31">
                  <c:v>0.141428</c:v>
                </c:pt>
                <c:pt idx="32">
                  <c:v>0.142428</c:v>
                </c:pt>
                <c:pt idx="33">
                  <c:v>0.143428</c:v>
                </c:pt>
                <c:pt idx="34">
                  <c:v>0.144428</c:v>
                </c:pt>
                <c:pt idx="35">
                  <c:v>0.145428</c:v>
                </c:pt>
                <c:pt idx="36">
                  <c:v>0.146428</c:v>
                </c:pt>
                <c:pt idx="37">
                  <c:v>0.147428</c:v>
                </c:pt>
                <c:pt idx="38">
                  <c:v>0.148428</c:v>
                </c:pt>
                <c:pt idx="39">
                  <c:v>0.14942800000000001</c:v>
                </c:pt>
                <c:pt idx="40">
                  <c:v>0.15042800000000001</c:v>
                </c:pt>
                <c:pt idx="41">
                  <c:v>0.15142800000000001</c:v>
                </c:pt>
                <c:pt idx="42">
                  <c:v>0.15242800000000001</c:v>
                </c:pt>
                <c:pt idx="43">
                  <c:v>0.15342800000000001</c:v>
                </c:pt>
                <c:pt idx="44">
                  <c:v>0.15442800000000001</c:v>
                </c:pt>
                <c:pt idx="45">
                  <c:v>0.15542800000000001</c:v>
                </c:pt>
                <c:pt idx="46">
                  <c:v>0.15642800000000001</c:v>
                </c:pt>
                <c:pt idx="47">
                  <c:v>0.15742800000000001</c:v>
                </c:pt>
                <c:pt idx="48">
                  <c:v>0.15842799999999999</c:v>
                </c:pt>
                <c:pt idx="49">
                  <c:v>0.15942799999999999</c:v>
                </c:pt>
                <c:pt idx="50">
                  <c:v>0.16042800000000002</c:v>
                </c:pt>
                <c:pt idx="51">
                  <c:v>0.16142799999999999</c:v>
                </c:pt>
                <c:pt idx="52">
                  <c:v>0.16242799999999999</c:v>
                </c:pt>
                <c:pt idx="53">
                  <c:v>0.16342800000000002</c:v>
                </c:pt>
                <c:pt idx="54">
                  <c:v>0.16442799999999999</c:v>
                </c:pt>
                <c:pt idx="55">
                  <c:v>0.16542799999999999</c:v>
                </c:pt>
                <c:pt idx="56">
                  <c:v>0.16642800000000002</c:v>
                </c:pt>
                <c:pt idx="57">
                  <c:v>0.16742799999999999</c:v>
                </c:pt>
                <c:pt idx="58">
                  <c:v>0.16842799999999999</c:v>
                </c:pt>
                <c:pt idx="59">
                  <c:v>0.169428</c:v>
                </c:pt>
                <c:pt idx="60">
                  <c:v>0.170428</c:v>
                </c:pt>
                <c:pt idx="61">
                  <c:v>0.171428</c:v>
                </c:pt>
                <c:pt idx="62">
                  <c:v>0.172428</c:v>
                </c:pt>
                <c:pt idx="63">
                  <c:v>0.173428</c:v>
                </c:pt>
                <c:pt idx="64">
                  <c:v>0.174428</c:v>
                </c:pt>
                <c:pt idx="65">
                  <c:v>0.175428</c:v>
                </c:pt>
                <c:pt idx="66">
                  <c:v>0.176428</c:v>
                </c:pt>
                <c:pt idx="67">
                  <c:v>0.177428</c:v>
                </c:pt>
                <c:pt idx="68">
                  <c:v>0.178428</c:v>
                </c:pt>
                <c:pt idx="69">
                  <c:v>0.179428</c:v>
                </c:pt>
                <c:pt idx="70">
                  <c:v>0.18042799999999998</c:v>
                </c:pt>
                <c:pt idx="71">
                  <c:v>0.18142799999999998</c:v>
                </c:pt>
                <c:pt idx="72">
                  <c:v>0.18242799999999998</c:v>
                </c:pt>
                <c:pt idx="73">
                  <c:v>0.18342799999999998</c:v>
                </c:pt>
                <c:pt idx="74">
                  <c:v>0.18442799999999998</c:v>
                </c:pt>
                <c:pt idx="75">
                  <c:v>0.18542799999999998</c:v>
                </c:pt>
                <c:pt idx="76">
                  <c:v>0.18642799999999998</c:v>
                </c:pt>
                <c:pt idx="77">
                  <c:v>0.18742799999999998</c:v>
                </c:pt>
                <c:pt idx="78">
                  <c:v>0.18842799999999998</c:v>
                </c:pt>
                <c:pt idx="79">
                  <c:v>0.18942799999999999</c:v>
                </c:pt>
                <c:pt idx="80">
                  <c:v>0.19042799999999999</c:v>
                </c:pt>
                <c:pt idx="81">
                  <c:v>0.19142799999999999</c:v>
                </c:pt>
                <c:pt idx="82">
                  <c:v>0.19242799999999999</c:v>
                </c:pt>
                <c:pt idx="83">
                  <c:v>0.19342799999999999</c:v>
                </c:pt>
                <c:pt idx="84">
                  <c:v>0.19442799999999999</c:v>
                </c:pt>
                <c:pt idx="85">
                  <c:v>0.19542799999999999</c:v>
                </c:pt>
                <c:pt idx="86">
                  <c:v>0.19642799999999999</c:v>
                </c:pt>
                <c:pt idx="87">
                  <c:v>0.19742799999999999</c:v>
                </c:pt>
                <c:pt idx="88">
                  <c:v>0.19842799999999999</c:v>
                </c:pt>
                <c:pt idx="89">
                  <c:v>0.19942799999999999</c:v>
                </c:pt>
                <c:pt idx="90">
                  <c:v>0.200428</c:v>
                </c:pt>
                <c:pt idx="91">
                  <c:v>0.201428</c:v>
                </c:pt>
                <c:pt idx="92">
                  <c:v>0.202428</c:v>
                </c:pt>
                <c:pt idx="93">
                  <c:v>0.203428</c:v>
                </c:pt>
                <c:pt idx="94">
                  <c:v>0.204428</c:v>
                </c:pt>
                <c:pt idx="95">
                  <c:v>0.205428</c:v>
                </c:pt>
                <c:pt idx="96">
                  <c:v>0.206428</c:v>
                </c:pt>
                <c:pt idx="97">
                  <c:v>0.207428</c:v>
                </c:pt>
                <c:pt idx="98">
                  <c:v>0.208428</c:v>
                </c:pt>
                <c:pt idx="99">
                  <c:v>0.209428</c:v>
                </c:pt>
                <c:pt idx="100">
                  <c:v>0.210428</c:v>
                </c:pt>
                <c:pt idx="101">
                  <c:v>0.211428</c:v>
                </c:pt>
                <c:pt idx="102">
                  <c:v>0.21242800000000001</c:v>
                </c:pt>
                <c:pt idx="103">
                  <c:v>0.21342800000000001</c:v>
                </c:pt>
                <c:pt idx="104">
                  <c:v>0.21442800000000001</c:v>
                </c:pt>
                <c:pt idx="105">
                  <c:v>0.21542800000000001</c:v>
                </c:pt>
                <c:pt idx="106">
                  <c:v>0.21642800000000001</c:v>
                </c:pt>
                <c:pt idx="107">
                  <c:v>0.21742800000000001</c:v>
                </c:pt>
                <c:pt idx="108">
                  <c:v>0.21842800000000001</c:v>
                </c:pt>
                <c:pt idx="109">
                  <c:v>0.21942800000000001</c:v>
                </c:pt>
                <c:pt idx="110">
                  <c:v>0.22042800000000001</c:v>
                </c:pt>
                <c:pt idx="111">
                  <c:v>0.22142800000000001</c:v>
                </c:pt>
                <c:pt idx="112">
                  <c:v>0.22242800000000001</c:v>
                </c:pt>
                <c:pt idx="113">
                  <c:v>0.22342800000000002</c:v>
                </c:pt>
                <c:pt idx="114">
                  <c:v>0.22442800000000002</c:v>
                </c:pt>
                <c:pt idx="115">
                  <c:v>0.22542799999999999</c:v>
                </c:pt>
                <c:pt idx="116">
                  <c:v>0.22642799999999996</c:v>
                </c:pt>
                <c:pt idx="117">
                  <c:v>0.22742799999999999</c:v>
                </c:pt>
                <c:pt idx="118">
                  <c:v>0.22842799999999999</c:v>
                </c:pt>
                <c:pt idx="119">
                  <c:v>0.22942799999999997</c:v>
                </c:pt>
                <c:pt idx="120">
                  <c:v>0.23042799999999999</c:v>
                </c:pt>
                <c:pt idx="121">
                  <c:v>0.23142799999999999</c:v>
                </c:pt>
                <c:pt idx="122">
                  <c:v>0.23242799999999997</c:v>
                </c:pt>
                <c:pt idx="123">
                  <c:v>0.233428</c:v>
                </c:pt>
                <c:pt idx="124">
                  <c:v>0.234428</c:v>
                </c:pt>
                <c:pt idx="125">
                  <c:v>0.235428</c:v>
                </c:pt>
                <c:pt idx="126">
                  <c:v>0.236428</c:v>
                </c:pt>
                <c:pt idx="127">
                  <c:v>0.237428</c:v>
                </c:pt>
                <c:pt idx="128">
                  <c:v>0.238428</c:v>
                </c:pt>
                <c:pt idx="129">
                  <c:v>0.239428</c:v>
                </c:pt>
                <c:pt idx="130">
                  <c:v>0.240428</c:v>
                </c:pt>
                <c:pt idx="131">
                  <c:v>0.241428</c:v>
                </c:pt>
                <c:pt idx="132">
                  <c:v>0.242428</c:v>
                </c:pt>
                <c:pt idx="133">
                  <c:v>0.24342800000000001</c:v>
                </c:pt>
                <c:pt idx="134">
                  <c:v>0.24442800000000001</c:v>
                </c:pt>
                <c:pt idx="135">
                  <c:v>0.24542800000000001</c:v>
                </c:pt>
                <c:pt idx="136">
                  <c:v>0.24642800000000001</c:v>
                </c:pt>
                <c:pt idx="137">
                  <c:v>0.24742800000000001</c:v>
                </c:pt>
                <c:pt idx="138">
                  <c:v>0.24842800000000001</c:v>
                </c:pt>
                <c:pt idx="139">
                  <c:v>0.24942800000000001</c:v>
                </c:pt>
                <c:pt idx="140">
                  <c:v>0.25042799999999998</c:v>
                </c:pt>
                <c:pt idx="141">
                  <c:v>0.25142799999999998</c:v>
                </c:pt>
                <c:pt idx="142">
                  <c:v>0.25242799999999999</c:v>
                </c:pt>
                <c:pt idx="143">
                  <c:v>0.25342799999999999</c:v>
                </c:pt>
                <c:pt idx="144">
                  <c:v>0.25442799999999999</c:v>
                </c:pt>
                <c:pt idx="145">
                  <c:v>0.25542799999999999</c:v>
                </c:pt>
                <c:pt idx="146">
                  <c:v>0.25642799999999999</c:v>
                </c:pt>
                <c:pt idx="147">
                  <c:v>0.25742799999999999</c:v>
                </c:pt>
                <c:pt idx="148">
                  <c:v>0.25842799999999999</c:v>
                </c:pt>
                <c:pt idx="149">
                  <c:v>0.25942799999999999</c:v>
                </c:pt>
              </c:numCache>
            </c:numRef>
          </c:yVal>
          <c:smooth val="1"/>
          <c:extLst>
            <c:ext xmlns:c16="http://schemas.microsoft.com/office/drawing/2014/chart" uri="{C3380CC4-5D6E-409C-BE32-E72D297353CC}">
              <c16:uniqueId val="{00000003-2D92-4CB2-A641-52AD34A639BE}"/>
            </c:ext>
          </c:extLst>
        </c:ser>
        <c:dLbls>
          <c:showLegendKey val="0"/>
          <c:showVal val="0"/>
          <c:showCatName val="0"/>
          <c:showSerName val="0"/>
          <c:showPercent val="0"/>
          <c:showBubbleSize val="0"/>
        </c:dLbls>
        <c:axId val="586288512"/>
        <c:axId val="586286592"/>
      </c:scatterChart>
      <c:valAx>
        <c:axId val="586594176"/>
        <c:scaling>
          <c:orientation val="minMax"/>
        </c:scaling>
        <c:delete val="0"/>
        <c:axPos val="b"/>
        <c:majorGridlines/>
        <c:numFmt formatCode="General" sourceLinked="1"/>
        <c:majorTickMark val="out"/>
        <c:minorTickMark val="none"/>
        <c:tickLblPos val="nextTo"/>
        <c:crossAx val="586595712"/>
        <c:crosses val="autoZero"/>
        <c:crossBetween val="midCat"/>
      </c:valAx>
      <c:valAx>
        <c:axId val="586595712"/>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6594176"/>
        <c:crosses val="autoZero"/>
        <c:crossBetween val="midCat"/>
      </c:valAx>
      <c:valAx>
        <c:axId val="586286592"/>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6288512"/>
        <c:crosses val="max"/>
        <c:crossBetween val="midCat"/>
      </c:valAx>
      <c:valAx>
        <c:axId val="586288512"/>
        <c:scaling>
          <c:orientation val="minMax"/>
        </c:scaling>
        <c:delete val="1"/>
        <c:axPos val="b"/>
        <c:title>
          <c:tx>
            <c:rich>
              <a:bodyPr/>
              <a:lstStyle/>
              <a:p>
                <a:pPr>
                  <a:defRPr sz="1100"/>
                </a:pPr>
                <a:r>
                  <a:rPr lang="en-US" sz="1100"/>
                  <a:t>P</a:t>
                </a:r>
                <a:r>
                  <a:rPr lang="en-US" sz="1100" baseline="-25000"/>
                  <a:t>OUT</a:t>
                </a:r>
                <a:r>
                  <a:rPr lang="en-US" sz="1100"/>
                  <a:t> </a:t>
                </a:r>
                <a:r>
                  <a:rPr lang="en-US" sz="1100" baseline="0"/>
                  <a:t>(W)</a:t>
                </a:r>
                <a:endParaRPr lang="en-US" sz="1100"/>
              </a:p>
            </c:rich>
          </c:tx>
          <c:overlay val="0"/>
        </c:title>
        <c:numFmt formatCode="General" sourceLinked="1"/>
        <c:majorTickMark val="out"/>
        <c:minorTickMark val="none"/>
        <c:tickLblPos val="nextTo"/>
        <c:crossAx val="586286592"/>
        <c:crosses val="autoZero"/>
        <c:crossBetween val="midCat"/>
      </c:valAx>
    </c:plotArea>
    <c:legend>
      <c:legendPos val="r"/>
      <c:layout>
        <c:manualLayout>
          <c:xMode val="edge"/>
          <c:yMode val="edge"/>
          <c:x val="0.51894403926190358"/>
          <c:y val="6.4862204724409449E-3"/>
          <c:w val="0.39609572935704079"/>
          <c:h val="0.12183653099700564"/>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Eff_vs_IOUT!$BZ$7:$BZ$157</c:f>
              <c:numCache>
                <c:formatCode>General</c:formatCode>
                <c:ptCount val="151"/>
                <c:pt idx="0">
                  <c:v>0</c:v>
                </c:pt>
                <c:pt idx="1">
                  <c:v>49.0362395285524</c:v>
                </c:pt>
                <c:pt idx="2">
                  <c:v>64.489521815492409</c:v>
                </c:pt>
                <c:pt idx="3">
                  <c:v>72.104963594677272</c:v>
                </c:pt>
                <c:pt idx="4">
                  <c:v>76.647487522770092</c:v>
                </c:pt>
                <c:pt idx="5">
                  <c:v>79.6673266190042</c:v>
                </c:pt>
                <c:pt idx="6">
                  <c:v>81.821107789819351</c:v>
                </c:pt>
                <c:pt idx="7">
                  <c:v>83.434983834181494</c:v>
                </c:pt>
                <c:pt idx="8">
                  <c:v>84.689428387103575</c:v>
                </c:pt>
                <c:pt idx="9">
                  <c:v>85.692454586184965</c:v>
                </c:pt>
                <c:pt idx="10">
                  <c:v>86.512688887391391</c:v>
                </c:pt>
                <c:pt idx="11">
                  <c:v>87.195836779376364</c:v>
                </c:pt>
                <c:pt idx="12">
                  <c:v>87.773521751397809</c:v>
                </c:pt>
                <c:pt idx="13">
                  <c:v>88.268324887613133</c:v>
                </c:pt>
                <c:pt idx="14">
                  <c:v>88.696803683357871</c:v>
                </c:pt>
                <c:pt idx="15">
                  <c:v>89.071376535380779</c:v>
                </c:pt>
                <c:pt idx="16">
                  <c:v>89.401541042035547</c:v>
                </c:pt>
                <c:pt idx="17">
                  <c:v>89.694685684656974</c:v>
                </c:pt>
                <c:pt idx="18">
                  <c:v>89.956644938146013</c:v>
                </c:pt>
                <c:pt idx="19">
                  <c:v>90.19208773026088</c:v>
                </c:pt>
                <c:pt idx="20">
                  <c:v>90.404794860364348</c:v>
                </c:pt>
                <c:pt idx="21">
                  <c:v>90.597860739204208</c:v>
                </c:pt>
                <c:pt idx="22">
                  <c:v>90.773842497695227</c:v>
                </c:pt>
                <c:pt idx="23">
                  <c:v>90.934871822757017</c:v>
                </c:pt>
                <c:pt idx="24">
                  <c:v>91.082739959885757</c:v>
                </c:pt>
                <c:pt idx="25">
                  <c:v>91.218963107949492</c:v>
                </c:pt>
                <c:pt idx="26">
                  <c:v>91.344833289802978</c:v>
                </c:pt>
                <c:pt idx="27">
                  <c:v>91.461458329368014</c:v>
                </c:pt>
                <c:pt idx="28">
                  <c:v>91.569793564054208</c:v>
                </c:pt>
                <c:pt idx="29">
                  <c:v>91.670667220289175</c:v>
                </c:pt>
                <c:pt idx="30">
                  <c:v>91.764800882441264</c:v>
                </c:pt>
                <c:pt idx="31">
                  <c:v>91.852826127883219</c:v>
                </c:pt>
                <c:pt idx="32">
                  <c:v>91.935298140936339</c:v>
                </c:pt>
                <c:pt idx="33">
                  <c:v>92.012706927254285</c:v>
                </c:pt>
                <c:pt idx="34">
                  <c:v>92.085486608187267</c:v>
                </c:pt>
                <c:pt idx="35">
                  <c:v>92.154023168148029</c:v>
                </c:pt>
                <c:pt idx="36">
                  <c:v>92.218660947389068</c:v>
                </c:pt>
                <c:pt idx="37">
                  <c:v>92.279708111075578</c:v>
                </c:pt>
                <c:pt idx="38">
                  <c:v>92.337441278207237</c:v>
                </c:pt>
                <c:pt idx="39">
                  <c:v>92.392109457257348</c:v>
                </c:pt>
                <c:pt idx="40">
                  <c:v>92.443937406761094</c:v>
                </c:pt>
                <c:pt idx="41">
                  <c:v>92.493128516582729</c:v>
                </c:pt>
                <c:pt idx="42">
                  <c:v>92.539867287796199</c:v>
                </c:pt>
                <c:pt idx="43">
                  <c:v>92.584321474956027</c:v>
                </c:pt>
                <c:pt idx="44">
                  <c:v>92.626643943208393</c:v>
                </c:pt>
                <c:pt idx="45">
                  <c:v>92.666974283578853</c:v>
                </c:pt>
                <c:pt idx="46">
                  <c:v>92.70544022240415</c:v>
                </c:pt>
                <c:pt idx="47">
                  <c:v>92.742158854887819</c:v>
                </c:pt>
                <c:pt idx="48">
                  <c:v>92.777237727869149</c:v>
                </c:pt>
                <c:pt idx="49">
                  <c:v>92.810775792885906</c:v>
                </c:pt>
                <c:pt idx="50">
                  <c:v>92.842864247307261</c:v>
                </c:pt>
                <c:pt idx="51">
                  <c:v>92.873587278583017</c:v>
                </c:pt>
                <c:pt idx="52">
                  <c:v>92.903022724385536</c:v>
                </c:pt>
                <c:pt idx="53">
                  <c:v>92.928260453654033</c:v>
                </c:pt>
                <c:pt idx="54">
                  <c:v>92.951531317437414</c:v>
                </c:pt>
                <c:pt idx="55">
                  <c:v>92.973665796253542</c:v>
                </c:pt>
                <c:pt idx="56">
                  <c:v>92.994723787324745</c:v>
                </c:pt>
                <c:pt idx="57">
                  <c:v>93.014761056600449</c:v>
                </c:pt>
                <c:pt idx="58">
                  <c:v>93.033829588898513</c:v>
                </c:pt>
                <c:pt idx="59">
                  <c:v>93.05197790302897</c:v>
                </c:pt>
                <c:pt idx="60">
                  <c:v>93.069251335919375</c:v>
                </c:pt>
                <c:pt idx="61">
                  <c:v>93.085692299241515</c:v>
                </c:pt>
                <c:pt idx="62">
                  <c:v>93.101340511595296</c:v>
                </c:pt>
                <c:pt idx="63">
                  <c:v>93.116233208923461</c:v>
                </c:pt>
                <c:pt idx="64">
                  <c:v>93.130405335501877</c:v>
                </c:pt>
                <c:pt idx="65">
                  <c:v>93.143889717565401</c:v>
                </c:pt>
                <c:pt idx="66">
                  <c:v>93.156717221383929</c:v>
                </c:pt>
                <c:pt idx="67">
                  <c:v>93.168916897389494</c:v>
                </c:pt>
                <c:pt idx="68">
                  <c:v>93.180516111769293</c:v>
                </c:pt>
                <c:pt idx="69">
                  <c:v>93.19154066677882</c:v>
                </c:pt>
                <c:pt idx="70">
                  <c:v>93.202014910886405</c:v>
                </c:pt>
                <c:pt idx="71">
                  <c:v>93.211961839738677</c:v>
                </c:pt>
                <c:pt idx="72">
                  <c:v>93.221403188826756</c:v>
                </c:pt>
                <c:pt idx="73">
                  <c:v>93.230359518638338</c:v>
                </c:pt>
                <c:pt idx="74">
                  <c:v>93.238850292997171</c:v>
                </c:pt>
                <c:pt idx="75">
                  <c:v>93.246893951217274</c:v>
                </c:pt>
                <c:pt idx="76">
                  <c:v>93.254507974634592</c:v>
                </c:pt>
                <c:pt idx="77">
                  <c:v>93.261708948020086</c:v>
                </c:pt>
                <c:pt idx="78">
                  <c:v>93.268512616328536</c:v>
                </c:pt>
                <c:pt idx="79">
                  <c:v>93.274933937190724</c:v>
                </c:pt>
                <c:pt idx="80">
                  <c:v>93.28098712951703</c:v>
                </c:pt>
                <c:pt idx="81">
                  <c:v>93.286685718544533</c:v>
                </c:pt>
                <c:pt idx="82">
                  <c:v>93.292042577627299</c:v>
                </c:pt>
                <c:pt idx="83">
                  <c:v>93.297069967041679</c:v>
                </c:pt>
                <c:pt idx="84">
                  <c:v>93.301779570051963</c:v>
                </c:pt>
                <c:pt idx="85">
                  <c:v>93.306182526459949</c:v>
                </c:pt>
                <c:pt idx="86">
                  <c:v>93.310289463840277</c:v>
                </c:pt>
                <c:pt idx="87">
                  <c:v>93.314110526646289</c:v>
                </c:pt>
                <c:pt idx="88">
                  <c:v>93.317655403353257</c:v>
                </c:pt>
                <c:pt idx="89">
                  <c:v>93.320933351792149</c:v>
                </c:pt>
                <c:pt idx="90">
                  <c:v>93.323953222812932</c:v>
                </c:pt>
                <c:pt idx="91">
                  <c:v>93.326723482404375</c:v>
                </c:pt>
                <c:pt idx="92">
                  <c:v>93.329252232386793</c:v>
                </c:pt>
                <c:pt idx="93">
                  <c:v>93.331547229783894</c:v>
                </c:pt>
                <c:pt idx="94">
                  <c:v>93.333615904971097</c:v>
                </c:pt>
                <c:pt idx="95">
                  <c:v>93.335465378689364</c:v>
                </c:pt>
                <c:pt idx="96">
                  <c:v>93.337102478006798</c:v>
                </c:pt>
                <c:pt idx="97">
                  <c:v>93.338533751302649</c:v>
                </c:pt>
                <c:pt idx="98">
                  <c:v>93.339765482343509</c:v>
                </c:pt>
                <c:pt idx="99">
                  <c:v>93.340803703514595</c:v>
                </c:pt>
                <c:pt idx="100">
                  <c:v>93.341654208265041</c:v>
                </c:pt>
                <c:pt idx="101">
                  <c:v>93.342322562821224</c:v>
                </c:pt>
                <c:pt idx="102">
                  <c:v>93.342814117217458</c:v>
                </c:pt>
                <c:pt idx="103">
                  <c:v>93.343134015690509</c:v>
                </c:pt>
                <c:pt idx="104">
                  <c:v>93.343287206480028</c:v>
                </c:pt>
                <c:pt idx="105">
                  <c:v>93.343278451074085</c:v>
                </c:pt>
                <c:pt idx="106">
                  <c:v>93.343112332936499</c:v>
                </c:pt>
                <c:pt idx="107">
                  <c:v>93.342793265748952</c:v>
                </c:pt>
                <c:pt idx="108">
                  <c:v>93.342325501199781</c:v>
                </c:pt>
                <c:pt idx="109">
                  <c:v>93.341713136347479</c:v>
                </c:pt>
                <c:pt idx="110">
                  <c:v>93.340960120586558</c:v>
                </c:pt>
                <c:pt idx="111">
                  <c:v>93.340070262239877</c:v>
                </c:pt>
                <c:pt idx="112">
                  <c:v>93.339047234801185</c:v>
                </c:pt>
                <c:pt idx="113">
                  <c:v>93.337894582848875</c:v>
                </c:pt>
                <c:pt idx="114">
                  <c:v>93.336615727651392</c:v>
                </c:pt>
                <c:pt idx="115">
                  <c:v>93.335213972482421</c:v>
                </c:pt>
                <c:pt idx="116">
                  <c:v>93.333692507663841</c:v>
                </c:pt>
                <c:pt idx="117">
                  <c:v>93.332054415351891</c:v>
                </c:pt>
                <c:pt idx="118">
                  <c:v>93.330302674082276</c:v>
                </c:pt>
                <c:pt idx="119">
                  <c:v>93.328440163087834</c:v>
                </c:pt>
                <c:pt idx="120">
                  <c:v>93.326469666402161</c:v>
                </c:pt>
                <c:pt idx="121">
                  <c:v>93.324393876761462</c:v>
                </c:pt>
                <c:pt idx="122">
                  <c:v>93.322215399315908</c:v>
                </c:pt>
                <c:pt idx="123">
                  <c:v>93.319936755161606</c:v>
                </c:pt>
                <c:pt idx="124">
                  <c:v>93.317560384702801</c:v>
                </c:pt>
                <c:pt idx="125">
                  <c:v>93.315088650854221</c:v>
                </c:pt>
                <c:pt idx="126">
                  <c:v>93.312523842091863</c:v>
                </c:pt>
                <c:pt idx="127">
                  <c:v>93.309868175360933</c:v>
                </c:pt>
                <c:pt idx="128">
                  <c:v>93.307123798848508</c:v>
                </c:pt>
                <c:pt idx="129">
                  <c:v>93.304292794628168</c:v>
                </c:pt>
                <c:pt idx="130">
                  <c:v>93.301377181183554</c:v>
                </c:pt>
                <c:pt idx="131">
                  <c:v>93.298378915817167</c:v>
                </c:pt>
                <c:pt idx="132">
                  <c:v>93.29529989695051</c:v>
                </c:pt>
                <c:pt idx="133">
                  <c:v>93.292141966321225</c:v>
                </c:pt>
                <c:pt idx="134">
                  <c:v>93.288906911082663</c:v>
                </c:pt>
                <c:pt idx="135">
                  <c:v>93.285596465810613</c:v>
                </c:pt>
                <c:pt idx="136">
                  <c:v>93.282212314422438</c:v>
                </c:pt>
                <c:pt idx="137">
                  <c:v>93.2787560920125</c:v>
                </c:pt>
                <c:pt idx="138">
                  <c:v>93.275229386608416</c:v>
                </c:pt>
                <c:pt idx="139">
                  <c:v>93.271633740852238</c:v>
                </c:pt>
                <c:pt idx="140">
                  <c:v>93.267970653609837</c:v>
                </c:pt>
                <c:pt idx="141">
                  <c:v>93.264241581512351</c:v>
                </c:pt>
                <c:pt idx="142">
                  <c:v>93.260447940433096</c:v>
                </c:pt>
                <c:pt idx="143">
                  <c:v>93.256591106902704</c:v>
                </c:pt>
                <c:pt idx="144">
                  <c:v>93.252672419465981</c:v>
                </c:pt>
                <c:pt idx="145">
                  <c:v>93.248693179982666</c:v>
                </c:pt>
                <c:pt idx="146">
                  <c:v>93.244654654875418</c:v>
                </c:pt>
                <c:pt idx="147">
                  <c:v>93.240558076327019</c:v>
                </c:pt>
                <c:pt idx="148">
                  <c:v>93.236404643429367</c:v>
                </c:pt>
                <c:pt idx="149">
                  <c:v>93.232195523286592</c:v>
                </c:pt>
                <c:pt idx="150">
                  <c:v>93.227931852074335</c:v>
                </c:pt>
              </c:numCache>
            </c:numRef>
          </c:yVal>
          <c:smooth val="0"/>
          <c:extLst>
            <c:ext xmlns:c16="http://schemas.microsoft.com/office/drawing/2014/chart" uri="{C3380CC4-5D6E-409C-BE32-E72D297353CC}">
              <c16:uniqueId val="{00000000-98B9-4A0F-9AF3-241E82BDC034}"/>
            </c:ext>
          </c:extLst>
        </c:ser>
        <c:dLbls>
          <c:showLegendKey val="0"/>
          <c:showVal val="0"/>
          <c:showCatName val="0"/>
          <c:showSerName val="0"/>
          <c:showPercent val="0"/>
          <c:showBubbleSize val="0"/>
        </c:dLbls>
        <c:axId val="586339072"/>
        <c:axId val="586340608"/>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Eff_vs_IOUT!$AJ$7:$AJ$157</c:f>
              <c:numCache>
                <c:formatCode>General</c:formatCode>
                <c:ptCount val="151"/>
                <c:pt idx="0">
                  <c:v>0</c:v>
                </c:pt>
                <c:pt idx="1">
                  <c:v>5.3217457793648254E-3</c:v>
                </c:pt>
                <c:pt idx="2">
                  <c:v>7.5709478729362734E-3</c:v>
                </c:pt>
                <c:pt idx="3">
                  <c:v>9.3274250830784142E-3</c:v>
                </c:pt>
                <c:pt idx="4">
                  <c:v>1.0833828368319344E-2</c:v>
                </c:pt>
                <c:pt idx="5">
                  <c:v>1.2183522684874338E-2</c:v>
                </c:pt>
                <c:pt idx="6">
                  <c:v>1.3424085085890498E-2</c:v>
                </c:pt>
                <c:pt idx="7">
                  <c:v>1.4583599736422721E-2</c:v>
                </c:pt>
                <c:pt idx="8">
                  <c:v>1.5680249540953685E-2</c:v>
                </c:pt>
                <c:pt idx="9">
                  <c:v>1.6726584576453245E-2</c:v>
                </c:pt>
                <c:pt idx="10">
                  <c:v>1.7731684552490558E-2</c:v>
                </c:pt>
                <c:pt idx="11">
                  <c:v>1.8702360281814479E-2</c:v>
                </c:pt>
                <c:pt idx="12">
                  <c:v>1.9643869240436561E-2</c:v>
                </c:pt>
                <c:pt idx="13">
                  <c:v>2.0560365535651669E-2</c:v>
                </c:pt>
                <c:pt idx="14">
                  <c:v>2.145519551997534E-2</c:v>
                </c:pt>
                <c:pt idx="15">
                  <c:v>2.2331099128222221E-2</c:v>
                </c:pt>
                <c:pt idx="16">
                  <c:v>2.319035121335623E-2</c:v>
                </c:pt>
                <c:pt idx="17">
                  <c:v>2.4034863348689831E-2</c:v>
                </c:pt>
                <c:pt idx="18">
                  <c:v>2.4866258799133373E-2</c:v>
                </c:pt>
                <c:pt idx="19">
                  <c:v>2.5685928810177613E-2</c:v>
                </c:pt>
                <c:pt idx="20">
                  <c:v>2.6495075594063614E-2</c:v>
                </c:pt>
                <c:pt idx="21">
                  <c:v>2.7294745654854947E-2</c:v>
                </c:pt>
                <c:pt idx="22">
                  <c:v>2.8085855973115626E-2</c:v>
                </c:pt>
                <c:pt idx="23">
                  <c:v>2.886921482981665E-2</c:v>
                </c:pt>
                <c:pt idx="24">
                  <c:v>2.9645538548365161E-2</c:v>
                </c:pt>
                <c:pt idx="25">
                  <c:v>3.0415465088617977E-2</c:v>
                </c:pt>
                <c:pt idx="26">
                  <c:v>3.1179565184748102E-2</c:v>
                </c:pt>
                <c:pt idx="27">
                  <c:v>3.1938351546354181E-2</c:v>
                </c:pt>
                <c:pt idx="28">
                  <c:v>3.2692286517455912E-2</c:v>
                </c:pt>
                <c:pt idx="29">
                  <c:v>3.3441788496573858E-2</c:v>
                </c:pt>
                <c:pt idx="30">
                  <c:v>3.4187237353225874E-2</c:v>
                </c:pt>
                <c:pt idx="31">
                  <c:v>3.4928979025229831E-2</c:v>
                </c:pt>
                <c:pt idx="32">
                  <c:v>3.5667329442556475E-2</c:v>
                </c:pt>
                <c:pt idx="33">
                  <c:v>3.6402577893871496E-2</c:v>
                </c:pt>
                <c:pt idx="34">
                  <c:v>3.7134989929019369E-2</c:v>
                </c:pt>
                <c:pt idx="35">
                  <c:v>3.7864809872857771E-2</c:v>
                </c:pt>
                <c:pt idx="36">
                  <c:v>3.8592263011828193E-2</c:v>
                </c:pt>
                <c:pt idx="37">
                  <c:v>3.9317557503545195E-2</c:v>
                </c:pt>
                <c:pt idx="38">
                  <c:v>4.0040886050834286E-2</c:v>
                </c:pt>
                <c:pt idx="39">
                  <c:v>4.0762427374543192E-2</c:v>
                </c:pt>
                <c:pt idx="40">
                  <c:v>4.14823475137132E-2</c:v>
                </c:pt>
                <c:pt idx="41">
                  <c:v>4.220080097703624E-2</c:v>
                </c:pt>
                <c:pt idx="42">
                  <c:v>4.2917931765715581E-2</c:v>
                </c:pt>
                <c:pt idx="43">
                  <c:v>4.3633874284721791E-2</c:v>
                </c:pt>
                <c:pt idx="44">
                  <c:v>4.4348754156854603E-2</c:v>
                </c:pt>
                <c:pt idx="45">
                  <c:v>4.5062688951882757E-2</c:v>
                </c:pt>
                <c:pt idx="46">
                  <c:v>4.5775788841250747E-2</c:v>
                </c:pt>
                <c:pt idx="47">
                  <c:v>4.6488157187351442E-2</c:v>
                </c:pt>
                <c:pt idx="48">
                  <c:v>4.7199891075110995E-2</c:v>
                </c:pt>
                <c:pt idx="49">
                  <c:v>4.7911081792576575E-2</c:v>
                </c:pt>
                <c:pt idx="50">
                  <c:v>4.862181526630413E-2</c:v>
                </c:pt>
                <c:pt idx="51">
                  <c:v>4.9332172456583723E-2</c:v>
                </c:pt>
                <c:pt idx="52">
                  <c:v>5.0042229716893566E-2</c:v>
                </c:pt>
                <c:pt idx="53">
                  <c:v>5.1045028398696991E-2</c:v>
                </c:pt>
                <c:pt idx="54">
                  <c:v>5.2129514008259409E-2</c:v>
                </c:pt>
                <c:pt idx="55">
                  <c:v>5.3220585356215634E-2</c:v>
                </c:pt>
                <c:pt idx="56">
                  <c:v>5.4318242442565653E-2</c:v>
                </c:pt>
                <c:pt idx="57">
                  <c:v>5.5422485267309488E-2</c:v>
                </c:pt>
                <c:pt idx="58">
                  <c:v>5.6533313830447129E-2</c:v>
                </c:pt>
                <c:pt idx="59">
                  <c:v>5.7650728131978579E-2</c:v>
                </c:pt>
                <c:pt idx="60">
                  <c:v>5.8774728171903837E-2</c:v>
                </c:pt>
                <c:pt idx="61">
                  <c:v>5.9905313950222902E-2</c:v>
                </c:pt>
                <c:pt idx="62">
                  <c:v>6.1042485466935775E-2</c:v>
                </c:pt>
                <c:pt idx="63">
                  <c:v>6.218624272204247E-2</c:v>
                </c:pt>
                <c:pt idx="64">
                  <c:v>6.3336585715542959E-2</c:v>
                </c:pt>
                <c:pt idx="65">
                  <c:v>6.4493514447437256E-2</c:v>
                </c:pt>
                <c:pt idx="66">
                  <c:v>6.5657028917725346E-2</c:v>
                </c:pt>
                <c:pt idx="67">
                  <c:v>6.6827129126407273E-2</c:v>
                </c:pt>
                <c:pt idx="68">
                  <c:v>6.8003815073482993E-2</c:v>
                </c:pt>
                <c:pt idx="69">
                  <c:v>6.9187086758952521E-2</c:v>
                </c:pt>
                <c:pt idx="70">
                  <c:v>7.037694418281587E-2</c:v>
                </c:pt>
                <c:pt idx="71">
                  <c:v>7.1573387345072986E-2</c:v>
                </c:pt>
                <c:pt idx="72">
                  <c:v>7.2776416245723966E-2</c:v>
                </c:pt>
                <c:pt idx="73">
                  <c:v>7.3986030884768725E-2</c:v>
                </c:pt>
                <c:pt idx="74">
                  <c:v>7.5202231262207292E-2</c:v>
                </c:pt>
                <c:pt idx="75">
                  <c:v>7.6425017378039653E-2</c:v>
                </c:pt>
                <c:pt idx="76">
                  <c:v>7.765438923226585E-2</c:v>
                </c:pt>
                <c:pt idx="77">
                  <c:v>7.889034682488584E-2</c:v>
                </c:pt>
                <c:pt idx="78">
                  <c:v>8.0132890155899639E-2</c:v>
                </c:pt>
                <c:pt idx="79">
                  <c:v>8.1382019225307259E-2</c:v>
                </c:pt>
                <c:pt idx="80">
                  <c:v>8.2637734033108659E-2</c:v>
                </c:pt>
                <c:pt idx="81">
                  <c:v>8.3900034579303909E-2</c:v>
                </c:pt>
                <c:pt idx="82">
                  <c:v>8.5168920863892952E-2</c:v>
                </c:pt>
                <c:pt idx="83">
                  <c:v>8.6444392886875748E-2</c:v>
                </c:pt>
                <c:pt idx="84">
                  <c:v>8.7726450648252408E-2</c:v>
                </c:pt>
                <c:pt idx="85">
                  <c:v>8.9015094148022861E-2</c:v>
                </c:pt>
                <c:pt idx="86">
                  <c:v>9.0310323386187136E-2</c:v>
                </c:pt>
                <c:pt idx="87">
                  <c:v>9.1612138362745191E-2</c:v>
                </c:pt>
                <c:pt idx="88">
                  <c:v>9.2920539077697081E-2</c:v>
                </c:pt>
                <c:pt idx="89">
                  <c:v>9.423552553104278E-2</c:v>
                </c:pt>
                <c:pt idx="90">
                  <c:v>9.5557097722782286E-2</c:v>
                </c:pt>
                <c:pt idx="91">
                  <c:v>9.6885255652915572E-2</c:v>
                </c:pt>
                <c:pt idx="92">
                  <c:v>9.8219999321442694E-2</c:v>
                </c:pt>
                <c:pt idx="93">
                  <c:v>9.9561328728363596E-2</c:v>
                </c:pt>
                <c:pt idx="94">
                  <c:v>0.10090924387367833</c:v>
                </c:pt>
                <c:pt idx="95">
                  <c:v>0.10226374475738688</c:v>
                </c:pt>
                <c:pt idx="96">
                  <c:v>0.10362483137948919</c:v>
                </c:pt>
                <c:pt idx="97">
                  <c:v>0.10499250373998532</c:v>
                </c:pt>
                <c:pt idx="98">
                  <c:v>0.10636676183887531</c:v>
                </c:pt>
                <c:pt idx="99">
                  <c:v>0.10774760567615907</c:v>
                </c:pt>
                <c:pt idx="100">
                  <c:v>0.10913503525183663</c:v>
                </c:pt>
                <c:pt idx="101">
                  <c:v>0.11052905056590803</c:v>
                </c:pt>
                <c:pt idx="102">
                  <c:v>0.11192965161837323</c:v>
                </c:pt>
                <c:pt idx="103">
                  <c:v>0.11333683840923221</c:v>
                </c:pt>
                <c:pt idx="104">
                  <c:v>0.11475061093848501</c:v>
                </c:pt>
                <c:pt idx="105">
                  <c:v>0.11617096920613165</c:v>
                </c:pt>
                <c:pt idx="106">
                  <c:v>0.11759791321217208</c:v>
                </c:pt>
                <c:pt idx="107">
                  <c:v>0.11903144295660628</c:v>
                </c:pt>
                <c:pt idx="108">
                  <c:v>0.12047155843943436</c:v>
                </c:pt>
                <c:pt idx="109">
                  <c:v>0.12191825966065617</c:v>
                </c:pt>
                <c:pt idx="110">
                  <c:v>0.12337154662027185</c:v>
                </c:pt>
                <c:pt idx="111">
                  <c:v>0.12483141931828132</c:v>
                </c:pt>
                <c:pt idx="112">
                  <c:v>0.1262978777546846</c:v>
                </c:pt>
                <c:pt idx="113">
                  <c:v>0.12777092192948164</c:v>
                </c:pt>
                <c:pt idx="114">
                  <c:v>0.12925055184267253</c:v>
                </c:pt>
                <c:pt idx="115">
                  <c:v>0.13073676749425722</c:v>
                </c:pt>
                <c:pt idx="116">
                  <c:v>0.1322295688842357</c:v>
                </c:pt>
                <c:pt idx="117">
                  <c:v>0.13372895601260798</c:v>
                </c:pt>
                <c:pt idx="118">
                  <c:v>0.13523492887937411</c:v>
                </c:pt>
                <c:pt idx="119">
                  <c:v>0.13674748748453405</c:v>
                </c:pt>
                <c:pt idx="120">
                  <c:v>0.13826663182808779</c:v>
                </c:pt>
                <c:pt idx="121">
                  <c:v>0.13979236191003536</c:v>
                </c:pt>
                <c:pt idx="122">
                  <c:v>0.14132467773037669</c:v>
                </c:pt>
                <c:pt idx="123">
                  <c:v>0.14286357928911181</c:v>
                </c:pt>
                <c:pt idx="124">
                  <c:v>0.14440906658624078</c:v>
                </c:pt>
                <c:pt idx="125">
                  <c:v>0.14596113962176355</c:v>
                </c:pt>
                <c:pt idx="126">
                  <c:v>0.14751979839568016</c:v>
                </c:pt>
                <c:pt idx="127">
                  <c:v>0.14908504290799049</c:v>
                </c:pt>
                <c:pt idx="128">
                  <c:v>0.15065687315869472</c:v>
                </c:pt>
                <c:pt idx="129">
                  <c:v>0.15223528914779272</c:v>
                </c:pt>
                <c:pt idx="130">
                  <c:v>0.15382029087528451</c:v>
                </c:pt>
                <c:pt idx="131">
                  <c:v>0.15541187834117015</c:v>
                </c:pt>
                <c:pt idx="132">
                  <c:v>0.15701005154544956</c:v>
                </c:pt>
                <c:pt idx="133">
                  <c:v>0.15861481048812281</c:v>
                </c:pt>
                <c:pt idx="134">
                  <c:v>0.16022615516918987</c:v>
                </c:pt>
                <c:pt idx="135">
                  <c:v>0.16184408558865071</c:v>
                </c:pt>
                <c:pt idx="136">
                  <c:v>0.16346860174650535</c:v>
                </c:pt>
                <c:pt idx="137">
                  <c:v>0.16509970364275384</c:v>
                </c:pt>
                <c:pt idx="138">
                  <c:v>0.16673739127739612</c:v>
                </c:pt>
                <c:pt idx="139">
                  <c:v>0.16838166465043219</c:v>
                </c:pt>
                <c:pt idx="140">
                  <c:v>0.17003252376186209</c:v>
                </c:pt>
                <c:pt idx="141">
                  <c:v>0.17168996861168573</c:v>
                </c:pt>
                <c:pt idx="142">
                  <c:v>0.17335399919990319</c:v>
                </c:pt>
                <c:pt idx="143">
                  <c:v>0.17502461552651455</c:v>
                </c:pt>
                <c:pt idx="144">
                  <c:v>0.17670181759151971</c:v>
                </c:pt>
                <c:pt idx="145">
                  <c:v>0.17838560539491857</c:v>
                </c:pt>
                <c:pt idx="146">
                  <c:v>0.18007597893671137</c:v>
                </c:pt>
                <c:pt idx="147">
                  <c:v>0.18177293821689791</c:v>
                </c:pt>
                <c:pt idx="148">
                  <c:v>0.18347648323547824</c:v>
                </c:pt>
                <c:pt idx="149">
                  <c:v>0.1851866139924524</c:v>
                </c:pt>
                <c:pt idx="150">
                  <c:v>0.18690333048782037</c:v>
                </c:pt>
              </c:numCache>
            </c:numRef>
          </c:yVal>
          <c:smooth val="1"/>
          <c:extLst>
            <c:ext xmlns:c16="http://schemas.microsoft.com/office/drawing/2014/chart" uri="{C3380CC4-5D6E-409C-BE32-E72D297353CC}">
              <c16:uniqueId val="{00000001-98B9-4A0F-9AF3-241E82BDC034}"/>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Eff_vs_IOUT!$BU$7:$BU$157</c:f>
              <c:numCache>
                <c:formatCode>General</c:formatCode>
                <c:ptCount val="151"/>
                <c:pt idx="0">
                  <c:v>0</c:v>
                </c:pt>
                <c:pt idx="1">
                  <c:v>7.2925980685706084E-6</c:v>
                </c:pt>
                <c:pt idx="2">
                  <c:v>2.0626582187016798E-5</c:v>
                </c:pt>
                <c:pt idx="3">
                  <c:v>3.7893451121828883E-5</c:v>
                </c:pt>
                <c:pt idx="4">
                  <c:v>5.8340784548564888E-5</c:v>
                </c:pt>
                <c:pt idx="5">
                  <c:v>8.1533725069537797E-5</c:v>
                </c:pt>
                <c:pt idx="6">
                  <c:v>1.0717886500322474E-4</c:v>
                </c:pt>
                <c:pt idx="7">
                  <c:v>1.3506080630691465E-4</c:v>
                </c:pt>
                <c:pt idx="8">
                  <c:v>1.6501265749613439E-4</c:v>
                </c:pt>
                <c:pt idx="9">
                  <c:v>1.9690014785140648E-4</c:v>
                </c:pt>
                <c:pt idx="10">
                  <c:v>2.3061219956827911E-4</c:v>
                </c:pt>
                <c:pt idx="11">
                  <c:v>2.6605492694351115E-4</c:v>
                </c:pt>
                <c:pt idx="12">
                  <c:v>3.0314760897463101E-4</c:v>
                </c:pt>
                <c:pt idx="13">
                  <c:v>3.4181987147855283E-4</c:v>
                </c:pt>
                <c:pt idx="14">
                  <c:v>3.8200964804856852E-4</c:v>
                </c:pt>
                <c:pt idx="15">
                  <c:v>4.2366166305237519E-4</c:v>
                </c:pt>
                <c:pt idx="16">
                  <c:v>4.6672627638851894E-4</c:v>
                </c:pt>
                <c:pt idx="17">
                  <c:v>5.1115858607216384E-4</c:v>
                </c:pt>
                <c:pt idx="18">
                  <c:v>5.5691771904945332E-4</c:v>
                </c:pt>
                <c:pt idx="19">
                  <c:v>6.039662623184243E-4</c:v>
                </c:pt>
                <c:pt idx="20">
                  <c:v>6.5226980055630248E-4</c:v>
                </c:pt>
                <c:pt idx="21">
                  <c:v>7.0179653590438519E-4</c:v>
                </c:pt>
                <c:pt idx="22">
                  <c:v>7.5251697203939272E-4</c:v>
                </c:pt>
                <c:pt idx="23">
                  <c:v>8.0440364919430907E-4</c:v>
                </c:pt>
                <c:pt idx="24">
                  <c:v>8.574309200257978E-4</c:v>
                </c:pt>
                <c:pt idx="25">
                  <c:v>9.1157475857132583E-4</c:v>
                </c:pt>
                <c:pt idx="26">
                  <c:v>9.6681259626719518E-4</c:v>
                </c:pt>
                <c:pt idx="27">
                  <c:v>1.0231231802893806E-3</c:v>
                </c:pt>
                <c:pt idx="28">
                  <c:v>1.0804864504553168E-3</c:v>
                </c:pt>
                <c:pt idx="29">
                  <c:v>1.1388834316718619E-3</c:v>
                </c:pt>
                <c:pt idx="30">
                  <c:v>1.1982961394924193E-3</c:v>
                </c:pt>
                <c:pt idx="31">
                  <c:v>1.2587074967975453E-3</c:v>
                </c:pt>
                <c:pt idx="32">
                  <c:v>1.3201012599690751E-3</c:v>
                </c:pt>
                <c:pt idx="33">
                  <c:v>1.3824619532105612E-3</c:v>
                </c:pt>
                <c:pt idx="34">
                  <c:v>1.4457748098934179E-3</c:v>
                </c:pt>
                <c:pt idx="35">
                  <c:v>1.5100257199909663E-3</c:v>
                </c:pt>
                <c:pt idx="36">
                  <c:v>1.5752011828112514E-3</c:v>
                </c:pt>
                <c:pt idx="37">
                  <c:v>1.6412882643609794E-3</c:v>
                </c:pt>
                <c:pt idx="38">
                  <c:v>1.7082745587730052E-3</c:v>
                </c:pt>
                <c:pt idx="39">
                  <c:v>1.7761481533125516E-3</c:v>
                </c:pt>
                <c:pt idx="40">
                  <c:v>1.8448975965462326E-3</c:v>
                </c:pt>
                <c:pt idx="41">
                  <c:v>1.9145118693155395E-3</c:v>
                </c:pt>
                <c:pt idx="42">
                  <c:v>1.9849803582048763E-3</c:v>
                </c:pt>
                <c:pt idx="43">
                  <c:v>2.0562928312350972E-3</c:v>
                </c:pt>
                <c:pt idx="44">
                  <c:v>2.1284394155480892E-3</c:v>
                </c:pt>
                <c:pt idx="45">
                  <c:v>2.2014105768775206E-3</c:v>
                </c:pt>
                <c:pt idx="46">
                  <c:v>2.275197100626002E-3</c:v>
                </c:pt>
                <c:pt idx="47">
                  <c:v>2.3497900743905784E-3</c:v>
                </c:pt>
                <c:pt idx="48">
                  <c:v>2.4251808717970485E-3</c:v>
                </c:pt>
                <c:pt idx="49">
                  <c:v>2.5013611375197201E-3</c:v>
                </c:pt>
                <c:pt idx="50">
                  <c:v>2.578322773377099E-3</c:v>
                </c:pt>
                <c:pt idx="51">
                  <c:v>2.6560579254061687E-3</c:v>
                </c:pt>
                <c:pt idx="52">
                  <c:v>2.7345589718284226E-3</c:v>
                </c:pt>
                <c:pt idx="53">
                  <c:v>2.8140580017313498E-3</c:v>
                </c:pt>
                <c:pt idx="54">
                  <c:v>2.8950550141609421E-3</c:v>
                </c:pt>
                <c:pt idx="55">
                  <c:v>2.9775659894396862E-3</c:v>
                </c:pt>
                <c:pt idx="56">
                  <c:v>3.0615909275675773E-3</c:v>
                </c:pt>
                <c:pt idx="57">
                  <c:v>3.1471298285446233E-3</c:v>
                </c:pt>
                <c:pt idx="58">
                  <c:v>3.2341826923708186E-3</c:v>
                </c:pt>
                <c:pt idx="59">
                  <c:v>3.3227495190461648E-3</c:v>
                </c:pt>
                <c:pt idx="60">
                  <c:v>3.4128303085706651E-3</c:v>
                </c:pt>
                <c:pt idx="61">
                  <c:v>3.5044250609443128E-3</c:v>
                </c:pt>
                <c:pt idx="62">
                  <c:v>3.5975337761671145E-3</c:v>
                </c:pt>
                <c:pt idx="63">
                  <c:v>3.6921564542390681E-3</c:v>
                </c:pt>
                <c:pt idx="64">
                  <c:v>3.78829309516017E-3</c:v>
                </c:pt>
                <c:pt idx="65">
                  <c:v>3.885943698930425E-3</c:v>
                </c:pt>
                <c:pt idx="66">
                  <c:v>3.9851082655498306E-3</c:v>
                </c:pt>
                <c:pt idx="67">
                  <c:v>4.085786795018388E-3</c:v>
                </c:pt>
                <c:pt idx="68">
                  <c:v>4.1879792873360982E-3</c:v>
                </c:pt>
                <c:pt idx="69">
                  <c:v>4.291685742502954E-3</c:v>
                </c:pt>
                <c:pt idx="70">
                  <c:v>4.3969061605189678E-3</c:v>
                </c:pt>
                <c:pt idx="71">
                  <c:v>4.5036405413841265E-3</c:v>
                </c:pt>
                <c:pt idx="72">
                  <c:v>4.6118888850984422E-3</c:v>
                </c:pt>
                <c:pt idx="73">
                  <c:v>4.7216511916619054E-3</c:v>
                </c:pt>
                <c:pt idx="74">
                  <c:v>4.8329274610745213E-3</c:v>
                </c:pt>
                <c:pt idx="75">
                  <c:v>4.9457176933362882E-3</c:v>
                </c:pt>
                <c:pt idx="76">
                  <c:v>5.0600218884472069E-3</c:v>
                </c:pt>
                <c:pt idx="77">
                  <c:v>5.1758400464072766E-3</c:v>
                </c:pt>
                <c:pt idx="78">
                  <c:v>5.2931721672164972E-3</c:v>
                </c:pt>
                <c:pt idx="79">
                  <c:v>5.4120182508748697E-3</c:v>
                </c:pt>
                <c:pt idx="80">
                  <c:v>5.5323782973823897E-3</c:v>
                </c:pt>
                <c:pt idx="81">
                  <c:v>5.6542523067390684E-3</c:v>
                </c:pt>
                <c:pt idx="82">
                  <c:v>5.7776402789448955E-3</c:v>
                </c:pt>
                <c:pt idx="83">
                  <c:v>5.9025422139998684E-3</c:v>
                </c:pt>
                <c:pt idx="84">
                  <c:v>6.0289581119039939E-3</c:v>
                </c:pt>
                <c:pt idx="85">
                  <c:v>6.1568879726572765E-3</c:v>
                </c:pt>
                <c:pt idx="86">
                  <c:v>6.2863317962597075E-3</c:v>
                </c:pt>
                <c:pt idx="87">
                  <c:v>6.4172895827112868E-3</c:v>
                </c:pt>
                <c:pt idx="88">
                  <c:v>6.5497613320120206E-3</c:v>
                </c:pt>
                <c:pt idx="89">
                  <c:v>6.6837470441619027E-3</c:v>
                </c:pt>
                <c:pt idx="90">
                  <c:v>6.8192467191609428E-3</c:v>
                </c:pt>
                <c:pt idx="91">
                  <c:v>6.9562603570091286E-3</c:v>
                </c:pt>
                <c:pt idx="92">
                  <c:v>7.0947879577064671E-3</c:v>
                </c:pt>
                <c:pt idx="93">
                  <c:v>7.2348295212529548E-3</c:v>
                </c:pt>
                <c:pt idx="94">
                  <c:v>7.3763850476485961E-3</c:v>
                </c:pt>
                <c:pt idx="95">
                  <c:v>7.5194545368933901E-3</c:v>
                </c:pt>
                <c:pt idx="96">
                  <c:v>7.6640379889873298E-3</c:v>
                </c:pt>
                <c:pt idx="97">
                  <c:v>7.8101354039304188E-3</c:v>
                </c:pt>
                <c:pt idx="98">
                  <c:v>7.9577467817226709E-3</c:v>
                </c:pt>
                <c:pt idx="99">
                  <c:v>8.1068721223640644E-3</c:v>
                </c:pt>
                <c:pt idx="100">
                  <c:v>8.2575114258546106E-3</c:v>
                </c:pt>
                <c:pt idx="101">
                  <c:v>8.409664692194313E-3</c:v>
                </c:pt>
                <c:pt idx="102">
                  <c:v>8.5633319213831629E-3</c:v>
                </c:pt>
                <c:pt idx="103">
                  <c:v>8.7185131134211637E-3</c:v>
                </c:pt>
                <c:pt idx="104">
                  <c:v>8.8752082683083156E-3</c:v>
                </c:pt>
                <c:pt idx="105">
                  <c:v>9.0334173860446253E-3</c:v>
                </c:pt>
                <c:pt idx="106">
                  <c:v>9.1931404666300807E-3</c:v>
                </c:pt>
                <c:pt idx="107">
                  <c:v>9.3543775100646837E-3</c:v>
                </c:pt>
                <c:pt idx="108">
                  <c:v>9.5171285163484463E-3</c:v>
                </c:pt>
                <c:pt idx="109">
                  <c:v>9.6813934854813512E-3</c:v>
                </c:pt>
                <c:pt idx="110">
                  <c:v>9.8471724174634141E-3</c:v>
                </c:pt>
                <c:pt idx="111">
                  <c:v>1.0014465312294628E-2</c:v>
                </c:pt>
                <c:pt idx="112">
                  <c:v>1.0183272169974991E-2</c:v>
                </c:pt>
                <c:pt idx="113">
                  <c:v>1.03535929905045E-2</c:v>
                </c:pt>
                <c:pt idx="114">
                  <c:v>1.0525427773883165E-2</c:v>
                </c:pt>
                <c:pt idx="115">
                  <c:v>1.0698776520110982E-2</c:v>
                </c:pt>
                <c:pt idx="116">
                  <c:v>1.0873639229187944E-2</c:v>
                </c:pt>
                <c:pt idx="117">
                  <c:v>1.1050015901114062E-2</c:v>
                </c:pt>
                <c:pt idx="118">
                  <c:v>1.1227906535889334E-2</c:v>
                </c:pt>
                <c:pt idx="119">
                  <c:v>1.1407311133513759E-2</c:v>
                </c:pt>
                <c:pt idx="120">
                  <c:v>1.1588229693987335E-2</c:v>
                </c:pt>
                <c:pt idx="121">
                  <c:v>1.1770662217310057E-2</c:v>
                </c:pt>
                <c:pt idx="122">
                  <c:v>1.1954608703481929E-2</c:v>
                </c:pt>
                <c:pt idx="123">
                  <c:v>1.2140069152502955E-2</c:v>
                </c:pt>
                <c:pt idx="124">
                  <c:v>1.2327043564373133E-2</c:v>
                </c:pt>
                <c:pt idx="125">
                  <c:v>1.2515531939092462E-2</c:v>
                </c:pt>
                <c:pt idx="126">
                  <c:v>1.2705534276660947E-2</c:v>
                </c:pt>
                <c:pt idx="127">
                  <c:v>1.2897050577078569E-2</c:v>
                </c:pt>
                <c:pt idx="128">
                  <c:v>1.3090080840345355E-2</c:v>
                </c:pt>
                <c:pt idx="129">
                  <c:v>1.3284625066461284E-2</c:v>
                </c:pt>
                <c:pt idx="130">
                  <c:v>1.3480683255426371E-2</c:v>
                </c:pt>
                <c:pt idx="131">
                  <c:v>1.3678255407240613E-2</c:v>
                </c:pt>
                <c:pt idx="132">
                  <c:v>1.3877341521903997E-2</c:v>
                </c:pt>
                <c:pt idx="133">
                  <c:v>1.4077941599416536E-2</c:v>
                </c:pt>
                <c:pt idx="134">
                  <c:v>1.4280055639778225E-2</c:v>
                </c:pt>
                <c:pt idx="135">
                  <c:v>1.4483683642989069E-2</c:v>
                </c:pt>
                <c:pt idx="136">
                  <c:v>1.4688825609049062E-2</c:v>
                </c:pt>
                <c:pt idx="137">
                  <c:v>1.4895481537958201E-2</c:v>
                </c:pt>
                <c:pt idx="138">
                  <c:v>1.5103651429716498E-2</c:v>
                </c:pt>
                <c:pt idx="139">
                  <c:v>1.5313335284323947E-2</c:v>
                </c:pt>
                <c:pt idx="140">
                  <c:v>1.5524533101780546E-2</c:v>
                </c:pt>
                <c:pt idx="141">
                  <c:v>1.5737244882086283E-2</c:v>
                </c:pt>
                <c:pt idx="142">
                  <c:v>1.5951470625241177E-2</c:v>
                </c:pt>
                <c:pt idx="143">
                  <c:v>1.6167210331245237E-2</c:v>
                </c:pt>
                <c:pt idx="144">
                  <c:v>1.6384464000098443E-2</c:v>
                </c:pt>
                <c:pt idx="145">
                  <c:v>1.6603231631800785E-2</c:v>
                </c:pt>
                <c:pt idx="146">
                  <c:v>1.68235132263523E-2</c:v>
                </c:pt>
                <c:pt idx="147">
                  <c:v>1.7045308783752957E-2</c:v>
                </c:pt>
                <c:pt idx="148">
                  <c:v>1.726861830400276E-2</c:v>
                </c:pt>
                <c:pt idx="149">
                  <c:v>1.7493441787101716E-2</c:v>
                </c:pt>
                <c:pt idx="150">
                  <c:v>1.7719779233049831E-2</c:v>
                </c:pt>
              </c:numCache>
            </c:numRef>
          </c:yVal>
          <c:smooth val="1"/>
          <c:extLst>
            <c:ext xmlns:c16="http://schemas.microsoft.com/office/drawing/2014/chart" uri="{C3380CC4-5D6E-409C-BE32-E72D297353CC}">
              <c16:uniqueId val="{00000002-98B9-4A0F-9AF3-241E82BDC034}"/>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Eff_vs_IOUT!$AY$8:$AY$157</c:f>
              <c:numCache>
                <c:formatCode>General</c:formatCode>
                <c:ptCount val="150"/>
                <c:pt idx="0">
                  <c:v>0.110428</c:v>
                </c:pt>
                <c:pt idx="1">
                  <c:v>0.111428</c:v>
                </c:pt>
                <c:pt idx="2">
                  <c:v>0.112428</c:v>
                </c:pt>
                <c:pt idx="3">
                  <c:v>0.113428</c:v>
                </c:pt>
                <c:pt idx="4">
                  <c:v>0.114428</c:v>
                </c:pt>
                <c:pt idx="5">
                  <c:v>0.115428</c:v>
                </c:pt>
                <c:pt idx="6">
                  <c:v>0.116428</c:v>
                </c:pt>
                <c:pt idx="7">
                  <c:v>0.117428</c:v>
                </c:pt>
                <c:pt idx="8">
                  <c:v>0.11842799999999999</c:v>
                </c:pt>
                <c:pt idx="9">
                  <c:v>0.11942799999999999</c:v>
                </c:pt>
                <c:pt idx="10">
                  <c:v>0.12042799999999999</c:v>
                </c:pt>
                <c:pt idx="11">
                  <c:v>0.12142799999999999</c:v>
                </c:pt>
                <c:pt idx="12">
                  <c:v>0.122428</c:v>
                </c:pt>
                <c:pt idx="13">
                  <c:v>0.123428</c:v>
                </c:pt>
                <c:pt idx="14">
                  <c:v>0.124428</c:v>
                </c:pt>
                <c:pt idx="15">
                  <c:v>0.12542799999999998</c:v>
                </c:pt>
                <c:pt idx="16">
                  <c:v>0.12642799999999998</c:v>
                </c:pt>
                <c:pt idx="17">
                  <c:v>0.12742799999999999</c:v>
                </c:pt>
                <c:pt idx="18">
                  <c:v>0.12842799999999999</c:v>
                </c:pt>
                <c:pt idx="19">
                  <c:v>0.12942799999999999</c:v>
                </c:pt>
                <c:pt idx="20">
                  <c:v>0.13042799999999999</c:v>
                </c:pt>
                <c:pt idx="21">
                  <c:v>0.13142799999999999</c:v>
                </c:pt>
                <c:pt idx="22">
                  <c:v>0.13242799999999999</c:v>
                </c:pt>
                <c:pt idx="23">
                  <c:v>0.13342799999999999</c:v>
                </c:pt>
                <c:pt idx="24">
                  <c:v>0.13442799999999999</c:v>
                </c:pt>
                <c:pt idx="25">
                  <c:v>0.13542799999999999</c:v>
                </c:pt>
                <c:pt idx="26">
                  <c:v>0.13642799999999999</c:v>
                </c:pt>
                <c:pt idx="27">
                  <c:v>0.13742799999999999</c:v>
                </c:pt>
                <c:pt idx="28">
                  <c:v>0.138428</c:v>
                </c:pt>
                <c:pt idx="29">
                  <c:v>0.139428</c:v>
                </c:pt>
                <c:pt idx="30">
                  <c:v>0.140428</c:v>
                </c:pt>
                <c:pt idx="31">
                  <c:v>0.141428</c:v>
                </c:pt>
                <c:pt idx="32">
                  <c:v>0.142428</c:v>
                </c:pt>
                <c:pt idx="33">
                  <c:v>0.143428</c:v>
                </c:pt>
                <c:pt idx="34">
                  <c:v>0.144428</c:v>
                </c:pt>
                <c:pt idx="35">
                  <c:v>0.145428</c:v>
                </c:pt>
                <c:pt idx="36">
                  <c:v>0.146428</c:v>
                </c:pt>
                <c:pt idx="37">
                  <c:v>0.147428</c:v>
                </c:pt>
                <c:pt idx="38">
                  <c:v>0.148428</c:v>
                </c:pt>
                <c:pt idx="39">
                  <c:v>0.14942800000000001</c:v>
                </c:pt>
                <c:pt idx="40">
                  <c:v>0.15042800000000001</c:v>
                </c:pt>
                <c:pt idx="41">
                  <c:v>0.15142800000000001</c:v>
                </c:pt>
                <c:pt idx="42">
                  <c:v>0.15242800000000001</c:v>
                </c:pt>
                <c:pt idx="43">
                  <c:v>0.15342800000000001</c:v>
                </c:pt>
                <c:pt idx="44">
                  <c:v>0.15442800000000001</c:v>
                </c:pt>
                <c:pt idx="45">
                  <c:v>0.15542800000000001</c:v>
                </c:pt>
                <c:pt idx="46">
                  <c:v>0.15642800000000001</c:v>
                </c:pt>
                <c:pt idx="47">
                  <c:v>0.15742800000000001</c:v>
                </c:pt>
                <c:pt idx="48">
                  <c:v>0.15842799999999999</c:v>
                </c:pt>
                <c:pt idx="49">
                  <c:v>0.15942799999999999</c:v>
                </c:pt>
                <c:pt idx="50">
                  <c:v>0.16042800000000002</c:v>
                </c:pt>
                <c:pt idx="51">
                  <c:v>0.16142799999999999</c:v>
                </c:pt>
                <c:pt idx="52">
                  <c:v>0.16242799999999999</c:v>
                </c:pt>
                <c:pt idx="53">
                  <c:v>0.16342800000000002</c:v>
                </c:pt>
                <c:pt idx="54">
                  <c:v>0.16442799999999999</c:v>
                </c:pt>
                <c:pt idx="55">
                  <c:v>0.16542799999999999</c:v>
                </c:pt>
                <c:pt idx="56">
                  <c:v>0.16642800000000002</c:v>
                </c:pt>
                <c:pt idx="57">
                  <c:v>0.16742799999999999</c:v>
                </c:pt>
                <c:pt idx="58">
                  <c:v>0.16842799999999999</c:v>
                </c:pt>
                <c:pt idx="59">
                  <c:v>0.169428</c:v>
                </c:pt>
                <c:pt idx="60">
                  <c:v>0.170428</c:v>
                </c:pt>
                <c:pt idx="61">
                  <c:v>0.171428</c:v>
                </c:pt>
                <c:pt idx="62">
                  <c:v>0.172428</c:v>
                </c:pt>
                <c:pt idx="63">
                  <c:v>0.173428</c:v>
                </c:pt>
                <c:pt idx="64">
                  <c:v>0.174428</c:v>
                </c:pt>
                <c:pt idx="65">
                  <c:v>0.175428</c:v>
                </c:pt>
                <c:pt idx="66">
                  <c:v>0.176428</c:v>
                </c:pt>
                <c:pt idx="67">
                  <c:v>0.177428</c:v>
                </c:pt>
                <c:pt idx="68">
                  <c:v>0.178428</c:v>
                </c:pt>
                <c:pt idx="69">
                  <c:v>0.179428</c:v>
                </c:pt>
                <c:pt idx="70">
                  <c:v>0.18042799999999998</c:v>
                </c:pt>
                <c:pt idx="71">
                  <c:v>0.18142799999999998</c:v>
                </c:pt>
                <c:pt idx="72">
                  <c:v>0.18242799999999998</c:v>
                </c:pt>
                <c:pt idx="73">
                  <c:v>0.18342799999999998</c:v>
                </c:pt>
                <c:pt idx="74">
                  <c:v>0.18442799999999998</c:v>
                </c:pt>
                <c:pt idx="75">
                  <c:v>0.18542799999999998</c:v>
                </c:pt>
                <c:pt idx="76">
                  <c:v>0.18642799999999998</c:v>
                </c:pt>
                <c:pt idx="77">
                  <c:v>0.18742799999999998</c:v>
                </c:pt>
                <c:pt idx="78">
                  <c:v>0.18842799999999998</c:v>
                </c:pt>
                <c:pt idx="79">
                  <c:v>0.18942799999999999</c:v>
                </c:pt>
                <c:pt idx="80">
                  <c:v>0.19042799999999999</c:v>
                </c:pt>
                <c:pt idx="81">
                  <c:v>0.19142799999999999</c:v>
                </c:pt>
                <c:pt idx="82">
                  <c:v>0.19242799999999999</c:v>
                </c:pt>
                <c:pt idx="83">
                  <c:v>0.19342799999999999</c:v>
                </c:pt>
                <c:pt idx="84">
                  <c:v>0.19442799999999999</c:v>
                </c:pt>
                <c:pt idx="85">
                  <c:v>0.19542799999999999</c:v>
                </c:pt>
                <c:pt idx="86">
                  <c:v>0.19642799999999999</c:v>
                </c:pt>
                <c:pt idx="87">
                  <c:v>0.19742799999999999</c:v>
                </c:pt>
                <c:pt idx="88">
                  <c:v>0.19842799999999999</c:v>
                </c:pt>
                <c:pt idx="89">
                  <c:v>0.19942799999999999</c:v>
                </c:pt>
                <c:pt idx="90">
                  <c:v>0.200428</c:v>
                </c:pt>
                <c:pt idx="91">
                  <c:v>0.201428</c:v>
                </c:pt>
                <c:pt idx="92">
                  <c:v>0.202428</c:v>
                </c:pt>
                <c:pt idx="93">
                  <c:v>0.203428</c:v>
                </c:pt>
                <c:pt idx="94">
                  <c:v>0.204428</c:v>
                </c:pt>
                <c:pt idx="95">
                  <c:v>0.205428</c:v>
                </c:pt>
                <c:pt idx="96">
                  <c:v>0.206428</c:v>
                </c:pt>
                <c:pt idx="97">
                  <c:v>0.207428</c:v>
                </c:pt>
                <c:pt idx="98">
                  <c:v>0.208428</c:v>
                </c:pt>
                <c:pt idx="99">
                  <c:v>0.209428</c:v>
                </c:pt>
                <c:pt idx="100">
                  <c:v>0.210428</c:v>
                </c:pt>
                <c:pt idx="101">
                  <c:v>0.211428</c:v>
                </c:pt>
                <c:pt idx="102">
                  <c:v>0.21242800000000001</c:v>
                </c:pt>
                <c:pt idx="103">
                  <c:v>0.21342800000000001</c:v>
                </c:pt>
                <c:pt idx="104">
                  <c:v>0.21442800000000001</c:v>
                </c:pt>
                <c:pt idx="105">
                  <c:v>0.21542800000000001</c:v>
                </c:pt>
                <c:pt idx="106">
                  <c:v>0.21642800000000001</c:v>
                </c:pt>
                <c:pt idx="107">
                  <c:v>0.21742800000000001</c:v>
                </c:pt>
                <c:pt idx="108">
                  <c:v>0.21842800000000001</c:v>
                </c:pt>
                <c:pt idx="109">
                  <c:v>0.21942800000000001</c:v>
                </c:pt>
                <c:pt idx="110">
                  <c:v>0.22042800000000001</c:v>
                </c:pt>
                <c:pt idx="111">
                  <c:v>0.22142800000000001</c:v>
                </c:pt>
                <c:pt idx="112">
                  <c:v>0.22242800000000001</c:v>
                </c:pt>
                <c:pt idx="113">
                  <c:v>0.22342800000000002</c:v>
                </c:pt>
                <c:pt idx="114">
                  <c:v>0.22442800000000002</c:v>
                </c:pt>
                <c:pt idx="115">
                  <c:v>0.22542799999999999</c:v>
                </c:pt>
                <c:pt idx="116">
                  <c:v>0.22642799999999996</c:v>
                </c:pt>
                <c:pt idx="117">
                  <c:v>0.22742799999999999</c:v>
                </c:pt>
                <c:pt idx="118">
                  <c:v>0.22842799999999999</c:v>
                </c:pt>
                <c:pt idx="119">
                  <c:v>0.22942799999999997</c:v>
                </c:pt>
                <c:pt idx="120">
                  <c:v>0.23042799999999999</c:v>
                </c:pt>
                <c:pt idx="121">
                  <c:v>0.23142799999999999</c:v>
                </c:pt>
                <c:pt idx="122">
                  <c:v>0.23242799999999997</c:v>
                </c:pt>
                <c:pt idx="123">
                  <c:v>0.233428</c:v>
                </c:pt>
                <c:pt idx="124">
                  <c:v>0.234428</c:v>
                </c:pt>
                <c:pt idx="125">
                  <c:v>0.235428</c:v>
                </c:pt>
                <c:pt idx="126">
                  <c:v>0.236428</c:v>
                </c:pt>
                <c:pt idx="127">
                  <c:v>0.237428</c:v>
                </c:pt>
                <c:pt idx="128">
                  <c:v>0.238428</c:v>
                </c:pt>
                <c:pt idx="129">
                  <c:v>0.239428</c:v>
                </c:pt>
                <c:pt idx="130">
                  <c:v>0.240428</c:v>
                </c:pt>
                <c:pt idx="131">
                  <c:v>0.241428</c:v>
                </c:pt>
                <c:pt idx="132">
                  <c:v>0.242428</c:v>
                </c:pt>
                <c:pt idx="133">
                  <c:v>0.24342800000000001</c:v>
                </c:pt>
                <c:pt idx="134">
                  <c:v>0.24442800000000001</c:v>
                </c:pt>
                <c:pt idx="135">
                  <c:v>0.24542800000000001</c:v>
                </c:pt>
                <c:pt idx="136">
                  <c:v>0.24642800000000001</c:v>
                </c:pt>
                <c:pt idx="137">
                  <c:v>0.24742800000000001</c:v>
                </c:pt>
                <c:pt idx="138">
                  <c:v>0.24842800000000001</c:v>
                </c:pt>
                <c:pt idx="139">
                  <c:v>0.24942800000000001</c:v>
                </c:pt>
                <c:pt idx="140">
                  <c:v>0.25042799999999998</c:v>
                </c:pt>
                <c:pt idx="141">
                  <c:v>0.25142799999999998</c:v>
                </c:pt>
                <c:pt idx="142">
                  <c:v>0.25242799999999999</c:v>
                </c:pt>
                <c:pt idx="143">
                  <c:v>0.25342799999999999</c:v>
                </c:pt>
                <c:pt idx="144">
                  <c:v>0.25442799999999999</c:v>
                </c:pt>
                <c:pt idx="145">
                  <c:v>0.25542799999999999</c:v>
                </c:pt>
                <c:pt idx="146">
                  <c:v>0.25642799999999999</c:v>
                </c:pt>
                <c:pt idx="147">
                  <c:v>0.25742799999999999</c:v>
                </c:pt>
                <c:pt idx="148">
                  <c:v>0.25842799999999999</c:v>
                </c:pt>
                <c:pt idx="149">
                  <c:v>0.25942799999999999</c:v>
                </c:pt>
              </c:numCache>
            </c:numRef>
          </c:yVal>
          <c:smooth val="1"/>
          <c:extLst>
            <c:ext xmlns:c16="http://schemas.microsoft.com/office/drawing/2014/chart" uri="{C3380CC4-5D6E-409C-BE32-E72D297353CC}">
              <c16:uniqueId val="{00000003-98B9-4A0F-9AF3-241E82BDC034}"/>
            </c:ext>
          </c:extLst>
        </c:ser>
        <c:ser>
          <c:idx val="4"/>
          <c:order val="4"/>
          <c:tx>
            <c:v>D2</c:v>
          </c:tx>
          <c:marker>
            <c:symbol val="none"/>
          </c:marker>
          <c:xVal>
            <c:numRef>
              <c:f>Eff_vs_IOUT!$R$8:$R$157</c:f>
              <c:numCache>
                <c:formatCode>General</c:formatCode>
                <c:ptCount val="150"/>
                <c:pt idx="0">
                  <c:v>0.16216666666666668</c:v>
                </c:pt>
                <c:pt idx="1">
                  <c:v>0.32433333333333336</c:v>
                </c:pt>
                <c:pt idx="2">
                  <c:v>0.48649999999999999</c:v>
                </c:pt>
                <c:pt idx="3">
                  <c:v>0.64866666666666672</c:v>
                </c:pt>
                <c:pt idx="4">
                  <c:v>0.81083333333333341</c:v>
                </c:pt>
                <c:pt idx="5">
                  <c:v>0.97299999999999998</c:v>
                </c:pt>
                <c:pt idx="6">
                  <c:v>1.1351666666666669</c:v>
                </c:pt>
                <c:pt idx="7">
                  <c:v>1.2973333333333334</c:v>
                </c:pt>
                <c:pt idx="8">
                  <c:v>1.4595</c:v>
                </c:pt>
                <c:pt idx="9">
                  <c:v>1.6216666666666668</c:v>
                </c:pt>
                <c:pt idx="10">
                  <c:v>1.7838333333333334</c:v>
                </c:pt>
                <c:pt idx="11">
                  <c:v>1.946</c:v>
                </c:pt>
                <c:pt idx="12">
                  <c:v>2.1081666666666665</c:v>
                </c:pt>
                <c:pt idx="13">
                  <c:v>2.2703333333333338</c:v>
                </c:pt>
                <c:pt idx="14">
                  <c:v>2.4325000000000001</c:v>
                </c:pt>
                <c:pt idx="15">
                  <c:v>2.5946666666666669</c:v>
                </c:pt>
                <c:pt idx="16">
                  <c:v>2.7568333333333337</c:v>
                </c:pt>
                <c:pt idx="17">
                  <c:v>2.919</c:v>
                </c:pt>
                <c:pt idx="18">
                  <c:v>3.0811666666666668</c:v>
                </c:pt>
                <c:pt idx="19">
                  <c:v>3.2433333333333336</c:v>
                </c:pt>
                <c:pt idx="20">
                  <c:v>3.4055</c:v>
                </c:pt>
                <c:pt idx="21">
                  <c:v>3.5676666666666668</c:v>
                </c:pt>
                <c:pt idx="22">
                  <c:v>3.7298333333333336</c:v>
                </c:pt>
                <c:pt idx="23">
                  <c:v>3.8919999999999999</c:v>
                </c:pt>
                <c:pt idx="24">
                  <c:v>4.0541666666666663</c:v>
                </c:pt>
                <c:pt idx="25">
                  <c:v>4.216333333333333</c:v>
                </c:pt>
                <c:pt idx="26">
                  <c:v>4.3785000000000007</c:v>
                </c:pt>
                <c:pt idx="27">
                  <c:v>4.5406666666666675</c:v>
                </c:pt>
                <c:pt idx="28">
                  <c:v>4.7028333333333334</c:v>
                </c:pt>
                <c:pt idx="29">
                  <c:v>4.8650000000000002</c:v>
                </c:pt>
                <c:pt idx="30">
                  <c:v>5.027166666666667</c:v>
                </c:pt>
                <c:pt idx="31">
                  <c:v>5.1893333333333338</c:v>
                </c:pt>
                <c:pt idx="32">
                  <c:v>5.3515000000000006</c:v>
                </c:pt>
                <c:pt idx="33">
                  <c:v>5.5136666666666674</c:v>
                </c:pt>
                <c:pt idx="34">
                  <c:v>5.6758333333333342</c:v>
                </c:pt>
                <c:pt idx="35">
                  <c:v>5.8380000000000001</c:v>
                </c:pt>
                <c:pt idx="36">
                  <c:v>6.0001666666666669</c:v>
                </c:pt>
                <c:pt idx="37">
                  <c:v>6.1623333333333337</c:v>
                </c:pt>
                <c:pt idx="38">
                  <c:v>6.3245000000000005</c:v>
                </c:pt>
                <c:pt idx="39">
                  <c:v>6.4866666666666672</c:v>
                </c:pt>
                <c:pt idx="40">
                  <c:v>6.648833333333334</c:v>
                </c:pt>
                <c:pt idx="41">
                  <c:v>6.8109999999999999</c:v>
                </c:pt>
                <c:pt idx="42">
                  <c:v>6.9731666666666667</c:v>
                </c:pt>
                <c:pt idx="43">
                  <c:v>7.1353333333333335</c:v>
                </c:pt>
                <c:pt idx="44">
                  <c:v>7.2975000000000003</c:v>
                </c:pt>
                <c:pt idx="45">
                  <c:v>7.4596666666666671</c:v>
                </c:pt>
                <c:pt idx="46">
                  <c:v>7.6218333333333339</c:v>
                </c:pt>
                <c:pt idx="47">
                  <c:v>7.7839999999999998</c:v>
                </c:pt>
                <c:pt idx="48">
                  <c:v>7.9461666666666666</c:v>
                </c:pt>
                <c:pt idx="49">
                  <c:v>8.1083333333333325</c:v>
                </c:pt>
                <c:pt idx="50">
                  <c:v>8.2705000000000002</c:v>
                </c:pt>
                <c:pt idx="51">
                  <c:v>8.4326666666666661</c:v>
                </c:pt>
                <c:pt idx="52">
                  <c:v>8.5948333333333338</c:v>
                </c:pt>
                <c:pt idx="53">
                  <c:v>8.7570000000000014</c:v>
                </c:pt>
                <c:pt idx="54">
                  <c:v>8.9191666666666674</c:v>
                </c:pt>
                <c:pt idx="55">
                  <c:v>9.081333333333335</c:v>
                </c:pt>
                <c:pt idx="56">
                  <c:v>9.2435000000000009</c:v>
                </c:pt>
                <c:pt idx="57">
                  <c:v>9.4056666666666668</c:v>
                </c:pt>
                <c:pt idx="58">
                  <c:v>9.5678333333333327</c:v>
                </c:pt>
                <c:pt idx="59">
                  <c:v>9.73</c:v>
                </c:pt>
                <c:pt idx="60">
                  <c:v>9.8921666666666663</c:v>
                </c:pt>
                <c:pt idx="61">
                  <c:v>10.054333333333334</c:v>
                </c:pt>
                <c:pt idx="62">
                  <c:v>10.2165</c:v>
                </c:pt>
                <c:pt idx="63">
                  <c:v>10.378666666666668</c:v>
                </c:pt>
                <c:pt idx="64">
                  <c:v>10.540833333333333</c:v>
                </c:pt>
                <c:pt idx="65">
                  <c:v>10.703000000000001</c:v>
                </c:pt>
                <c:pt idx="66">
                  <c:v>10.865166666666667</c:v>
                </c:pt>
                <c:pt idx="67">
                  <c:v>11.027333333333335</c:v>
                </c:pt>
                <c:pt idx="68">
                  <c:v>11.189500000000001</c:v>
                </c:pt>
                <c:pt idx="69">
                  <c:v>11.351666666666668</c:v>
                </c:pt>
                <c:pt idx="70">
                  <c:v>11.513833333333332</c:v>
                </c:pt>
                <c:pt idx="71">
                  <c:v>11.676</c:v>
                </c:pt>
                <c:pt idx="72">
                  <c:v>11.838166666666666</c:v>
                </c:pt>
                <c:pt idx="73">
                  <c:v>12.000333333333334</c:v>
                </c:pt>
                <c:pt idx="74">
                  <c:v>12.1625</c:v>
                </c:pt>
                <c:pt idx="75">
                  <c:v>12.324666666666667</c:v>
                </c:pt>
                <c:pt idx="76">
                  <c:v>12.486833333333333</c:v>
                </c:pt>
                <c:pt idx="77">
                  <c:v>12.649000000000001</c:v>
                </c:pt>
                <c:pt idx="78">
                  <c:v>12.811166666666667</c:v>
                </c:pt>
                <c:pt idx="79">
                  <c:v>12.973333333333334</c:v>
                </c:pt>
                <c:pt idx="80">
                  <c:v>13.1355</c:v>
                </c:pt>
                <c:pt idx="81">
                  <c:v>13.297666666666668</c:v>
                </c:pt>
                <c:pt idx="82">
                  <c:v>13.459833333333334</c:v>
                </c:pt>
                <c:pt idx="83">
                  <c:v>13.622</c:v>
                </c:pt>
                <c:pt idx="84">
                  <c:v>13.784166666666666</c:v>
                </c:pt>
                <c:pt idx="85">
                  <c:v>13.946333333333333</c:v>
                </c:pt>
                <c:pt idx="86">
                  <c:v>14.108499999999999</c:v>
                </c:pt>
                <c:pt idx="87">
                  <c:v>14.270666666666667</c:v>
                </c:pt>
                <c:pt idx="88">
                  <c:v>14.432833333333333</c:v>
                </c:pt>
                <c:pt idx="89">
                  <c:v>14.595000000000001</c:v>
                </c:pt>
                <c:pt idx="90">
                  <c:v>14.757166666666667</c:v>
                </c:pt>
                <c:pt idx="91">
                  <c:v>14.919333333333334</c:v>
                </c:pt>
                <c:pt idx="92">
                  <c:v>15.0815</c:v>
                </c:pt>
                <c:pt idx="93">
                  <c:v>15.243666666666668</c:v>
                </c:pt>
                <c:pt idx="94">
                  <c:v>15.405833333333334</c:v>
                </c:pt>
                <c:pt idx="95">
                  <c:v>15.568</c:v>
                </c:pt>
                <c:pt idx="96">
                  <c:v>15.730166666666666</c:v>
                </c:pt>
                <c:pt idx="97">
                  <c:v>15.892333333333333</c:v>
                </c:pt>
                <c:pt idx="98">
                  <c:v>16.054500000000001</c:v>
                </c:pt>
                <c:pt idx="99">
                  <c:v>16.216666666666665</c:v>
                </c:pt>
                <c:pt idx="100">
                  <c:v>16.378833333333333</c:v>
                </c:pt>
                <c:pt idx="101">
                  <c:v>16.541</c:v>
                </c:pt>
                <c:pt idx="102">
                  <c:v>16.703166666666668</c:v>
                </c:pt>
                <c:pt idx="103">
                  <c:v>16.865333333333332</c:v>
                </c:pt>
                <c:pt idx="104">
                  <c:v>17.0275</c:v>
                </c:pt>
                <c:pt idx="105">
                  <c:v>17.189666666666668</c:v>
                </c:pt>
                <c:pt idx="106">
                  <c:v>17.351833333333335</c:v>
                </c:pt>
                <c:pt idx="107">
                  <c:v>17.514000000000003</c:v>
                </c:pt>
                <c:pt idx="108">
                  <c:v>17.676166666666667</c:v>
                </c:pt>
                <c:pt idx="109">
                  <c:v>17.838333333333335</c:v>
                </c:pt>
                <c:pt idx="110">
                  <c:v>18.000500000000002</c:v>
                </c:pt>
                <c:pt idx="111">
                  <c:v>18.16266666666667</c:v>
                </c:pt>
                <c:pt idx="112">
                  <c:v>18.324833333333334</c:v>
                </c:pt>
                <c:pt idx="113">
                  <c:v>18.487000000000002</c:v>
                </c:pt>
                <c:pt idx="114">
                  <c:v>18.64916666666667</c:v>
                </c:pt>
                <c:pt idx="115">
                  <c:v>18.811333333333334</c:v>
                </c:pt>
                <c:pt idx="116">
                  <c:v>18.973499999999998</c:v>
                </c:pt>
                <c:pt idx="117">
                  <c:v>19.135666666666665</c:v>
                </c:pt>
                <c:pt idx="118">
                  <c:v>19.297833333333333</c:v>
                </c:pt>
                <c:pt idx="119">
                  <c:v>19.46</c:v>
                </c:pt>
                <c:pt idx="120">
                  <c:v>19.622166666666665</c:v>
                </c:pt>
                <c:pt idx="121">
                  <c:v>19.784333333333333</c:v>
                </c:pt>
                <c:pt idx="122">
                  <c:v>19.9465</c:v>
                </c:pt>
                <c:pt idx="123">
                  <c:v>20.108666666666668</c:v>
                </c:pt>
                <c:pt idx="124">
                  <c:v>20.270833333333332</c:v>
                </c:pt>
                <c:pt idx="125">
                  <c:v>20.433</c:v>
                </c:pt>
                <c:pt idx="126">
                  <c:v>20.595166666666668</c:v>
                </c:pt>
                <c:pt idx="127">
                  <c:v>20.757333333333335</c:v>
                </c:pt>
                <c:pt idx="128">
                  <c:v>20.919499999999999</c:v>
                </c:pt>
                <c:pt idx="129">
                  <c:v>21.081666666666667</c:v>
                </c:pt>
                <c:pt idx="130">
                  <c:v>21.243833333333335</c:v>
                </c:pt>
                <c:pt idx="131">
                  <c:v>21.406000000000002</c:v>
                </c:pt>
                <c:pt idx="132">
                  <c:v>21.568166666666666</c:v>
                </c:pt>
                <c:pt idx="133">
                  <c:v>21.730333333333334</c:v>
                </c:pt>
                <c:pt idx="134">
                  <c:v>21.892500000000002</c:v>
                </c:pt>
                <c:pt idx="135">
                  <c:v>22.05466666666667</c:v>
                </c:pt>
                <c:pt idx="136">
                  <c:v>22.216833333333334</c:v>
                </c:pt>
                <c:pt idx="137">
                  <c:v>22.379000000000001</c:v>
                </c:pt>
                <c:pt idx="138">
                  <c:v>22.541166666666669</c:v>
                </c:pt>
                <c:pt idx="139">
                  <c:v>22.703333333333337</c:v>
                </c:pt>
                <c:pt idx="140">
                  <c:v>22.865499999999997</c:v>
                </c:pt>
                <c:pt idx="141">
                  <c:v>23.027666666666665</c:v>
                </c:pt>
                <c:pt idx="142">
                  <c:v>23.189833333333333</c:v>
                </c:pt>
                <c:pt idx="143">
                  <c:v>23.352</c:v>
                </c:pt>
                <c:pt idx="144">
                  <c:v>23.514166666666664</c:v>
                </c:pt>
                <c:pt idx="145">
                  <c:v>23.676333333333332</c:v>
                </c:pt>
                <c:pt idx="146">
                  <c:v>23.8385</c:v>
                </c:pt>
                <c:pt idx="147">
                  <c:v>24.000666666666667</c:v>
                </c:pt>
                <c:pt idx="148">
                  <c:v>24.162833333333332</c:v>
                </c:pt>
                <c:pt idx="149">
                  <c:v>24.324999999999999</c:v>
                </c:pt>
              </c:numCache>
            </c:numRef>
          </c:xVal>
          <c:yVal>
            <c:numRef>
              <c:f>Eff_vs_IOUT!$BI$8:$BI$157</c:f>
              <c:numCache>
                <c:formatCode>General</c:formatCode>
                <c:ptCount val="150"/>
                <c:pt idx="0">
                  <c:v>1.4800399999999998E-2</c:v>
                </c:pt>
                <c:pt idx="1">
                  <c:v>1.4900399999999999E-2</c:v>
                </c:pt>
                <c:pt idx="2">
                  <c:v>1.5000399999999999E-2</c:v>
                </c:pt>
                <c:pt idx="3">
                  <c:v>1.5100399999999998E-2</c:v>
                </c:pt>
                <c:pt idx="4">
                  <c:v>1.5200399999999999E-2</c:v>
                </c:pt>
                <c:pt idx="5">
                  <c:v>1.5300399999999999E-2</c:v>
                </c:pt>
                <c:pt idx="6">
                  <c:v>1.5400399999999998E-2</c:v>
                </c:pt>
                <c:pt idx="7">
                  <c:v>1.5500399999999999E-2</c:v>
                </c:pt>
                <c:pt idx="8">
                  <c:v>1.5600399999999999E-2</c:v>
                </c:pt>
                <c:pt idx="9">
                  <c:v>1.57004E-2</c:v>
                </c:pt>
                <c:pt idx="10">
                  <c:v>1.5800399999999999E-2</c:v>
                </c:pt>
                <c:pt idx="11">
                  <c:v>1.5900399999999999E-2</c:v>
                </c:pt>
                <c:pt idx="12">
                  <c:v>1.6000399999999998E-2</c:v>
                </c:pt>
                <c:pt idx="13">
                  <c:v>1.6100399999999997E-2</c:v>
                </c:pt>
                <c:pt idx="14">
                  <c:v>1.62004E-2</c:v>
                </c:pt>
                <c:pt idx="15">
                  <c:v>1.63004E-2</c:v>
                </c:pt>
                <c:pt idx="16">
                  <c:v>1.6400399999999999E-2</c:v>
                </c:pt>
                <c:pt idx="17">
                  <c:v>1.6500399999999998E-2</c:v>
                </c:pt>
                <c:pt idx="18">
                  <c:v>1.6600399999999998E-2</c:v>
                </c:pt>
                <c:pt idx="19">
                  <c:v>1.6700399999999997E-2</c:v>
                </c:pt>
                <c:pt idx="20">
                  <c:v>1.68004E-2</c:v>
                </c:pt>
                <c:pt idx="21">
                  <c:v>1.6900399999999999E-2</c:v>
                </c:pt>
                <c:pt idx="22">
                  <c:v>1.7000399999999999E-2</c:v>
                </c:pt>
                <c:pt idx="23">
                  <c:v>1.7100399999999998E-2</c:v>
                </c:pt>
                <c:pt idx="24">
                  <c:v>1.7200399999999998E-2</c:v>
                </c:pt>
                <c:pt idx="25">
                  <c:v>1.73004E-2</c:v>
                </c:pt>
                <c:pt idx="26">
                  <c:v>1.74004E-2</c:v>
                </c:pt>
                <c:pt idx="27">
                  <c:v>1.7500399999999999E-2</c:v>
                </c:pt>
                <c:pt idx="28">
                  <c:v>1.7600399999999999E-2</c:v>
                </c:pt>
                <c:pt idx="29">
                  <c:v>1.7700399999999998E-2</c:v>
                </c:pt>
                <c:pt idx="30">
                  <c:v>1.7800399999999997E-2</c:v>
                </c:pt>
                <c:pt idx="31">
                  <c:v>1.7900399999999997E-2</c:v>
                </c:pt>
                <c:pt idx="32">
                  <c:v>1.80004E-2</c:v>
                </c:pt>
                <c:pt idx="33">
                  <c:v>1.8100399999999999E-2</c:v>
                </c:pt>
                <c:pt idx="34">
                  <c:v>1.8200399999999999E-2</c:v>
                </c:pt>
                <c:pt idx="35">
                  <c:v>1.8300399999999998E-2</c:v>
                </c:pt>
                <c:pt idx="36">
                  <c:v>1.8400399999999997E-2</c:v>
                </c:pt>
                <c:pt idx="37">
                  <c:v>1.85004E-2</c:v>
                </c:pt>
                <c:pt idx="38">
                  <c:v>1.86004E-2</c:v>
                </c:pt>
                <c:pt idx="39">
                  <c:v>1.8700399999999999E-2</c:v>
                </c:pt>
                <c:pt idx="40">
                  <c:v>1.8800399999999998E-2</c:v>
                </c:pt>
                <c:pt idx="41">
                  <c:v>1.8900399999999998E-2</c:v>
                </c:pt>
                <c:pt idx="42">
                  <c:v>1.9000400000000001E-2</c:v>
                </c:pt>
                <c:pt idx="43">
                  <c:v>1.9100399999999997E-2</c:v>
                </c:pt>
                <c:pt idx="44">
                  <c:v>1.9200399999999999E-2</c:v>
                </c:pt>
                <c:pt idx="45">
                  <c:v>1.9300399999999999E-2</c:v>
                </c:pt>
                <c:pt idx="46">
                  <c:v>1.9400399999999998E-2</c:v>
                </c:pt>
                <c:pt idx="47">
                  <c:v>1.9500399999999998E-2</c:v>
                </c:pt>
                <c:pt idx="48">
                  <c:v>1.9600399999999997E-2</c:v>
                </c:pt>
                <c:pt idx="49">
                  <c:v>1.97004E-2</c:v>
                </c:pt>
                <c:pt idx="50">
                  <c:v>1.9800399999999999E-2</c:v>
                </c:pt>
                <c:pt idx="51">
                  <c:v>1.9900399999999999E-2</c:v>
                </c:pt>
                <c:pt idx="52">
                  <c:v>2.0000399999999998E-2</c:v>
                </c:pt>
                <c:pt idx="53">
                  <c:v>2.0100399999999997E-2</c:v>
                </c:pt>
                <c:pt idx="54">
                  <c:v>2.02004E-2</c:v>
                </c:pt>
                <c:pt idx="55">
                  <c:v>2.0300399999999996E-2</c:v>
                </c:pt>
                <c:pt idx="56">
                  <c:v>2.0400399999999999E-2</c:v>
                </c:pt>
                <c:pt idx="57">
                  <c:v>2.0500399999999998E-2</c:v>
                </c:pt>
                <c:pt idx="58">
                  <c:v>2.0600399999999998E-2</c:v>
                </c:pt>
                <c:pt idx="59">
                  <c:v>2.0700400000000001E-2</c:v>
                </c:pt>
                <c:pt idx="60">
                  <c:v>2.0800399999999997E-2</c:v>
                </c:pt>
                <c:pt idx="61">
                  <c:v>2.09004E-2</c:v>
                </c:pt>
                <c:pt idx="62">
                  <c:v>2.1000399999999999E-2</c:v>
                </c:pt>
                <c:pt idx="63">
                  <c:v>2.1100399999999998E-2</c:v>
                </c:pt>
                <c:pt idx="64">
                  <c:v>2.1200399999999998E-2</c:v>
                </c:pt>
                <c:pt idx="65">
                  <c:v>2.1300399999999997E-2</c:v>
                </c:pt>
                <c:pt idx="66">
                  <c:v>2.14004E-2</c:v>
                </c:pt>
                <c:pt idx="67">
                  <c:v>2.1500399999999999E-2</c:v>
                </c:pt>
                <c:pt idx="68">
                  <c:v>2.1600399999999999E-2</c:v>
                </c:pt>
                <c:pt idx="69">
                  <c:v>2.1700399999999998E-2</c:v>
                </c:pt>
                <c:pt idx="70">
                  <c:v>2.1800399999999998E-2</c:v>
                </c:pt>
                <c:pt idx="71">
                  <c:v>2.19004E-2</c:v>
                </c:pt>
                <c:pt idx="72">
                  <c:v>2.2000399999999996E-2</c:v>
                </c:pt>
                <c:pt idx="73">
                  <c:v>2.2100399999999999E-2</c:v>
                </c:pt>
                <c:pt idx="74">
                  <c:v>2.2200399999999999E-2</c:v>
                </c:pt>
                <c:pt idx="75">
                  <c:v>2.2300399999999998E-2</c:v>
                </c:pt>
                <c:pt idx="76">
                  <c:v>2.2400400000000001E-2</c:v>
                </c:pt>
                <c:pt idx="77">
                  <c:v>2.2500399999999997E-2</c:v>
                </c:pt>
                <c:pt idx="78">
                  <c:v>2.26004E-2</c:v>
                </c:pt>
                <c:pt idx="79">
                  <c:v>2.2700399999999999E-2</c:v>
                </c:pt>
                <c:pt idx="80">
                  <c:v>2.2800399999999998E-2</c:v>
                </c:pt>
                <c:pt idx="81">
                  <c:v>2.2900400000000001E-2</c:v>
                </c:pt>
                <c:pt idx="82">
                  <c:v>2.3000399999999997E-2</c:v>
                </c:pt>
                <c:pt idx="83">
                  <c:v>2.31004E-2</c:v>
                </c:pt>
                <c:pt idx="84">
                  <c:v>2.3200399999999996E-2</c:v>
                </c:pt>
                <c:pt idx="85">
                  <c:v>2.3300399999999999E-2</c:v>
                </c:pt>
                <c:pt idx="86">
                  <c:v>2.3400399999999998E-2</c:v>
                </c:pt>
                <c:pt idx="87">
                  <c:v>2.3500399999999998E-2</c:v>
                </c:pt>
                <c:pt idx="88">
                  <c:v>2.3600400000000001E-2</c:v>
                </c:pt>
                <c:pt idx="89">
                  <c:v>2.3700399999999996E-2</c:v>
                </c:pt>
                <c:pt idx="90">
                  <c:v>2.3800399999999999E-2</c:v>
                </c:pt>
                <c:pt idx="91">
                  <c:v>2.3900399999999999E-2</c:v>
                </c:pt>
                <c:pt idx="92">
                  <c:v>2.4000399999999998E-2</c:v>
                </c:pt>
                <c:pt idx="93">
                  <c:v>2.4100399999999998E-2</c:v>
                </c:pt>
                <c:pt idx="94">
                  <c:v>2.4200399999999997E-2</c:v>
                </c:pt>
                <c:pt idx="95">
                  <c:v>2.43004E-2</c:v>
                </c:pt>
                <c:pt idx="96">
                  <c:v>2.4400399999999996E-2</c:v>
                </c:pt>
                <c:pt idx="97">
                  <c:v>2.4500399999999999E-2</c:v>
                </c:pt>
                <c:pt idx="98">
                  <c:v>2.4600400000000001E-2</c:v>
                </c:pt>
                <c:pt idx="99">
                  <c:v>2.4700399999999997E-2</c:v>
                </c:pt>
                <c:pt idx="100">
                  <c:v>2.48004E-2</c:v>
                </c:pt>
                <c:pt idx="101">
                  <c:v>2.49004E-2</c:v>
                </c:pt>
                <c:pt idx="102">
                  <c:v>2.5000399999999999E-2</c:v>
                </c:pt>
                <c:pt idx="103">
                  <c:v>2.5100399999999998E-2</c:v>
                </c:pt>
                <c:pt idx="104">
                  <c:v>2.5200399999999998E-2</c:v>
                </c:pt>
                <c:pt idx="105">
                  <c:v>2.5300400000000001E-2</c:v>
                </c:pt>
                <c:pt idx="106">
                  <c:v>2.5400399999999997E-2</c:v>
                </c:pt>
                <c:pt idx="107">
                  <c:v>2.5500399999999999E-2</c:v>
                </c:pt>
                <c:pt idx="108">
                  <c:v>2.5600399999999999E-2</c:v>
                </c:pt>
                <c:pt idx="109">
                  <c:v>2.5700399999999998E-2</c:v>
                </c:pt>
                <c:pt idx="110">
                  <c:v>2.5800399999999998E-2</c:v>
                </c:pt>
                <c:pt idx="111">
                  <c:v>2.5900399999999997E-2</c:v>
                </c:pt>
                <c:pt idx="112">
                  <c:v>2.60004E-2</c:v>
                </c:pt>
                <c:pt idx="113">
                  <c:v>2.6100399999999996E-2</c:v>
                </c:pt>
                <c:pt idx="114">
                  <c:v>2.6200399999999999E-2</c:v>
                </c:pt>
                <c:pt idx="115">
                  <c:v>2.6300399999999995E-2</c:v>
                </c:pt>
                <c:pt idx="116">
                  <c:v>2.6400399999999997E-2</c:v>
                </c:pt>
                <c:pt idx="117">
                  <c:v>2.65004E-2</c:v>
                </c:pt>
                <c:pt idx="118">
                  <c:v>2.6600399999999996E-2</c:v>
                </c:pt>
                <c:pt idx="119">
                  <c:v>2.6700399999999999E-2</c:v>
                </c:pt>
                <c:pt idx="120">
                  <c:v>2.6800399999999999E-2</c:v>
                </c:pt>
                <c:pt idx="121">
                  <c:v>2.6900399999999998E-2</c:v>
                </c:pt>
                <c:pt idx="122">
                  <c:v>2.7000400000000001E-2</c:v>
                </c:pt>
                <c:pt idx="123">
                  <c:v>2.7100399999999997E-2</c:v>
                </c:pt>
                <c:pt idx="124">
                  <c:v>2.72004E-2</c:v>
                </c:pt>
                <c:pt idx="125">
                  <c:v>2.7300399999999996E-2</c:v>
                </c:pt>
                <c:pt idx="126">
                  <c:v>2.7400399999999998E-2</c:v>
                </c:pt>
                <c:pt idx="127">
                  <c:v>2.7500399999999998E-2</c:v>
                </c:pt>
                <c:pt idx="128">
                  <c:v>2.7600399999999997E-2</c:v>
                </c:pt>
                <c:pt idx="129">
                  <c:v>2.77004E-2</c:v>
                </c:pt>
                <c:pt idx="130">
                  <c:v>2.7800399999999996E-2</c:v>
                </c:pt>
                <c:pt idx="131">
                  <c:v>2.7900399999999999E-2</c:v>
                </c:pt>
                <c:pt idx="132">
                  <c:v>2.8000399999999995E-2</c:v>
                </c:pt>
                <c:pt idx="133">
                  <c:v>2.8100399999999998E-2</c:v>
                </c:pt>
                <c:pt idx="134">
                  <c:v>2.82004E-2</c:v>
                </c:pt>
                <c:pt idx="135">
                  <c:v>2.8300399999999996E-2</c:v>
                </c:pt>
                <c:pt idx="136">
                  <c:v>2.8400399999999999E-2</c:v>
                </c:pt>
                <c:pt idx="137">
                  <c:v>2.8500399999999999E-2</c:v>
                </c:pt>
                <c:pt idx="138">
                  <c:v>2.8600399999999998E-2</c:v>
                </c:pt>
                <c:pt idx="139">
                  <c:v>2.8700400000000001E-2</c:v>
                </c:pt>
                <c:pt idx="140">
                  <c:v>2.8800399999999997E-2</c:v>
                </c:pt>
                <c:pt idx="141">
                  <c:v>2.89004E-2</c:v>
                </c:pt>
                <c:pt idx="142">
                  <c:v>2.9000399999999996E-2</c:v>
                </c:pt>
                <c:pt idx="143">
                  <c:v>2.9100399999999998E-2</c:v>
                </c:pt>
                <c:pt idx="144">
                  <c:v>2.9200399999999998E-2</c:v>
                </c:pt>
                <c:pt idx="145">
                  <c:v>2.9300399999999997E-2</c:v>
                </c:pt>
                <c:pt idx="146">
                  <c:v>2.94004E-2</c:v>
                </c:pt>
                <c:pt idx="147">
                  <c:v>2.9500399999999996E-2</c:v>
                </c:pt>
                <c:pt idx="148">
                  <c:v>2.9600399999999999E-2</c:v>
                </c:pt>
                <c:pt idx="149">
                  <c:v>2.9700399999999998E-2</c:v>
                </c:pt>
              </c:numCache>
            </c:numRef>
          </c:yVal>
          <c:smooth val="1"/>
          <c:extLst>
            <c:ext xmlns:c16="http://schemas.microsoft.com/office/drawing/2014/chart" uri="{C3380CC4-5D6E-409C-BE32-E72D297353CC}">
              <c16:uniqueId val="{00000004-98B9-4A0F-9AF3-241E82BDC034}"/>
            </c:ext>
          </c:extLst>
        </c:ser>
        <c:dLbls>
          <c:showLegendKey val="0"/>
          <c:showVal val="0"/>
          <c:showCatName val="0"/>
          <c:showSerName val="0"/>
          <c:showPercent val="0"/>
          <c:showBubbleSize val="0"/>
        </c:dLbls>
        <c:axId val="586422528"/>
        <c:axId val="586420608"/>
      </c:scatterChart>
      <c:valAx>
        <c:axId val="586339072"/>
        <c:scaling>
          <c:orientation val="minMax"/>
        </c:scaling>
        <c:delete val="0"/>
        <c:axPos val="b"/>
        <c:majorGridlines/>
        <c:numFmt formatCode="General" sourceLinked="1"/>
        <c:majorTickMark val="out"/>
        <c:minorTickMark val="none"/>
        <c:tickLblPos val="nextTo"/>
        <c:crossAx val="586340608"/>
        <c:crosses val="autoZero"/>
        <c:crossBetween val="midCat"/>
      </c:valAx>
      <c:valAx>
        <c:axId val="586340608"/>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6339072"/>
        <c:crosses val="autoZero"/>
        <c:crossBetween val="midCat"/>
      </c:valAx>
      <c:valAx>
        <c:axId val="586420608"/>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6422528"/>
        <c:crosses val="max"/>
        <c:crossBetween val="midCat"/>
      </c:valAx>
      <c:valAx>
        <c:axId val="586422528"/>
        <c:scaling>
          <c:orientation val="minMax"/>
        </c:scaling>
        <c:delete val="1"/>
        <c:axPos val="b"/>
        <c:title>
          <c:tx>
            <c:rich>
              <a:bodyPr/>
              <a:lstStyle/>
              <a:p>
                <a:pPr>
                  <a:defRPr sz="1200"/>
                </a:pPr>
                <a:r>
                  <a:rPr lang="en-US" sz="1200" b="1" i="0" baseline="0">
                    <a:effectLst/>
                  </a:rPr>
                  <a:t>P</a:t>
                </a:r>
                <a:r>
                  <a:rPr lang="en-US" sz="1200" b="1" i="0" baseline="-25000">
                    <a:effectLst/>
                  </a:rPr>
                  <a:t>OUT</a:t>
                </a:r>
                <a:r>
                  <a:rPr lang="en-US" sz="1200" b="1" i="0" baseline="0">
                    <a:effectLst/>
                  </a:rPr>
                  <a:t> (W)</a:t>
                </a:r>
                <a:endParaRPr lang="en-US" sz="1200">
                  <a:effectLst/>
                </a:endParaRPr>
              </a:p>
            </c:rich>
          </c:tx>
          <c:overlay val="0"/>
        </c:title>
        <c:numFmt formatCode="General" sourceLinked="1"/>
        <c:majorTickMark val="out"/>
        <c:minorTickMark val="none"/>
        <c:tickLblPos val="nextTo"/>
        <c:crossAx val="586420608"/>
        <c:crosses val="autoZero"/>
        <c:crossBetween val="midCat"/>
      </c:valAx>
    </c:plotArea>
    <c:legend>
      <c:legendPos val="r"/>
      <c:layout>
        <c:manualLayout>
          <c:xMode val="edge"/>
          <c:yMode val="edge"/>
          <c:x val="0.49339941826540429"/>
          <c:y val="6.4862204724409449E-3"/>
          <c:w val="0.42227913565687919"/>
          <c:h val="0.1165233360670469"/>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Eff_vs_IOUT!$BZ$7:$BZ$157</c:f>
              <c:numCache>
                <c:formatCode>General</c:formatCode>
                <c:ptCount val="151"/>
                <c:pt idx="0">
                  <c:v>0</c:v>
                </c:pt>
                <c:pt idx="1">
                  <c:v>49.0362395285524</c:v>
                </c:pt>
                <c:pt idx="2">
                  <c:v>64.489521815492409</c:v>
                </c:pt>
                <c:pt idx="3">
                  <c:v>72.104963594677272</c:v>
                </c:pt>
                <c:pt idx="4">
                  <c:v>76.647487522770092</c:v>
                </c:pt>
                <c:pt idx="5">
                  <c:v>79.6673266190042</c:v>
                </c:pt>
                <c:pt idx="6">
                  <c:v>81.821107789819351</c:v>
                </c:pt>
                <c:pt idx="7">
                  <c:v>83.434983834181494</c:v>
                </c:pt>
                <c:pt idx="8">
                  <c:v>84.689428387103575</c:v>
                </c:pt>
                <c:pt idx="9">
                  <c:v>85.692454586184965</c:v>
                </c:pt>
                <c:pt idx="10">
                  <c:v>86.512688887391391</c:v>
                </c:pt>
                <c:pt idx="11">
                  <c:v>87.195836779376364</c:v>
                </c:pt>
                <c:pt idx="12">
                  <c:v>87.773521751397809</c:v>
                </c:pt>
                <c:pt idx="13">
                  <c:v>88.268324887613133</c:v>
                </c:pt>
                <c:pt idx="14">
                  <c:v>88.696803683357871</c:v>
                </c:pt>
                <c:pt idx="15">
                  <c:v>89.071376535380779</c:v>
                </c:pt>
                <c:pt idx="16">
                  <c:v>89.401541042035547</c:v>
                </c:pt>
                <c:pt idx="17">
                  <c:v>89.694685684656974</c:v>
                </c:pt>
                <c:pt idx="18">
                  <c:v>89.956644938146013</c:v>
                </c:pt>
                <c:pt idx="19">
                  <c:v>90.19208773026088</c:v>
                </c:pt>
                <c:pt idx="20">
                  <c:v>90.404794860364348</c:v>
                </c:pt>
                <c:pt idx="21">
                  <c:v>90.597860739204208</c:v>
                </c:pt>
                <c:pt idx="22">
                  <c:v>90.773842497695227</c:v>
                </c:pt>
                <c:pt idx="23">
                  <c:v>90.934871822757017</c:v>
                </c:pt>
                <c:pt idx="24">
                  <c:v>91.082739959885757</c:v>
                </c:pt>
                <c:pt idx="25">
                  <c:v>91.218963107949492</c:v>
                </c:pt>
                <c:pt idx="26">
                  <c:v>91.344833289802978</c:v>
                </c:pt>
                <c:pt idx="27">
                  <c:v>91.461458329368014</c:v>
                </c:pt>
                <c:pt idx="28">
                  <c:v>91.569793564054208</c:v>
                </c:pt>
                <c:pt idx="29">
                  <c:v>91.670667220289175</c:v>
                </c:pt>
                <c:pt idx="30">
                  <c:v>91.764800882441264</c:v>
                </c:pt>
                <c:pt idx="31">
                  <c:v>91.852826127883219</c:v>
                </c:pt>
                <c:pt idx="32">
                  <c:v>91.935298140936339</c:v>
                </c:pt>
                <c:pt idx="33">
                  <c:v>92.012706927254285</c:v>
                </c:pt>
                <c:pt idx="34">
                  <c:v>92.085486608187267</c:v>
                </c:pt>
                <c:pt idx="35">
                  <c:v>92.154023168148029</c:v>
                </c:pt>
                <c:pt idx="36">
                  <c:v>92.218660947389068</c:v>
                </c:pt>
                <c:pt idx="37">
                  <c:v>92.279708111075578</c:v>
                </c:pt>
                <c:pt idx="38">
                  <c:v>92.337441278207237</c:v>
                </c:pt>
                <c:pt idx="39">
                  <c:v>92.392109457257348</c:v>
                </c:pt>
                <c:pt idx="40">
                  <c:v>92.443937406761094</c:v>
                </c:pt>
                <c:pt idx="41">
                  <c:v>92.493128516582729</c:v>
                </c:pt>
                <c:pt idx="42">
                  <c:v>92.539867287796199</c:v>
                </c:pt>
                <c:pt idx="43">
                  <c:v>92.584321474956027</c:v>
                </c:pt>
                <c:pt idx="44">
                  <c:v>92.626643943208393</c:v>
                </c:pt>
                <c:pt idx="45">
                  <c:v>92.666974283578853</c:v>
                </c:pt>
                <c:pt idx="46">
                  <c:v>92.70544022240415</c:v>
                </c:pt>
                <c:pt idx="47">
                  <c:v>92.742158854887819</c:v>
                </c:pt>
                <c:pt idx="48">
                  <c:v>92.777237727869149</c:v>
                </c:pt>
                <c:pt idx="49">
                  <c:v>92.810775792885906</c:v>
                </c:pt>
                <c:pt idx="50">
                  <c:v>92.842864247307261</c:v>
                </c:pt>
                <c:pt idx="51">
                  <c:v>92.873587278583017</c:v>
                </c:pt>
                <c:pt idx="52">
                  <c:v>92.903022724385536</c:v>
                </c:pt>
                <c:pt idx="53">
                  <c:v>92.928260453654033</c:v>
                </c:pt>
                <c:pt idx="54">
                  <c:v>92.951531317437414</c:v>
                </c:pt>
                <c:pt idx="55">
                  <c:v>92.973665796253542</c:v>
                </c:pt>
                <c:pt idx="56">
                  <c:v>92.994723787324745</c:v>
                </c:pt>
                <c:pt idx="57">
                  <c:v>93.014761056600449</c:v>
                </c:pt>
                <c:pt idx="58">
                  <c:v>93.033829588898513</c:v>
                </c:pt>
                <c:pt idx="59">
                  <c:v>93.05197790302897</c:v>
                </c:pt>
                <c:pt idx="60">
                  <c:v>93.069251335919375</c:v>
                </c:pt>
                <c:pt idx="61">
                  <c:v>93.085692299241515</c:v>
                </c:pt>
                <c:pt idx="62">
                  <c:v>93.101340511595296</c:v>
                </c:pt>
                <c:pt idx="63">
                  <c:v>93.116233208923461</c:v>
                </c:pt>
                <c:pt idx="64">
                  <c:v>93.130405335501877</c:v>
                </c:pt>
                <c:pt idx="65">
                  <c:v>93.143889717565401</c:v>
                </c:pt>
                <c:pt idx="66">
                  <c:v>93.156717221383929</c:v>
                </c:pt>
                <c:pt idx="67">
                  <c:v>93.168916897389494</c:v>
                </c:pt>
                <c:pt idx="68">
                  <c:v>93.180516111769293</c:v>
                </c:pt>
                <c:pt idx="69">
                  <c:v>93.19154066677882</c:v>
                </c:pt>
                <c:pt idx="70">
                  <c:v>93.202014910886405</c:v>
                </c:pt>
                <c:pt idx="71">
                  <c:v>93.211961839738677</c:v>
                </c:pt>
                <c:pt idx="72">
                  <c:v>93.221403188826756</c:v>
                </c:pt>
                <c:pt idx="73">
                  <c:v>93.230359518638338</c:v>
                </c:pt>
                <c:pt idx="74">
                  <c:v>93.238850292997171</c:v>
                </c:pt>
                <c:pt idx="75">
                  <c:v>93.246893951217274</c:v>
                </c:pt>
                <c:pt idx="76">
                  <c:v>93.254507974634592</c:v>
                </c:pt>
                <c:pt idx="77">
                  <c:v>93.261708948020086</c:v>
                </c:pt>
                <c:pt idx="78">
                  <c:v>93.268512616328536</c:v>
                </c:pt>
                <c:pt idx="79">
                  <c:v>93.274933937190724</c:v>
                </c:pt>
                <c:pt idx="80">
                  <c:v>93.28098712951703</c:v>
                </c:pt>
                <c:pt idx="81">
                  <c:v>93.286685718544533</c:v>
                </c:pt>
                <c:pt idx="82">
                  <c:v>93.292042577627299</c:v>
                </c:pt>
                <c:pt idx="83">
                  <c:v>93.297069967041679</c:v>
                </c:pt>
                <c:pt idx="84">
                  <c:v>93.301779570051963</c:v>
                </c:pt>
                <c:pt idx="85">
                  <c:v>93.306182526459949</c:v>
                </c:pt>
                <c:pt idx="86">
                  <c:v>93.310289463840277</c:v>
                </c:pt>
                <c:pt idx="87">
                  <c:v>93.314110526646289</c:v>
                </c:pt>
                <c:pt idx="88">
                  <c:v>93.317655403353257</c:v>
                </c:pt>
                <c:pt idx="89">
                  <c:v>93.320933351792149</c:v>
                </c:pt>
                <c:pt idx="90">
                  <c:v>93.323953222812932</c:v>
                </c:pt>
                <c:pt idx="91">
                  <c:v>93.326723482404375</c:v>
                </c:pt>
                <c:pt idx="92">
                  <c:v>93.329252232386793</c:v>
                </c:pt>
                <c:pt idx="93">
                  <c:v>93.331547229783894</c:v>
                </c:pt>
                <c:pt idx="94">
                  <c:v>93.333615904971097</c:v>
                </c:pt>
                <c:pt idx="95">
                  <c:v>93.335465378689364</c:v>
                </c:pt>
                <c:pt idx="96">
                  <c:v>93.337102478006798</c:v>
                </c:pt>
                <c:pt idx="97">
                  <c:v>93.338533751302649</c:v>
                </c:pt>
                <c:pt idx="98">
                  <c:v>93.339765482343509</c:v>
                </c:pt>
                <c:pt idx="99">
                  <c:v>93.340803703514595</c:v>
                </c:pt>
                <c:pt idx="100">
                  <c:v>93.341654208265041</c:v>
                </c:pt>
                <c:pt idx="101">
                  <c:v>93.342322562821224</c:v>
                </c:pt>
                <c:pt idx="102">
                  <c:v>93.342814117217458</c:v>
                </c:pt>
                <c:pt idx="103">
                  <c:v>93.343134015690509</c:v>
                </c:pt>
                <c:pt idx="104">
                  <c:v>93.343287206480028</c:v>
                </c:pt>
                <c:pt idx="105">
                  <c:v>93.343278451074085</c:v>
                </c:pt>
                <c:pt idx="106">
                  <c:v>93.343112332936499</c:v>
                </c:pt>
                <c:pt idx="107">
                  <c:v>93.342793265748952</c:v>
                </c:pt>
                <c:pt idx="108">
                  <c:v>93.342325501199781</c:v>
                </c:pt>
                <c:pt idx="109">
                  <c:v>93.341713136347479</c:v>
                </c:pt>
                <c:pt idx="110">
                  <c:v>93.340960120586558</c:v>
                </c:pt>
                <c:pt idx="111">
                  <c:v>93.340070262239877</c:v>
                </c:pt>
                <c:pt idx="112">
                  <c:v>93.339047234801185</c:v>
                </c:pt>
                <c:pt idx="113">
                  <c:v>93.337894582848875</c:v>
                </c:pt>
                <c:pt idx="114">
                  <c:v>93.336615727651392</c:v>
                </c:pt>
                <c:pt idx="115">
                  <c:v>93.335213972482421</c:v>
                </c:pt>
                <c:pt idx="116">
                  <c:v>93.333692507663841</c:v>
                </c:pt>
                <c:pt idx="117">
                  <c:v>93.332054415351891</c:v>
                </c:pt>
                <c:pt idx="118">
                  <c:v>93.330302674082276</c:v>
                </c:pt>
                <c:pt idx="119">
                  <c:v>93.328440163087834</c:v>
                </c:pt>
                <c:pt idx="120">
                  <c:v>93.326469666402161</c:v>
                </c:pt>
                <c:pt idx="121">
                  <c:v>93.324393876761462</c:v>
                </c:pt>
                <c:pt idx="122">
                  <c:v>93.322215399315908</c:v>
                </c:pt>
                <c:pt idx="123">
                  <c:v>93.319936755161606</c:v>
                </c:pt>
                <c:pt idx="124">
                  <c:v>93.317560384702801</c:v>
                </c:pt>
                <c:pt idx="125">
                  <c:v>93.315088650854221</c:v>
                </c:pt>
                <c:pt idx="126">
                  <c:v>93.312523842091863</c:v>
                </c:pt>
                <c:pt idx="127">
                  <c:v>93.309868175360933</c:v>
                </c:pt>
                <c:pt idx="128">
                  <c:v>93.307123798848508</c:v>
                </c:pt>
                <c:pt idx="129">
                  <c:v>93.304292794628168</c:v>
                </c:pt>
                <c:pt idx="130">
                  <c:v>93.301377181183554</c:v>
                </c:pt>
                <c:pt idx="131">
                  <c:v>93.298378915817167</c:v>
                </c:pt>
                <c:pt idx="132">
                  <c:v>93.29529989695051</c:v>
                </c:pt>
                <c:pt idx="133">
                  <c:v>93.292141966321225</c:v>
                </c:pt>
                <c:pt idx="134">
                  <c:v>93.288906911082663</c:v>
                </c:pt>
                <c:pt idx="135">
                  <c:v>93.285596465810613</c:v>
                </c:pt>
                <c:pt idx="136">
                  <c:v>93.282212314422438</c:v>
                </c:pt>
                <c:pt idx="137">
                  <c:v>93.2787560920125</c:v>
                </c:pt>
                <c:pt idx="138">
                  <c:v>93.275229386608416</c:v>
                </c:pt>
                <c:pt idx="139">
                  <c:v>93.271633740852238</c:v>
                </c:pt>
                <c:pt idx="140">
                  <c:v>93.267970653609837</c:v>
                </c:pt>
                <c:pt idx="141">
                  <c:v>93.264241581512351</c:v>
                </c:pt>
                <c:pt idx="142">
                  <c:v>93.260447940433096</c:v>
                </c:pt>
                <c:pt idx="143">
                  <c:v>93.256591106902704</c:v>
                </c:pt>
                <c:pt idx="144">
                  <c:v>93.252672419465981</c:v>
                </c:pt>
                <c:pt idx="145">
                  <c:v>93.248693179982666</c:v>
                </c:pt>
                <c:pt idx="146">
                  <c:v>93.244654654875418</c:v>
                </c:pt>
                <c:pt idx="147">
                  <c:v>93.240558076327019</c:v>
                </c:pt>
                <c:pt idx="148">
                  <c:v>93.236404643429367</c:v>
                </c:pt>
                <c:pt idx="149">
                  <c:v>93.232195523286592</c:v>
                </c:pt>
                <c:pt idx="150">
                  <c:v>93.227931852074335</c:v>
                </c:pt>
              </c:numCache>
            </c:numRef>
          </c:yVal>
          <c:smooth val="0"/>
          <c:extLst>
            <c:ext xmlns:c16="http://schemas.microsoft.com/office/drawing/2014/chart" uri="{C3380CC4-5D6E-409C-BE32-E72D297353CC}">
              <c16:uniqueId val="{00000000-53D1-4006-8366-E2C9DA64EC11}"/>
            </c:ext>
          </c:extLst>
        </c:ser>
        <c:dLbls>
          <c:showLegendKey val="0"/>
          <c:showVal val="0"/>
          <c:showCatName val="0"/>
          <c:showSerName val="0"/>
          <c:showPercent val="0"/>
          <c:showBubbleSize val="0"/>
        </c:dLbls>
        <c:axId val="586473472"/>
        <c:axId val="586475008"/>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Eff_vs_IOUT!$AJ$7:$AJ$157</c:f>
              <c:numCache>
                <c:formatCode>General</c:formatCode>
                <c:ptCount val="151"/>
                <c:pt idx="0">
                  <c:v>0</c:v>
                </c:pt>
                <c:pt idx="1">
                  <c:v>5.3217457793648254E-3</c:v>
                </c:pt>
                <c:pt idx="2">
                  <c:v>7.5709478729362734E-3</c:v>
                </c:pt>
                <c:pt idx="3">
                  <c:v>9.3274250830784142E-3</c:v>
                </c:pt>
                <c:pt idx="4">
                  <c:v>1.0833828368319344E-2</c:v>
                </c:pt>
                <c:pt idx="5">
                  <c:v>1.2183522684874338E-2</c:v>
                </c:pt>
                <c:pt idx="6">
                  <c:v>1.3424085085890498E-2</c:v>
                </c:pt>
                <c:pt idx="7">
                  <c:v>1.4583599736422721E-2</c:v>
                </c:pt>
                <c:pt idx="8">
                  <c:v>1.5680249540953685E-2</c:v>
                </c:pt>
                <c:pt idx="9">
                  <c:v>1.6726584576453245E-2</c:v>
                </c:pt>
                <c:pt idx="10">
                  <c:v>1.7731684552490558E-2</c:v>
                </c:pt>
                <c:pt idx="11">
                  <c:v>1.8702360281814479E-2</c:v>
                </c:pt>
                <c:pt idx="12">
                  <c:v>1.9643869240436561E-2</c:v>
                </c:pt>
                <c:pt idx="13">
                  <c:v>2.0560365535651669E-2</c:v>
                </c:pt>
                <c:pt idx="14">
                  <c:v>2.145519551997534E-2</c:v>
                </c:pt>
                <c:pt idx="15">
                  <c:v>2.2331099128222221E-2</c:v>
                </c:pt>
                <c:pt idx="16">
                  <c:v>2.319035121335623E-2</c:v>
                </c:pt>
                <c:pt idx="17">
                  <c:v>2.4034863348689831E-2</c:v>
                </c:pt>
                <c:pt idx="18">
                  <c:v>2.4866258799133373E-2</c:v>
                </c:pt>
                <c:pt idx="19">
                  <c:v>2.5685928810177613E-2</c:v>
                </c:pt>
                <c:pt idx="20">
                  <c:v>2.6495075594063614E-2</c:v>
                </c:pt>
                <c:pt idx="21">
                  <c:v>2.7294745654854947E-2</c:v>
                </c:pt>
                <c:pt idx="22">
                  <c:v>2.8085855973115626E-2</c:v>
                </c:pt>
                <c:pt idx="23">
                  <c:v>2.886921482981665E-2</c:v>
                </c:pt>
                <c:pt idx="24">
                  <c:v>2.9645538548365161E-2</c:v>
                </c:pt>
                <c:pt idx="25">
                  <c:v>3.0415465088617977E-2</c:v>
                </c:pt>
                <c:pt idx="26">
                  <c:v>3.1179565184748102E-2</c:v>
                </c:pt>
                <c:pt idx="27">
                  <c:v>3.1938351546354181E-2</c:v>
                </c:pt>
                <c:pt idx="28">
                  <c:v>3.2692286517455912E-2</c:v>
                </c:pt>
                <c:pt idx="29">
                  <c:v>3.3441788496573858E-2</c:v>
                </c:pt>
                <c:pt idx="30">
                  <c:v>3.4187237353225874E-2</c:v>
                </c:pt>
                <c:pt idx="31">
                  <c:v>3.4928979025229831E-2</c:v>
                </c:pt>
                <c:pt idx="32">
                  <c:v>3.5667329442556475E-2</c:v>
                </c:pt>
                <c:pt idx="33">
                  <c:v>3.6402577893871496E-2</c:v>
                </c:pt>
                <c:pt idx="34">
                  <c:v>3.7134989929019369E-2</c:v>
                </c:pt>
                <c:pt idx="35">
                  <c:v>3.7864809872857771E-2</c:v>
                </c:pt>
                <c:pt idx="36">
                  <c:v>3.8592263011828193E-2</c:v>
                </c:pt>
                <c:pt idx="37">
                  <c:v>3.9317557503545195E-2</c:v>
                </c:pt>
                <c:pt idx="38">
                  <c:v>4.0040886050834286E-2</c:v>
                </c:pt>
                <c:pt idx="39">
                  <c:v>4.0762427374543192E-2</c:v>
                </c:pt>
                <c:pt idx="40">
                  <c:v>4.14823475137132E-2</c:v>
                </c:pt>
                <c:pt idx="41">
                  <c:v>4.220080097703624E-2</c:v>
                </c:pt>
                <c:pt idx="42">
                  <c:v>4.2917931765715581E-2</c:v>
                </c:pt>
                <c:pt idx="43">
                  <c:v>4.3633874284721791E-2</c:v>
                </c:pt>
                <c:pt idx="44">
                  <c:v>4.4348754156854603E-2</c:v>
                </c:pt>
                <c:pt idx="45">
                  <c:v>4.5062688951882757E-2</c:v>
                </c:pt>
                <c:pt idx="46">
                  <c:v>4.5775788841250747E-2</c:v>
                </c:pt>
                <c:pt idx="47">
                  <c:v>4.6488157187351442E-2</c:v>
                </c:pt>
                <c:pt idx="48">
                  <c:v>4.7199891075110995E-2</c:v>
                </c:pt>
                <c:pt idx="49">
                  <c:v>4.7911081792576575E-2</c:v>
                </c:pt>
                <c:pt idx="50">
                  <c:v>4.862181526630413E-2</c:v>
                </c:pt>
                <c:pt idx="51">
                  <c:v>4.9332172456583723E-2</c:v>
                </c:pt>
                <c:pt idx="52">
                  <c:v>5.0042229716893566E-2</c:v>
                </c:pt>
                <c:pt idx="53">
                  <c:v>5.1045028398696991E-2</c:v>
                </c:pt>
                <c:pt idx="54">
                  <c:v>5.2129514008259409E-2</c:v>
                </c:pt>
                <c:pt idx="55">
                  <c:v>5.3220585356215634E-2</c:v>
                </c:pt>
                <c:pt idx="56">
                  <c:v>5.4318242442565653E-2</c:v>
                </c:pt>
                <c:pt idx="57">
                  <c:v>5.5422485267309488E-2</c:v>
                </c:pt>
                <c:pt idx="58">
                  <c:v>5.6533313830447129E-2</c:v>
                </c:pt>
                <c:pt idx="59">
                  <c:v>5.7650728131978579E-2</c:v>
                </c:pt>
                <c:pt idx="60">
                  <c:v>5.8774728171903837E-2</c:v>
                </c:pt>
                <c:pt idx="61">
                  <c:v>5.9905313950222902E-2</c:v>
                </c:pt>
                <c:pt idx="62">
                  <c:v>6.1042485466935775E-2</c:v>
                </c:pt>
                <c:pt idx="63">
                  <c:v>6.218624272204247E-2</c:v>
                </c:pt>
                <c:pt idx="64">
                  <c:v>6.3336585715542959E-2</c:v>
                </c:pt>
                <c:pt idx="65">
                  <c:v>6.4493514447437256E-2</c:v>
                </c:pt>
                <c:pt idx="66">
                  <c:v>6.5657028917725346E-2</c:v>
                </c:pt>
                <c:pt idx="67">
                  <c:v>6.6827129126407273E-2</c:v>
                </c:pt>
                <c:pt idx="68">
                  <c:v>6.8003815073482993E-2</c:v>
                </c:pt>
                <c:pt idx="69">
                  <c:v>6.9187086758952521E-2</c:v>
                </c:pt>
                <c:pt idx="70">
                  <c:v>7.037694418281587E-2</c:v>
                </c:pt>
                <c:pt idx="71">
                  <c:v>7.1573387345072986E-2</c:v>
                </c:pt>
                <c:pt idx="72">
                  <c:v>7.2776416245723966E-2</c:v>
                </c:pt>
                <c:pt idx="73">
                  <c:v>7.3986030884768725E-2</c:v>
                </c:pt>
                <c:pt idx="74">
                  <c:v>7.5202231262207292E-2</c:v>
                </c:pt>
                <c:pt idx="75">
                  <c:v>7.6425017378039653E-2</c:v>
                </c:pt>
                <c:pt idx="76">
                  <c:v>7.765438923226585E-2</c:v>
                </c:pt>
                <c:pt idx="77">
                  <c:v>7.889034682488584E-2</c:v>
                </c:pt>
                <c:pt idx="78">
                  <c:v>8.0132890155899639E-2</c:v>
                </c:pt>
                <c:pt idx="79">
                  <c:v>8.1382019225307259E-2</c:v>
                </c:pt>
                <c:pt idx="80">
                  <c:v>8.2637734033108659E-2</c:v>
                </c:pt>
                <c:pt idx="81">
                  <c:v>8.3900034579303909E-2</c:v>
                </c:pt>
                <c:pt idx="82">
                  <c:v>8.5168920863892952E-2</c:v>
                </c:pt>
                <c:pt idx="83">
                  <c:v>8.6444392886875748E-2</c:v>
                </c:pt>
                <c:pt idx="84">
                  <c:v>8.7726450648252408E-2</c:v>
                </c:pt>
                <c:pt idx="85">
                  <c:v>8.9015094148022861E-2</c:v>
                </c:pt>
                <c:pt idx="86">
                  <c:v>9.0310323386187136E-2</c:v>
                </c:pt>
                <c:pt idx="87">
                  <c:v>9.1612138362745191E-2</c:v>
                </c:pt>
                <c:pt idx="88">
                  <c:v>9.2920539077697081E-2</c:v>
                </c:pt>
                <c:pt idx="89">
                  <c:v>9.423552553104278E-2</c:v>
                </c:pt>
                <c:pt idx="90">
                  <c:v>9.5557097722782286E-2</c:v>
                </c:pt>
                <c:pt idx="91">
                  <c:v>9.6885255652915572E-2</c:v>
                </c:pt>
                <c:pt idx="92">
                  <c:v>9.8219999321442694E-2</c:v>
                </c:pt>
                <c:pt idx="93">
                  <c:v>9.9561328728363596E-2</c:v>
                </c:pt>
                <c:pt idx="94">
                  <c:v>0.10090924387367833</c:v>
                </c:pt>
                <c:pt idx="95">
                  <c:v>0.10226374475738688</c:v>
                </c:pt>
                <c:pt idx="96">
                  <c:v>0.10362483137948919</c:v>
                </c:pt>
                <c:pt idx="97">
                  <c:v>0.10499250373998532</c:v>
                </c:pt>
                <c:pt idx="98">
                  <c:v>0.10636676183887531</c:v>
                </c:pt>
                <c:pt idx="99">
                  <c:v>0.10774760567615907</c:v>
                </c:pt>
                <c:pt idx="100">
                  <c:v>0.10913503525183663</c:v>
                </c:pt>
                <c:pt idx="101">
                  <c:v>0.11052905056590803</c:v>
                </c:pt>
                <c:pt idx="102">
                  <c:v>0.11192965161837323</c:v>
                </c:pt>
                <c:pt idx="103">
                  <c:v>0.11333683840923221</c:v>
                </c:pt>
                <c:pt idx="104">
                  <c:v>0.11475061093848501</c:v>
                </c:pt>
                <c:pt idx="105">
                  <c:v>0.11617096920613165</c:v>
                </c:pt>
                <c:pt idx="106">
                  <c:v>0.11759791321217208</c:v>
                </c:pt>
                <c:pt idx="107">
                  <c:v>0.11903144295660628</c:v>
                </c:pt>
                <c:pt idx="108">
                  <c:v>0.12047155843943436</c:v>
                </c:pt>
                <c:pt idx="109">
                  <c:v>0.12191825966065617</c:v>
                </c:pt>
                <c:pt idx="110">
                  <c:v>0.12337154662027185</c:v>
                </c:pt>
                <c:pt idx="111">
                  <c:v>0.12483141931828132</c:v>
                </c:pt>
                <c:pt idx="112">
                  <c:v>0.1262978777546846</c:v>
                </c:pt>
                <c:pt idx="113">
                  <c:v>0.12777092192948164</c:v>
                </c:pt>
                <c:pt idx="114">
                  <c:v>0.12925055184267253</c:v>
                </c:pt>
                <c:pt idx="115">
                  <c:v>0.13073676749425722</c:v>
                </c:pt>
                <c:pt idx="116">
                  <c:v>0.1322295688842357</c:v>
                </c:pt>
                <c:pt idx="117">
                  <c:v>0.13372895601260798</c:v>
                </c:pt>
                <c:pt idx="118">
                  <c:v>0.13523492887937411</c:v>
                </c:pt>
                <c:pt idx="119">
                  <c:v>0.13674748748453405</c:v>
                </c:pt>
                <c:pt idx="120">
                  <c:v>0.13826663182808779</c:v>
                </c:pt>
                <c:pt idx="121">
                  <c:v>0.13979236191003536</c:v>
                </c:pt>
                <c:pt idx="122">
                  <c:v>0.14132467773037669</c:v>
                </c:pt>
                <c:pt idx="123">
                  <c:v>0.14286357928911181</c:v>
                </c:pt>
                <c:pt idx="124">
                  <c:v>0.14440906658624078</c:v>
                </c:pt>
                <c:pt idx="125">
                  <c:v>0.14596113962176355</c:v>
                </c:pt>
                <c:pt idx="126">
                  <c:v>0.14751979839568016</c:v>
                </c:pt>
                <c:pt idx="127">
                  <c:v>0.14908504290799049</c:v>
                </c:pt>
                <c:pt idx="128">
                  <c:v>0.15065687315869472</c:v>
                </c:pt>
                <c:pt idx="129">
                  <c:v>0.15223528914779272</c:v>
                </c:pt>
                <c:pt idx="130">
                  <c:v>0.15382029087528451</c:v>
                </c:pt>
                <c:pt idx="131">
                  <c:v>0.15541187834117015</c:v>
                </c:pt>
                <c:pt idx="132">
                  <c:v>0.15701005154544956</c:v>
                </c:pt>
                <c:pt idx="133">
                  <c:v>0.15861481048812281</c:v>
                </c:pt>
                <c:pt idx="134">
                  <c:v>0.16022615516918987</c:v>
                </c:pt>
                <c:pt idx="135">
                  <c:v>0.16184408558865071</c:v>
                </c:pt>
                <c:pt idx="136">
                  <c:v>0.16346860174650535</c:v>
                </c:pt>
                <c:pt idx="137">
                  <c:v>0.16509970364275384</c:v>
                </c:pt>
                <c:pt idx="138">
                  <c:v>0.16673739127739612</c:v>
                </c:pt>
                <c:pt idx="139">
                  <c:v>0.16838166465043219</c:v>
                </c:pt>
                <c:pt idx="140">
                  <c:v>0.17003252376186209</c:v>
                </c:pt>
                <c:pt idx="141">
                  <c:v>0.17168996861168573</c:v>
                </c:pt>
                <c:pt idx="142">
                  <c:v>0.17335399919990319</c:v>
                </c:pt>
                <c:pt idx="143">
                  <c:v>0.17502461552651455</c:v>
                </c:pt>
                <c:pt idx="144">
                  <c:v>0.17670181759151971</c:v>
                </c:pt>
                <c:pt idx="145">
                  <c:v>0.17838560539491857</c:v>
                </c:pt>
                <c:pt idx="146">
                  <c:v>0.18007597893671137</c:v>
                </c:pt>
                <c:pt idx="147">
                  <c:v>0.18177293821689791</c:v>
                </c:pt>
                <c:pt idx="148">
                  <c:v>0.18347648323547824</c:v>
                </c:pt>
                <c:pt idx="149">
                  <c:v>0.1851866139924524</c:v>
                </c:pt>
                <c:pt idx="150">
                  <c:v>0.18690333048782037</c:v>
                </c:pt>
              </c:numCache>
            </c:numRef>
          </c:yVal>
          <c:smooth val="1"/>
          <c:extLst>
            <c:ext xmlns:c16="http://schemas.microsoft.com/office/drawing/2014/chart" uri="{C3380CC4-5D6E-409C-BE32-E72D297353CC}">
              <c16:uniqueId val="{00000001-53D1-4006-8366-E2C9DA64EC11}"/>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Eff_vs_IOUT!$BU$7:$BU$157</c:f>
              <c:numCache>
                <c:formatCode>General</c:formatCode>
                <c:ptCount val="151"/>
                <c:pt idx="0">
                  <c:v>0</c:v>
                </c:pt>
                <c:pt idx="1">
                  <c:v>7.2925980685706084E-6</c:v>
                </c:pt>
                <c:pt idx="2">
                  <c:v>2.0626582187016798E-5</c:v>
                </c:pt>
                <c:pt idx="3">
                  <c:v>3.7893451121828883E-5</c:v>
                </c:pt>
                <c:pt idx="4">
                  <c:v>5.8340784548564888E-5</c:v>
                </c:pt>
                <c:pt idx="5">
                  <c:v>8.1533725069537797E-5</c:v>
                </c:pt>
                <c:pt idx="6">
                  <c:v>1.0717886500322474E-4</c:v>
                </c:pt>
                <c:pt idx="7">
                  <c:v>1.3506080630691465E-4</c:v>
                </c:pt>
                <c:pt idx="8">
                  <c:v>1.6501265749613439E-4</c:v>
                </c:pt>
                <c:pt idx="9">
                  <c:v>1.9690014785140648E-4</c:v>
                </c:pt>
                <c:pt idx="10">
                  <c:v>2.3061219956827911E-4</c:v>
                </c:pt>
                <c:pt idx="11">
                  <c:v>2.6605492694351115E-4</c:v>
                </c:pt>
                <c:pt idx="12">
                  <c:v>3.0314760897463101E-4</c:v>
                </c:pt>
                <c:pt idx="13">
                  <c:v>3.4181987147855283E-4</c:v>
                </c:pt>
                <c:pt idx="14">
                  <c:v>3.8200964804856852E-4</c:v>
                </c:pt>
                <c:pt idx="15">
                  <c:v>4.2366166305237519E-4</c:v>
                </c:pt>
                <c:pt idx="16">
                  <c:v>4.6672627638851894E-4</c:v>
                </c:pt>
                <c:pt idx="17">
                  <c:v>5.1115858607216384E-4</c:v>
                </c:pt>
                <c:pt idx="18">
                  <c:v>5.5691771904945332E-4</c:v>
                </c:pt>
                <c:pt idx="19">
                  <c:v>6.039662623184243E-4</c:v>
                </c:pt>
                <c:pt idx="20">
                  <c:v>6.5226980055630248E-4</c:v>
                </c:pt>
                <c:pt idx="21">
                  <c:v>7.0179653590438519E-4</c:v>
                </c:pt>
                <c:pt idx="22">
                  <c:v>7.5251697203939272E-4</c:v>
                </c:pt>
                <c:pt idx="23">
                  <c:v>8.0440364919430907E-4</c:v>
                </c:pt>
                <c:pt idx="24">
                  <c:v>8.574309200257978E-4</c:v>
                </c:pt>
                <c:pt idx="25">
                  <c:v>9.1157475857132583E-4</c:v>
                </c:pt>
                <c:pt idx="26">
                  <c:v>9.6681259626719518E-4</c:v>
                </c:pt>
                <c:pt idx="27">
                  <c:v>1.0231231802893806E-3</c:v>
                </c:pt>
                <c:pt idx="28">
                  <c:v>1.0804864504553168E-3</c:v>
                </c:pt>
                <c:pt idx="29">
                  <c:v>1.1388834316718619E-3</c:v>
                </c:pt>
                <c:pt idx="30">
                  <c:v>1.1982961394924193E-3</c:v>
                </c:pt>
                <c:pt idx="31">
                  <c:v>1.2587074967975453E-3</c:v>
                </c:pt>
                <c:pt idx="32">
                  <c:v>1.3201012599690751E-3</c:v>
                </c:pt>
                <c:pt idx="33">
                  <c:v>1.3824619532105612E-3</c:v>
                </c:pt>
                <c:pt idx="34">
                  <c:v>1.4457748098934179E-3</c:v>
                </c:pt>
                <c:pt idx="35">
                  <c:v>1.5100257199909663E-3</c:v>
                </c:pt>
                <c:pt idx="36">
                  <c:v>1.5752011828112514E-3</c:v>
                </c:pt>
                <c:pt idx="37">
                  <c:v>1.6412882643609794E-3</c:v>
                </c:pt>
                <c:pt idx="38">
                  <c:v>1.7082745587730052E-3</c:v>
                </c:pt>
                <c:pt idx="39">
                  <c:v>1.7761481533125516E-3</c:v>
                </c:pt>
                <c:pt idx="40">
                  <c:v>1.8448975965462326E-3</c:v>
                </c:pt>
                <c:pt idx="41">
                  <c:v>1.9145118693155395E-3</c:v>
                </c:pt>
                <c:pt idx="42">
                  <c:v>1.9849803582048763E-3</c:v>
                </c:pt>
                <c:pt idx="43">
                  <c:v>2.0562928312350972E-3</c:v>
                </c:pt>
                <c:pt idx="44">
                  <c:v>2.1284394155480892E-3</c:v>
                </c:pt>
                <c:pt idx="45">
                  <c:v>2.2014105768775206E-3</c:v>
                </c:pt>
                <c:pt idx="46">
                  <c:v>2.275197100626002E-3</c:v>
                </c:pt>
                <c:pt idx="47">
                  <c:v>2.3497900743905784E-3</c:v>
                </c:pt>
                <c:pt idx="48">
                  <c:v>2.4251808717970485E-3</c:v>
                </c:pt>
                <c:pt idx="49">
                  <c:v>2.5013611375197201E-3</c:v>
                </c:pt>
                <c:pt idx="50">
                  <c:v>2.578322773377099E-3</c:v>
                </c:pt>
                <c:pt idx="51">
                  <c:v>2.6560579254061687E-3</c:v>
                </c:pt>
                <c:pt idx="52">
                  <c:v>2.7345589718284226E-3</c:v>
                </c:pt>
                <c:pt idx="53">
                  <c:v>2.8140580017313498E-3</c:v>
                </c:pt>
                <c:pt idx="54">
                  <c:v>2.8950550141609421E-3</c:v>
                </c:pt>
                <c:pt idx="55">
                  <c:v>2.9775659894396862E-3</c:v>
                </c:pt>
                <c:pt idx="56">
                  <c:v>3.0615909275675773E-3</c:v>
                </c:pt>
                <c:pt idx="57">
                  <c:v>3.1471298285446233E-3</c:v>
                </c:pt>
                <c:pt idx="58">
                  <c:v>3.2341826923708186E-3</c:v>
                </c:pt>
                <c:pt idx="59">
                  <c:v>3.3227495190461648E-3</c:v>
                </c:pt>
                <c:pt idx="60">
                  <c:v>3.4128303085706651E-3</c:v>
                </c:pt>
                <c:pt idx="61">
                  <c:v>3.5044250609443128E-3</c:v>
                </c:pt>
                <c:pt idx="62">
                  <c:v>3.5975337761671145E-3</c:v>
                </c:pt>
                <c:pt idx="63">
                  <c:v>3.6921564542390681E-3</c:v>
                </c:pt>
                <c:pt idx="64">
                  <c:v>3.78829309516017E-3</c:v>
                </c:pt>
                <c:pt idx="65">
                  <c:v>3.885943698930425E-3</c:v>
                </c:pt>
                <c:pt idx="66">
                  <c:v>3.9851082655498306E-3</c:v>
                </c:pt>
                <c:pt idx="67">
                  <c:v>4.085786795018388E-3</c:v>
                </c:pt>
                <c:pt idx="68">
                  <c:v>4.1879792873360982E-3</c:v>
                </c:pt>
                <c:pt idx="69">
                  <c:v>4.291685742502954E-3</c:v>
                </c:pt>
                <c:pt idx="70">
                  <c:v>4.3969061605189678E-3</c:v>
                </c:pt>
                <c:pt idx="71">
                  <c:v>4.5036405413841265E-3</c:v>
                </c:pt>
                <c:pt idx="72">
                  <c:v>4.6118888850984422E-3</c:v>
                </c:pt>
                <c:pt idx="73">
                  <c:v>4.7216511916619054E-3</c:v>
                </c:pt>
                <c:pt idx="74">
                  <c:v>4.8329274610745213E-3</c:v>
                </c:pt>
                <c:pt idx="75">
                  <c:v>4.9457176933362882E-3</c:v>
                </c:pt>
                <c:pt idx="76">
                  <c:v>5.0600218884472069E-3</c:v>
                </c:pt>
                <c:pt idx="77">
                  <c:v>5.1758400464072766E-3</c:v>
                </c:pt>
                <c:pt idx="78">
                  <c:v>5.2931721672164972E-3</c:v>
                </c:pt>
                <c:pt idx="79">
                  <c:v>5.4120182508748697E-3</c:v>
                </c:pt>
                <c:pt idx="80">
                  <c:v>5.5323782973823897E-3</c:v>
                </c:pt>
                <c:pt idx="81">
                  <c:v>5.6542523067390684E-3</c:v>
                </c:pt>
                <c:pt idx="82">
                  <c:v>5.7776402789448955E-3</c:v>
                </c:pt>
                <c:pt idx="83">
                  <c:v>5.9025422139998684E-3</c:v>
                </c:pt>
                <c:pt idx="84">
                  <c:v>6.0289581119039939E-3</c:v>
                </c:pt>
                <c:pt idx="85">
                  <c:v>6.1568879726572765E-3</c:v>
                </c:pt>
                <c:pt idx="86">
                  <c:v>6.2863317962597075E-3</c:v>
                </c:pt>
                <c:pt idx="87">
                  <c:v>6.4172895827112868E-3</c:v>
                </c:pt>
                <c:pt idx="88">
                  <c:v>6.5497613320120206E-3</c:v>
                </c:pt>
                <c:pt idx="89">
                  <c:v>6.6837470441619027E-3</c:v>
                </c:pt>
                <c:pt idx="90">
                  <c:v>6.8192467191609428E-3</c:v>
                </c:pt>
                <c:pt idx="91">
                  <c:v>6.9562603570091286E-3</c:v>
                </c:pt>
                <c:pt idx="92">
                  <c:v>7.0947879577064671E-3</c:v>
                </c:pt>
                <c:pt idx="93">
                  <c:v>7.2348295212529548E-3</c:v>
                </c:pt>
                <c:pt idx="94">
                  <c:v>7.3763850476485961E-3</c:v>
                </c:pt>
                <c:pt idx="95">
                  <c:v>7.5194545368933901E-3</c:v>
                </c:pt>
                <c:pt idx="96">
                  <c:v>7.6640379889873298E-3</c:v>
                </c:pt>
                <c:pt idx="97">
                  <c:v>7.8101354039304188E-3</c:v>
                </c:pt>
                <c:pt idx="98">
                  <c:v>7.9577467817226709E-3</c:v>
                </c:pt>
                <c:pt idx="99">
                  <c:v>8.1068721223640644E-3</c:v>
                </c:pt>
                <c:pt idx="100">
                  <c:v>8.2575114258546106E-3</c:v>
                </c:pt>
                <c:pt idx="101">
                  <c:v>8.409664692194313E-3</c:v>
                </c:pt>
                <c:pt idx="102">
                  <c:v>8.5633319213831629E-3</c:v>
                </c:pt>
                <c:pt idx="103">
                  <c:v>8.7185131134211637E-3</c:v>
                </c:pt>
                <c:pt idx="104">
                  <c:v>8.8752082683083156E-3</c:v>
                </c:pt>
                <c:pt idx="105">
                  <c:v>9.0334173860446253E-3</c:v>
                </c:pt>
                <c:pt idx="106">
                  <c:v>9.1931404666300807E-3</c:v>
                </c:pt>
                <c:pt idx="107">
                  <c:v>9.3543775100646837E-3</c:v>
                </c:pt>
                <c:pt idx="108">
                  <c:v>9.5171285163484463E-3</c:v>
                </c:pt>
                <c:pt idx="109">
                  <c:v>9.6813934854813512E-3</c:v>
                </c:pt>
                <c:pt idx="110">
                  <c:v>9.8471724174634141E-3</c:v>
                </c:pt>
                <c:pt idx="111">
                  <c:v>1.0014465312294628E-2</c:v>
                </c:pt>
                <c:pt idx="112">
                  <c:v>1.0183272169974991E-2</c:v>
                </c:pt>
                <c:pt idx="113">
                  <c:v>1.03535929905045E-2</c:v>
                </c:pt>
                <c:pt idx="114">
                  <c:v>1.0525427773883165E-2</c:v>
                </c:pt>
                <c:pt idx="115">
                  <c:v>1.0698776520110982E-2</c:v>
                </c:pt>
                <c:pt idx="116">
                  <c:v>1.0873639229187944E-2</c:v>
                </c:pt>
                <c:pt idx="117">
                  <c:v>1.1050015901114062E-2</c:v>
                </c:pt>
                <c:pt idx="118">
                  <c:v>1.1227906535889334E-2</c:v>
                </c:pt>
                <c:pt idx="119">
                  <c:v>1.1407311133513759E-2</c:v>
                </c:pt>
                <c:pt idx="120">
                  <c:v>1.1588229693987335E-2</c:v>
                </c:pt>
                <c:pt idx="121">
                  <c:v>1.1770662217310057E-2</c:v>
                </c:pt>
                <c:pt idx="122">
                  <c:v>1.1954608703481929E-2</c:v>
                </c:pt>
                <c:pt idx="123">
                  <c:v>1.2140069152502955E-2</c:v>
                </c:pt>
                <c:pt idx="124">
                  <c:v>1.2327043564373133E-2</c:v>
                </c:pt>
                <c:pt idx="125">
                  <c:v>1.2515531939092462E-2</c:v>
                </c:pt>
                <c:pt idx="126">
                  <c:v>1.2705534276660947E-2</c:v>
                </c:pt>
                <c:pt idx="127">
                  <c:v>1.2897050577078569E-2</c:v>
                </c:pt>
                <c:pt idx="128">
                  <c:v>1.3090080840345355E-2</c:v>
                </c:pt>
                <c:pt idx="129">
                  <c:v>1.3284625066461284E-2</c:v>
                </c:pt>
                <c:pt idx="130">
                  <c:v>1.3480683255426371E-2</c:v>
                </c:pt>
                <c:pt idx="131">
                  <c:v>1.3678255407240613E-2</c:v>
                </c:pt>
                <c:pt idx="132">
                  <c:v>1.3877341521903997E-2</c:v>
                </c:pt>
                <c:pt idx="133">
                  <c:v>1.4077941599416536E-2</c:v>
                </c:pt>
                <c:pt idx="134">
                  <c:v>1.4280055639778225E-2</c:v>
                </c:pt>
                <c:pt idx="135">
                  <c:v>1.4483683642989069E-2</c:v>
                </c:pt>
                <c:pt idx="136">
                  <c:v>1.4688825609049062E-2</c:v>
                </c:pt>
                <c:pt idx="137">
                  <c:v>1.4895481537958201E-2</c:v>
                </c:pt>
                <c:pt idx="138">
                  <c:v>1.5103651429716498E-2</c:v>
                </c:pt>
                <c:pt idx="139">
                  <c:v>1.5313335284323947E-2</c:v>
                </c:pt>
                <c:pt idx="140">
                  <c:v>1.5524533101780546E-2</c:v>
                </c:pt>
                <c:pt idx="141">
                  <c:v>1.5737244882086283E-2</c:v>
                </c:pt>
                <c:pt idx="142">
                  <c:v>1.5951470625241177E-2</c:v>
                </c:pt>
                <c:pt idx="143">
                  <c:v>1.6167210331245237E-2</c:v>
                </c:pt>
                <c:pt idx="144">
                  <c:v>1.6384464000098443E-2</c:v>
                </c:pt>
                <c:pt idx="145">
                  <c:v>1.6603231631800785E-2</c:v>
                </c:pt>
                <c:pt idx="146">
                  <c:v>1.68235132263523E-2</c:v>
                </c:pt>
                <c:pt idx="147">
                  <c:v>1.7045308783752957E-2</c:v>
                </c:pt>
                <c:pt idx="148">
                  <c:v>1.726861830400276E-2</c:v>
                </c:pt>
                <c:pt idx="149">
                  <c:v>1.7493441787101716E-2</c:v>
                </c:pt>
                <c:pt idx="150">
                  <c:v>1.7719779233049831E-2</c:v>
                </c:pt>
              </c:numCache>
            </c:numRef>
          </c:yVal>
          <c:smooth val="1"/>
          <c:extLst>
            <c:ext xmlns:c16="http://schemas.microsoft.com/office/drawing/2014/chart" uri="{C3380CC4-5D6E-409C-BE32-E72D297353CC}">
              <c16:uniqueId val="{00000002-53D1-4006-8366-E2C9DA64EC11}"/>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Eff_vs_IOUT!$AY$8:$AY$157</c:f>
              <c:numCache>
                <c:formatCode>General</c:formatCode>
                <c:ptCount val="150"/>
                <c:pt idx="0">
                  <c:v>0.110428</c:v>
                </c:pt>
                <c:pt idx="1">
                  <c:v>0.111428</c:v>
                </c:pt>
                <c:pt idx="2">
                  <c:v>0.112428</c:v>
                </c:pt>
                <c:pt idx="3">
                  <c:v>0.113428</c:v>
                </c:pt>
                <c:pt idx="4">
                  <c:v>0.114428</c:v>
                </c:pt>
                <c:pt idx="5">
                  <c:v>0.115428</c:v>
                </c:pt>
                <c:pt idx="6">
                  <c:v>0.116428</c:v>
                </c:pt>
                <c:pt idx="7">
                  <c:v>0.117428</c:v>
                </c:pt>
                <c:pt idx="8">
                  <c:v>0.11842799999999999</c:v>
                </c:pt>
                <c:pt idx="9">
                  <c:v>0.11942799999999999</c:v>
                </c:pt>
                <c:pt idx="10">
                  <c:v>0.12042799999999999</c:v>
                </c:pt>
                <c:pt idx="11">
                  <c:v>0.12142799999999999</c:v>
                </c:pt>
                <c:pt idx="12">
                  <c:v>0.122428</c:v>
                </c:pt>
                <c:pt idx="13">
                  <c:v>0.123428</c:v>
                </c:pt>
                <c:pt idx="14">
                  <c:v>0.124428</c:v>
                </c:pt>
                <c:pt idx="15">
                  <c:v>0.12542799999999998</c:v>
                </c:pt>
                <c:pt idx="16">
                  <c:v>0.12642799999999998</c:v>
                </c:pt>
                <c:pt idx="17">
                  <c:v>0.12742799999999999</c:v>
                </c:pt>
                <c:pt idx="18">
                  <c:v>0.12842799999999999</c:v>
                </c:pt>
                <c:pt idx="19">
                  <c:v>0.12942799999999999</c:v>
                </c:pt>
                <c:pt idx="20">
                  <c:v>0.13042799999999999</c:v>
                </c:pt>
                <c:pt idx="21">
                  <c:v>0.13142799999999999</c:v>
                </c:pt>
                <c:pt idx="22">
                  <c:v>0.13242799999999999</c:v>
                </c:pt>
                <c:pt idx="23">
                  <c:v>0.13342799999999999</c:v>
                </c:pt>
                <c:pt idx="24">
                  <c:v>0.13442799999999999</c:v>
                </c:pt>
                <c:pt idx="25">
                  <c:v>0.13542799999999999</c:v>
                </c:pt>
                <c:pt idx="26">
                  <c:v>0.13642799999999999</c:v>
                </c:pt>
                <c:pt idx="27">
                  <c:v>0.13742799999999999</c:v>
                </c:pt>
                <c:pt idx="28">
                  <c:v>0.138428</c:v>
                </c:pt>
                <c:pt idx="29">
                  <c:v>0.139428</c:v>
                </c:pt>
                <c:pt idx="30">
                  <c:v>0.140428</c:v>
                </c:pt>
                <c:pt idx="31">
                  <c:v>0.141428</c:v>
                </c:pt>
                <c:pt idx="32">
                  <c:v>0.142428</c:v>
                </c:pt>
                <c:pt idx="33">
                  <c:v>0.143428</c:v>
                </c:pt>
                <c:pt idx="34">
                  <c:v>0.144428</c:v>
                </c:pt>
                <c:pt idx="35">
                  <c:v>0.145428</c:v>
                </c:pt>
                <c:pt idx="36">
                  <c:v>0.146428</c:v>
                </c:pt>
                <c:pt idx="37">
                  <c:v>0.147428</c:v>
                </c:pt>
                <c:pt idx="38">
                  <c:v>0.148428</c:v>
                </c:pt>
                <c:pt idx="39">
                  <c:v>0.14942800000000001</c:v>
                </c:pt>
                <c:pt idx="40">
                  <c:v>0.15042800000000001</c:v>
                </c:pt>
                <c:pt idx="41">
                  <c:v>0.15142800000000001</c:v>
                </c:pt>
                <c:pt idx="42">
                  <c:v>0.15242800000000001</c:v>
                </c:pt>
                <c:pt idx="43">
                  <c:v>0.15342800000000001</c:v>
                </c:pt>
                <c:pt idx="44">
                  <c:v>0.15442800000000001</c:v>
                </c:pt>
                <c:pt idx="45">
                  <c:v>0.15542800000000001</c:v>
                </c:pt>
                <c:pt idx="46">
                  <c:v>0.15642800000000001</c:v>
                </c:pt>
                <c:pt idx="47">
                  <c:v>0.15742800000000001</c:v>
                </c:pt>
                <c:pt idx="48">
                  <c:v>0.15842799999999999</c:v>
                </c:pt>
                <c:pt idx="49">
                  <c:v>0.15942799999999999</c:v>
                </c:pt>
                <c:pt idx="50">
                  <c:v>0.16042800000000002</c:v>
                </c:pt>
                <c:pt idx="51">
                  <c:v>0.16142799999999999</c:v>
                </c:pt>
                <c:pt idx="52">
                  <c:v>0.16242799999999999</c:v>
                </c:pt>
                <c:pt idx="53">
                  <c:v>0.16342800000000002</c:v>
                </c:pt>
                <c:pt idx="54">
                  <c:v>0.16442799999999999</c:v>
                </c:pt>
                <c:pt idx="55">
                  <c:v>0.16542799999999999</c:v>
                </c:pt>
                <c:pt idx="56">
                  <c:v>0.16642800000000002</c:v>
                </c:pt>
                <c:pt idx="57">
                  <c:v>0.16742799999999999</c:v>
                </c:pt>
                <c:pt idx="58">
                  <c:v>0.16842799999999999</c:v>
                </c:pt>
                <c:pt idx="59">
                  <c:v>0.169428</c:v>
                </c:pt>
                <c:pt idx="60">
                  <c:v>0.170428</c:v>
                </c:pt>
                <c:pt idx="61">
                  <c:v>0.171428</c:v>
                </c:pt>
                <c:pt idx="62">
                  <c:v>0.172428</c:v>
                </c:pt>
                <c:pt idx="63">
                  <c:v>0.173428</c:v>
                </c:pt>
                <c:pt idx="64">
                  <c:v>0.174428</c:v>
                </c:pt>
                <c:pt idx="65">
                  <c:v>0.175428</c:v>
                </c:pt>
                <c:pt idx="66">
                  <c:v>0.176428</c:v>
                </c:pt>
                <c:pt idx="67">
                  <c:v>0.177428</c:v>
                </c:pt>
                <c:pt idx="68">
                  <c:v>0.178428</c:v>
                </c:pt>
                <c:pt idx="69">
                  <c:v>0.179428</c:v>
                </c:pt>
                <c:pt idx="70">
                  <c:v>0.18042799999999998</c:v>
                </c:pt>
                <c:pt idx="71">
                  <c:v>0.18142799999999998</c:v>
                </c:pt>
                <c:pt idx="72">
                  <c:v>0.18242799999999998</c:v>
                </c:pt>
                <c:pt idx="73">
                  <c:v>0.18342799999999998</c:v>
                </c:pt>
                <c:pt idx="74">
                  <c:v>0.18442799999999998</c:v>
                </c:pt>
                <c:pt idx="75">
                  <c:v>0.18542799999999998</c:v>
                </c:pt>
                <c:pt idx="76">
                  <c:v>0.18642799999999998</c:v>
                </c:pt>
                <c:pt idx="77">
                  <c:v>0.18742799999999998</c:v>
                </c:pt>
                <c:pt idx="78">
                  <c:v>0.18842799999999998</c:v>
                </c:pt>
                <c:pt idx="79">
                  <c:v>0.18942799999999999</c:v>
                </c:pt>
                <c:pt idx="80">
                  <c:v>0.19042799999999999</c:v>
                </c:pt>
                <c:pt idx="81">
                  <c:v>0.19142799999999999</c:v>
                </c:pt>
                <c:pt idx="82">
                  <c:v>0.19242799999999999</c:v>
                </c:pt>
                <c:pt idx="83">
                  <c:v>0.19342799999999999</c:v>
                </c:pt>
                <c:pt idx="84">
                  <c:v>0.19442799999999999</c:v>
                </c:pt>
                <c:pt idx="85">
                  <c:v>0.19542799999999999</c:v>
                </c:pt>
                <c:pt idx="86">
                  <c:v>0.19642799999999999</c:v>
                </c:pt>
                <c:pt idx="87">
                  <c:v>0.19742799999999999</c:v>
                </c:pt>
                <c:pt idx="88">
                  <c:v>0.19842799999999999</c:v>
                </c:pt>
                <c:pt idx="89">
                  <c:v>0.19942799999999999</c:v>
                </c:pt>
                <c:pt idx="90">
                  <c:v>0.200428</c:v>
                </c:pt>
                <c:pt idx="91">
                  <c:v>0.201428</c:v>
                </c:pt>
                <c:pt idx="92">
                  <c:v>0.202428</c:v>
                </c:pt>
                <c:pt idx="93">
                  <c:v>0.203428</c:v>
                </c:pt>
                <c:pt idx="94">
                  <c:v>0.204428</c:v>
                </c:pt>
                <c:pt idx="95">
                  <c:v>0.205428</c:v>
                </c:pt>
                <c:pt idx="96">
                  <c:v>0.206428</c:v>
                </c:pt>
                <c:pt idx="97">
                  <c:v>0.207428</c:v>
                </c:pt>
                <c:pt idx="98">
                  <c:v>0.208428</c:v>
                </c:pt>
                <c:pt idx="99">
                  <c:v>0.209428</c:v>
                </c:pt>
                <c:pt idx="100">
                  <c:v>0.210428</c:v>
                </c:pt>
                <c:pt idx="101">
                  <c:v>0.211428</c:v>
                </c:pt>
                <c:pt idx="102">
                  <c:v>0.21242800000000001</c:v>
                </c:pt>
                <c:pt idx="103">
                  <c:v>0.21342800000000001</c:v>
                </c:pt>
                <c:pt idx="104">
                  <c:v>0.21442800000000001</c:v>
                </c:pt>
                <c:pt idx="105">
                  <c:v>0.21542800000000001</c:v>
                </c:pt>
                <c:pt idx="106">
                  <c:v>0.21642800000000001</c:v>
                </c:pt>
                <c:pt idx="107">
                  <c:v>0.21742800000000001</c:v>
                </c:pt>
                <c:pt idx="108">
                  <c:v>0.21842800000000001</c:v>
                </c:pt>
                <c:pt idx="109">
                  <c:v>0.21942800000000001</c:v>
                </c:pt>
                <c:pt idx="110">
                  <c:v>0.22042800000000001</c:v>
                </c:pt>
                <c:pt idx="111">
                  <c:v>0.22142800000000001</c:v>
                </c:pt>
                <c:pt idx="112">
                  <c:v>0.22242800000000001</c:v>
                </c:pt>
                <c:pt idx="113">
                  <c:v>0.22342800000000002</c:v>
                </c:pt>
                <c:pt idx="114">
                  <c:v>0.22442800000000002</c:v>
                </c:pt>
                <c:pt idx="115">
                  <c:v>0.22542799999999999</c:v>
                </c:pt>
                <c:pt idx="116">
                  <c:v>0.22642799999999996</c:v>
                </c:pt>
                <c:pt idx="117">
                  <c:v>0.22742799999999999</c:v>
                </c:pt>
                <c:pt idx="118">
                  <c:v>0.22842799999999999</c:v>
                </c:pt>
                <c:pt idx="119">
                  <c:v>0.22942799999999997</c:v>
                </c:pt>
                <c:pt idx="120">
                  <c:v>0.23042799999999999</c:v>
                </c:pt>
                <c:pt idx="121">
                  <c:v>0.23142799999999999</c:v>
                </c:pt>
                <c:pt idx="122">
                  <c:v>0.23242799999999997</c:v>
                </c:pt>
                <c:pt idx="123">
                  <c:v>0.233428</c:v>
                </c:pt>
                <c:pt idx="124">
                  <c:v>0.234428</c:v>
                </c:pt>
                <c:pt idx="125">
                  <c:v>0.235428</c:v>
                </c:pt>
                <c:pt idx="126">
                  <c:v>0.236428</c:v>
                </c:pt>
                <c:pt idx="127">
                  <c:v>0.237428</c:v>
                </c:pt>
                <c:pt idx="128">
                  <c:v>0.238428</c:v>
                </c:pt>
                <c:pt idx="129">
                  <c:v>0.239428</c:v>
                </c:pt>
                <c:pt idx="130">
                  <c:v>0.240428</c:v>
                </c:pt>
                <c:pt idx="131">
                  <c:v>0.241428</c:v>
                </c:pt>
                <c:pt idx="132">
                  <c:v>0.242428</c:v>
                </c:pt>
                <c:pt idx="133">
                  <c:v>0.24342800000000001</c:v>
                </c:pt>
                <c:pt idx="134">
                  <c:v>0.24442800000000001</c:v>
                </c:pt>
                <c:pt idx="135">
                  <c:v>0.24542800000000001</c:v>
                </c:pt>
                <c:pt idx="136">
                  <c:v>0.24642800000000001</c:v>
                </c:pt>
                <c:pt idx="137">
                  <c:v>0.24742800000000001</c:v>
                </c:pt>
                <c:pt idx="138">
                  <c:v>0.24842800000000001</c:v>
                </c:pt>
                <c:pt idx="139">
                  <c:v>0.24942800000000001</c:v>
                </c:pt>
                <c:pt idx="140">
                  <c:v>0.25042799999999998</c:v>
                </c:pt>
                <c:pt idx="141">
                  <c:v>0.25142799999999998</c:v>
                </c:pt>
                <c:pt idx="142">
                  <c:v>0.25242799999999999</c:v>
                </c:pt>
                <c:pt idx="143">
                  <c:v>0.25342799999999999</c:v>
                </c:pt>
                <c:pt idx="144">
                  <c:v>0.25442799999999999</c:v>
                </c:pt>
                <c:pt idx="145">
                  <c:v>0.25542799999999999</c:v>
                </c:pt>
                <c:pt idx="146">
                  <c:v>0.25642799999999999</c:v>
                </c:pt>
                <c:pt idx="147">
                  <c:v>0.25742799999999999</c:v>
                </c:pt>
                <c:pt idx="148">
                  <c:v>0.25842799999999999</c:v>
                </c:pt>
                <c:pt idx="149">
                  <c:v>0.25942799999999999</c:v>
                </c:pt>
              </c:numCache>
            </c:numRef>
          </c:yVal>
          <c:smooth val="1"/>
          <c:extLst>
            <c:ext xmlns:c16="http://schemas.microsoft.com/office/drawing/2014/chart" uri="{C3380CC4-5D6E-409C-BE32-E72D297353CC}">
              <c16:uniqueId val="{00000003-53D1-4006-8366-E2C9DA64EC11}"/>
            </c:ext>
          </c:extLst>
        </c:ser>
        <c:ser>
          <c:idx val="4"/>
          <c:order val="4"/>
          <c:tx>
            <c:v>D2</c:v>
          </c:tx>
          <c:marker>
            <c:symbol val="none"/>
          </c:marker>
          <c:xVal>
            <c:numRef>
              <c:f>Eff_vs_IOUT!$R$8:$R$157</c:f>
              <c:numCache>
                <c:formatCode>General</c:formatCode>
                <c:ptCount val="150"/>
                <c:pt idx="0">
                  <c:v>0.16216666666666668</c:v>
                </c:pt>
                <c:pt idx="1">
                  <c:v>0.32433333333333336</c:v>
                </c:pt>
                <c:pt idx="2">
                  <c:v>0.48649999999999999</c:v>
                </c:pt>
                <c:pt idx="3">
                  <c:v>0.64866666666666672</c:v>
                </c:pt>
                <c:pt idx="4">
                  <c:v>0.81083333333333341</c:v>
                </c:pt>
                <c:pt idx="5">
                  <c:v>0.97299999999999998</c:v>
                </c:pt>
                <c:pt idx="6">
                  <c:v>1.1351666666666669</c:v>
                </c:pt>
                <c:pt idx="7">
                  <c:v>1.2973333333333334</c:v>
                </c:pt>
                <c:pt idx="8">
                  <c:v>1.4595</c:v>
                </c:pt>
                <c:pt idx="9">
                  <c:v>1.6216666666666668</c:v>
                </c:pt>
                <c:pt idx="10">
                  <c:v>1.7838333333333334</c:v>
                </c:pt>
                <c:pt idx="11">
                  <c:v>1.946</c:v>
                </c:pt>
                <c:pt idx="12">
                  <c:v>2.1081666666666665</c:v>
                </c:pt>
                <c:pt idx="13">
                  <c:v>2.2703333333333338</c:v>
                </c:pt>
                <c:pt idx="14">
                  <c:v>2.4325000000000001</c:v>
                </c:pt>
                <c:pt idx="15">
                  <c:v>2.5946666666666669</c:v>
                </c:pt>
                <c:pt idx="16">
                  <c:v>2.7568333333333337</c:v>
                </c:pt>
                <c:pt idx="17">
                  <c:v>2.919</c:v>
                </c:pt>
                <c:pt idx="18">
                  <c:v>3.0811666666666668</c:v>
                </c:pt>
                <c:pt idx="19">
                  <c:v>3.2433333333333336</c:v>
                </c:pt>
                <c:pt idx="20">
                  <c:v>3.4055</c:v>
                </c:pt>
                <c:pt idx="21">
                  <c:v>3.5676666666666668</c:v>
                </c:pt>
                <c:pt idx="22">
                  <c:v>3.7298333333333336</c:v>
                </c:pt>
                <c:pt idx="23">
                  <c:v>3.8919999999999999</c:v>
                </c:pt>
                <c:pt idx="24">
                  <c:v>4.0541666666666663</c:v>
                </c:pt>
                <c:pt idx="25">
                  <c:v>4.216333333333333</c:v>
                </c:pt>
                <c:pt idx="26">
                  <c:v>4.3785000000000007</c:v>
                </c:pt>
                <c:pt idx="27">
                  <c:v>4.5406666666666675</c:v>
                </c:pt>
                <c:pt idx="28">
                  <c:v>4.7028333333333334</c:v>
                </c:pt>
                <c:pt idx="29">
                  <c:v>4.8650000000000002</c:v>
                </c:pt>
                <c:pt idx="30">
                  <c:v>5.027166666666667</c:v>
                </c:pt>
                <c:pt idx="31">
                  <c:v>5.1893333333333338</c:v>
                </c:pt>
                <c:pt idx="32">
                  <c:v>5.3515000000000006</c:v>
                </c:pt>
                <c:pt idx="33">
                  <c:v>5.5136666666666674</c:v>
                </c:pt>
                <c:pt idx="34">
                  <c:v>5.6758333333333342</c:v>
                </c:pt>
                <c:pt idx="35">
                  <c:v>5.8380000000000001</c:v>
                </c:pt>
                <c:pt idx="36">
                  <c:v>6.0001666666666669</c:v>
                </c:pt>
                <c:pt idx="37">
                  <c:v>6.1623333333333337</c:v>
                </c:pt>
                <c:pt idx="38">
                  <c:v>6.3245000000000005</c:v>
                </c:pt>
                <c:pt idx="39">
                  <c:v>6.4866666666666672</c:v>
                </c:pt>
                <c:pt idx="40">
                  <c:v>6.648833333333334</c:v>
                </c:pt>
                <c:pt idx="41">
                  <c:v>6.8109999999999999</c:v>
                </c:pt>
                <c:pt idx="42">
                  <c:v>6.9731666666666667</c:v>
                </c:pt>
                <c:pt idx="43">
                  <c:v>7.1353333333333335</c:v>
                </c:pt>
                <c:pt idx="44">
                  <c:v>7.2975000000000003</c:v>
                </c:pt>
                <c:pt idx="45">
                  <c:v>7.4596666666666671</c:v>
                </c:pt>
                <c:pt idx="46">
                  <c:v>7.6218333333333339</c:v>
                </c:pt>
                <c:pt idx="47">
                  <c:v>7.7839999999999998</c:v>
                </c:pt>
                <c:pt idx="48">
                  <c:v>7.9461666666666666</c:v>
                </c:pt>
                <c:pt idx="49">
                  <c:v>8.1083333333333325</c:v>
                </c:pt>
                <c:pt idx="50">
                  <c:v>8.2705000000000002</c:v>
                </c:pt>
                <c:pt idx="51">
                  <c:v>8.4326666666666661</c:v>
                </c:pt>
                <c:pt idx="52">
                  <c:v>8.5948333333333338</c:v>
                </c:pt>
                <c:pt idx="53">
                  <c:v>8.7570000000000014</c:v>
                </c:pt>
                <c:pt idx="54">
                  <c:v>8.9191666666666674</c:v>
                </c:pt>
                <c:pt idx="55">
                  <c:v>9.081333333333335</c:v>
                </c:pt>
                <c:pt idx="56">
                  <c:v>9.2435000000000009</c:v>
                </c:pt>
                <c:pt idx="57">
                  <c:v>9.4056666666666668</c:v>
                </c:pt>
                <c:pt idx="58">
                  <c:v>9.5678333333333327</c:v>
                </c:pt>
                <c:pt idx="59">
                  <c:v>9.73</c:v>
                </c:pt>
                <c:pt idx="60">
                  <c:v>9.8921666666666663</c:v>
                </c:pt>
                <c:pt idx="61">
                  <c:v>10.054333333333334</c:v>
                </c:pt>
                <c:pt idx="62">
                  <c:v>10.2165</c:v>
                </c:pt>
                <c:pt idx="63">
                  <c:v>10.378666666666668</c:v>
                </c:pt>
                <c:pt idx="64">
                  <c:v>10.540833333333333</c:v>
                </c:pt>
                <c:pt idx="65">
                  <c:v>10.703000000000001</c:v>
                </c:pt>
                <c:pt idx="66">
                  <c:v>10.865166666666667</c:v>
                </c:pt>
                <c:pt idx="67">
                  <c:v>11.027333333333335</c:v>
                </c:pt>
                <c:pt idx="68">
                  <c:v>11.189500000000001</c:v>
                </c:pt>
                <c:pt idx="69">
                  <c:v>11.351666666666668</c:v>
                </c:pt>
                <c:pt idx="70">
                  <c:v>11.513833333333332</c:v>
                </c:pt>
                <c:pt idx="71">
                  <c:v>11.676</c:v>
                </c:pt>
                <c:pt idx="72">
                  <c:v>11.838166666666666</c:v>
                </c:pt>
                <c:pt idx="73">
                  <c:v>12.000333333333334</c:v>
                </c:pt>
                <c:pt idx="74">
                  <c:v>12.1625</c:v>
                </c:pt>
                <c:pt idx="75">
                  <c:v>12.324666666666667</c:v>
                </c:pt>
                <c:pt idx="76">
                  <c:v>12.486833333333333</c:v>
                </c:pt>
                <c:pt idx="77">
                  <c:v>12.649000000000001</c:v>
                </c:pt>
                <c:pt idx="78">
                  <c:v>12.811166666666667</c:v>
                </c:pt>
                <c:pt idx="79">
                  <c:v>12.973333333333334</c:v>
                </c:pt>
                <c:pt idx="80">
                  <c:v>13.1355</c:v>
                </c:pt>
                <c:pt idx="81">
                  <c:v>13.297666666666668</c:v>
                </c:pt>
                <c:pt idx="82">
                  <c:v>13.459833333333334</c:v>
                </c:pt>
                <c:pt idx="83">
                  <c:v>13.622</c:v>
                </c:pt>
                <c:pt idx="84">
                  <c:v>13.784166666666666</c:v>
                </c:pt>
                <c:pt idx="85">
                  <c:v>13.946333333333333</c:v>
                </c:pt>
                <c:pt idx="86">
                  <c:v>14.108499999999999</c:v>
                </c:pt>
                <c:pt idx="87">
                  <c:v>14.270666666666667</c:v>
                </c:pt>
                <c:pt idx="88">
                  <c:v>14.432833333333333</c:v>
                </c:pt>
                <c:pt idx="89">
                  <c:v>14.595000000000001</c:v>
                </c:pt>
                <c:pt idx="90">
                  <c:v>14.757166666666667</c:v>
                </c:pt>
                <c:pt idx="91">
                  <c:v>14.919333333333334</c:v>
                </c:pt>
                <c:pt idx="92">
                  <c:v>15.0815</c:v>
                </c:pt>
                <c:pt idx="93">
                  <c:v>15.243666666666668</c:v>
                </c:pt>
                <c:pt idx="94">
                  <c:v>15.405833333333334</c:v>
                </c:pt>
                <c:pt idx="95">
                  <c:v>15.568</c:v>
                </c:pt>
                <c:pt idx="96">
                  <c:v>15.730166666666666</c:v>
                </c:pt>
                <c:pt idx="97">
                  <c:v>15.892333333333333</c:v>
                </c:pt>
                <c:pt idx="98">
                  <c:v>16.054500000000001</c:v>
                </c:pt>
                <c:pt idx="99">
                  <c:v>16.216666666666665</c:v>
                </c:pt>
                <c:pt idx="100">
                  <c:v>16.378833333333333</c:v>
                </c:pt>
                <c:pt idx="101">
                  <c:v>16.541</c:v>
                </c:pt>
                <c:pt idx="102">
                  <c:v>16.703166666666668</c:v>
                </c:pt>
                <c:pt idx="103">
                  <c:v>16.865333333333332</c:v>
                </c:pt>
                <c:pt idx="104">
                  <c:v>17.0275</c:v>
                </c:pt>
                <c:pt idx="105">
                  <c:v>17.189666666666668</c:v>
                </c:pt>
                <c:pt idx="106">
                  <c:v>17.351833333333335</c:v>
                </c:pt>
                <c:pt idx="107">
                  <c:v>17.514000000000003</c:v>
                </c:pt>
                <c:pt idx="108">
                  <c:v>17.676166666666667</c:v>
                </c:pt>
                <c:pt idx="109">
                  <c:v>17.838333333333335</c:v>
                </c:pt>
                <c:pt idx="110">
                  <c:v>18.000500000000002</c:v>
                </c:pt>
                <c:pt idx="111">
                  <c:v>18.16266666666667</c:v>
                </c:pt>
                <c:pt idx="112">
                  <c:v>18.324833333333334</c:v>
                </c:pt>
                <c:pt idx="113">
                  <c:v>18.487000000000002</c:v>
                </c:pt>
                <c:pt idx="114">
                  <c:v>18.64916666666667</c:v>
                </c:pt>
                <c:pt idx="115">
                  <c:v>18.811333333333334</c:v>
                </c:pt>
                <c:pt idx="116">
                  <c:v>18.973499999999998</c:v>
                </c:pt>
                <c:pt idx="117">
                  <c:v>19.135666666666665</c:v>
                </c:pt>
                <c:pt idx="118">
                  <c:v>19.297833333333333</c:v>
                </c:pt>
                <c:pt idx="119">
                  <c:v>19.46</c:v>
                </c:pt>
                <c:pt idx="120">
                  <c:v>19.622166666666665</c:v>
                </c:pt>
                <c:pt idx="121">
                  <c:v>19.784333333333333</c:v>
                </c:pt>
                <c:pt idx="122">
                  <c:v>19.9465</c:v>
                </c:pt>
                <c:pt idx="123">
                  <c:v>20.108666666666668</c:v>
                </c:pt>
                <c:pt idx="124">
                  <c:v>20.270833333333332</c:v>
                </c:pt>
                <c:pt idx="125">
                  <c:v>20.433</c:v>
                </c:pt>
                <c:pt idx="126">
                  <c:v>20.595166666666668</c:v>
                </c:pt>
                <c:pt idx="127">
                  <c:v>20.757333333333335</c:v>
                </c:pt>
                <c:pt idx="128">
                  <c:v>20.919499999999999</c:v>
                </c:pt>
                <c:pt idx="129">
                  <c:v>21.081666666666667</c:v>
                </c:pt>
                <c:pt idx="130">
                  <c:v>21.243833333333335</c:v>
                </c:pt>
                <c:pt idx="131">
                  <c:v>21.406000000000002</c:v>
                </c:pt>
                <c:pt idx="132">
                  <c:v>21.568166666666666</c:v>
                </c:pt>
                <c:pt idx="133">
                  <c:v>21.730333333333334</c:v>
                </c:pt>
                <c:pt idx="134">
                  <c:v>21.892500000000002</c:v>
                </c:pt>
                <c:pt idx="135">
                  <c:v>22.05466666666667</c:v>
                </c:pt>
                <c:pt idx="136">
                  <c:v>22.216833333333334</c:v>
                </c:pt>
                <c:pt idx="137">
                  <c:v>22.379000000000001</c:v>
                </c:pt>
                <c:pt idx="138">
                  <c:v>22.541166666666669</c:v>
                </c:pt>
                <c:pt idx="139">
                  <c:v>22.703333333333337</c:v>
                </c:pt>
                <c:pt idx="140">
                  <c:v>22.865499999999997</c:v>
                </c:pt>
                <c:pt idx="141">
                  <c:v>23.027666666666665</c:v>
                </c:pt>
                <c:pt idx="142">
                  <c:v>23.189833333333333</c:v>
                </c:pt>
                <c:pt idx="143">
                  <c:v>23.352</c:v>
                </c:pt>
                <c:pt idx="144">
                  <c:v>23.514166666666664</c:v>
                </c:pt>
                <c:pt idx="145">
                  <c:v>23.676333333333332</c:v>
                </c:pt>
                <c:pt idx="146">
                  <c:v>23.8385</c:v>
                </c:pt>
                <c:pt idx="147">
                  <c:v>24.000666666666667</c:v>
                </c:pt>
                <c:pt idx="148">
                  <c:v>24.162833333333332</c:v>
                </c:pt>
                <c:pt idx="149">
                  <c:v>24.324999999999999</c:v>
                </c:pt>
              </c:numCache>
            </c:numRef>
          </c:xVal>
          <c:yVal>
            <c:numRef>
              <c:f>Eff_vs_IOUT!$BI$8:$BI$157</c:f>
              <c:numCache>
                <c:formatCode>General</c:formatCode>
                <c:ptCount val="150"/>
                <c:pt idx="0">
                  <c:v>1.4800399999999998E-2</c:v>
                </c:pt>
                <c:pt idx="1">
                  <c:v>1.4900399999999999E-2</c:v>
                </c:pt>
                <c:pt idx="2">
                  <c:v>1.5000399999999999E-2</c:v>
                </c:pt>
                <c:pt idx="3">
                  <c:v>1.5100399999999998E-2</c:v>
                </c:pt>
                <c:pt idx="4">
                  <c:v>1.5200399999999999E-2</c:v>
                </c:pt>
                <c:pt idx="5">
                  <c:v>1.5300399999999999E-2</c:v>
                </c:pt>
                <c:pt idx="6">
                  <c:v>1.5400399999999998E-2</c:v>
                </c:pt>
                <c:pt idx="7">
                  <c:v>1.5500399999999999E-2</c:v>
                </c:pt>
                <c:pt idx="8">
                  <c:v>1.5600399999999999E-2</c:v>
                </c:pt>
                <c:pt idx="9">
                  <c:v>1.57004E-2</c:v>
                </c:pt>
                <c:pt idx="10">
                  <c:v>1.5800399999999999E-2</c:v>
                </c:pt>
                <c:pt idx="11">
                  <c:v>1.5900399999999999E-2</c:v>
                </c:pt>
                <c:pt idx="12">
                  <c:v>1.6000399999999998E-2</c:v>
                </c:pt>
                <c:pt idx="13">
                  <c:v>1.6100399999999997E-2</c:v>
                </c:pt>
                <c:pt idx="14">
                  <c:v>1.62004E-2</c:v>
                </c:pt>
                <c:pt idx="15">
                  <c:v>1.63004E-2</c:v>
                </c:pt>
                <c:pt idx="16">
                  <c:v>1.6400399999999999E-2</c:v>
                </c:pt>
                <c:pt idx="17">
                  <c:v>1.6500399999999998E-2</c:v>
                </c:pt>
                <c:pt idx="18">
                  <c:v>1.6600399999999998E-2</c:v>
                </c:pt>
                <c:pt idx="19">
                  <c:v>1.6700399999999997E-2</c:v>
                </c:pt>
                <c:pt idx="20">
                  <c:v>1.68004E-2</c:v>
                </c:pt>
                <c:pt idx="21">
                  <c:v>1.6900399999999999E-2</c:v>
                </c:pt>
                <c:pt idx="22">
                  <c:v>1.7000399999999999E-2</c:v>
                </c:pt>
                <c:pt idx="23">
                  <c:v>1.7100399999999998E-2</c:v>
                </c:pt>
                <c:pt idx="24">
                  <c:v>1.7200399999999998E-2</c:v>
                </c:pt>
                <c:pt idx="25">
                  <c:v>1.73004E-2</c:v>
                </c:pt>
                <c:pt idx="26">
                  <c:v>1.74004E-2</c:v>
                </c:pt>
                <c:pt idx="27">
                  <c:v>1.7500399999999999E-2</c:v>
                </c:pt>
                <c:pt idx="28">
                  <c:v>1.7600399999999999E-2</c:v>
                </c:pt>
                <c:pt idx="29">
                  <c:v>1.7700399999999998E-2</c:v>
                </c:pt>
                <c:pt idx="30">
                  <c:v>1.7800399999999997E-2</c:v>
                </c:pt>
                <c:pt idx="31">
                  <c:v>1.7900399999999997E-2</c:v>
                </c:pt>
                <c:pt idx="32">
                  <c:v>1.80004E-2</c:v>
                </c:pt>
                <c:pt idx="33">
                  <c:v>1.8100399999999999E-2</c:v>
                </c:pt>
                <c:pt idx="34">
                  <c:v>1.8200399999999999E-2</c:v>
                </c:pt>
                <c:pt idx="35">
                  <c:v>1.8300399999999998E-2</c:v>
                </c:pt>
                <c:pt idx="36">
                  <c:v>1.8400399999999997E-2</c:v>
                </c:pt>
                <c:pt idx="37">
                  <c:v>1.85004E-2</c:v>
                </c:pt>
                <c:pt idx="38">
                  <c:v>1.86004E-2</c:v>
                </c:pt>
                <c:pt idx="39">
                  <c:v>1.8700399999999999E-2</c:v>
                </c:pt>
                <c:pt idx="40">
                  <c:v>1.8800399999999998E-2</c:v>
                </c:pt>
                <c:pt idx="41">
                  <c:v>1.8900399999999998E-2</c:v>
                </c:pt>
                <c:pt idx="42">
                  <c:v>1.9000400000000001E-2</c:v>
                </c:pt>
                <c:pt idx="43">
                  <c:v>1.9100399999999997E-2</c:v>
                </c:pt>
                <c:pt idx="44">
                  <c:v>1.9200399999999999E-2</c:v>
                </c:pt>
                <c:pt idx="45">
                  <c:v>1.9300399999999999E-2</c:v>
                </c:pt>
                <c:pt idx="46">
                  <c:v>1.9400399999999998E-2</c:v>
                </c:pt>
                <c:pt idx="47">
                  <c:v>1.9500399999999998E-2</c:v>
                </c:pt>
                <c:pt idx="48">
                  <c:v>1.9600399999999997E-2</c:v>
                </c:pt>
                <c:pt idx="49">
                  <c:v>1.97004E-2</c:v>
                </c:pt>
                <c:pt idx="50">
                  <c:v>1.9800399999999999E-2</c:v>
                </c:pt>
                <c:pt idx="51">
                  <c:v>1.9900399999999999E-2</c:v>
                </c:pt>
                <c:pt idx="52">
                  <c:v>2.0000399999999998E-2</c:v>
                </c:pt>
                <c:pt idx="53">
                  <c:v>2.0100399999999997E-2</c:v>
                </c:pt>
                <c:pt idx="54">
                  <c:v>2.02004E-2</c:v>
                </c:pt>
                <c:pt idx="55">
                  <c:v>2.0300399999999996E-2</c:v>
                </c:pt>
                <c:pt idx="56">
                  <c:v>2.0400399999999999E-2</c:v>
                </c:pt>
                <c:pt idx="57">
                  <c:v>2.0500399999999998E-2</c:v>
                </c:pt>
                <c:pt idx="58">
                  <c:v>2.0600399999999998E-2</c:v>
                </c:pt>
                <c:pt idx="59">
                  <c:v>2.0700400000000001E-2</c:v>
                </c:pt>
                <c:pt idx="60">
                  <c:v>2.0800399999999997E-2</c:v>
                </c:pt>
                <c:pt idx="61">
                  <c:v>2.09004E-2</c:v>
                </c:pt>
                <c:pt idx="62">
                  <c:v>2.1000399999999999E-2</c:v>
                </c:pt>
                <c:pt idx="63">
                  <c:v>2.1100399999999998E-2</c:v>
                </c:pt>
                <c:pt idx="64">
                  <c:v>2.1200399999999998E-2</c:v>
                </c:pt>
                <c:pt idx="65">
                  <c:v>2.1300399999999997E-2</c:v>
                </c:pt>
                <c:pt idx="66">
                  <c:v>2.14004E-2</c:v>
                </c:pt>
                <c:pt idx="67">
                  <c:v>2.1500399999999999E-2</c:v>
                </c:pt>
                <c:pt idx="68">
                  <c:v>2.1600399999999999E-2</c:v>
                </c:pt>
                <c:pt idx="69">
                  <c:v>2.1700399999999998E-2</c:v>
                </c:pt>
                <c:pt idx="70">
                  <c:v>2.1800399999999998E-2</c:v>
                </c:pt>
                <c:pt idx="71">
                  <c:v>2.19004E-2</c:v>
                </c:pt>
                <c:pt idx="72">
                  <c:v>2.2000399999999996E-2</c:v>
                </c:pt>
                <c:pt idx="73">
                  <c:v>2.2100399999999999E-2</c:v>
                </c:pt>
                <c:pt idx="74">
                  <c:v>2.2200399999999999E-2</c:v>
                </c:pt>
                <c:pt idx="75">
                  <c:v>2.2300399999999998E-2</c:v>
                </c:pt>
                <c:pt idx="76">
                  <c:v>2.2400400000000001E-2</c:v>
                </c:pt>
                <c:pt idx="77">
                  <c:v>2.2500399999999997E-2</c:v>
                </c:pt>
                <c:pt idx="78">
                  <c:v>2.26004E-2</c:v>
                </c:pt>
                <c:pt idx="79">
                  <c:v>2.2700399999999999E-2</c:v>
                </c:pt>
                <c:pt idx="80">
                  <c:v>2.2800399999999998E-2</c:v>
                </c:pt>
                <c:pt idx="81">
                  <c:v>2.2900400000000001E-2</c:v>
                </c:pt>
                <c:pt idx="82">
                  <c:v>2.3000399999999997E-2</c:v>
                </c:pt>
                <c:pt idx="83">
                  <c:v>2.31004E-2</c:v>
                </c:pt>
                <c:pt idx="84">
                  <c:v>2.3200399999999996E-2</c:v>
                </c:pt>
                <c:pt idx="85">
                  <c:v>2.3300399999999999E-2</c:v>
                </c:pt>
                <c:pt idx="86">
                  <c:v>2.3400399999999998E-2</c:v>
                </c:pt>
                <c:pt idx="87">
                  <c:v>2.3500399999999998E-2</c:v>
                </c:pt>
                <c:pt idx="88">
                  <c:v>2.3600400000000001E-2</c:v>
                </c:pt>
                <c:pt idx="89">
                  <c:v>2.3700399999999996E-2</c:v>
                </c:pt>
                <c:pt idx="90">
                  <c:v>2.3800399999999999E-2</c:v>
                </c:pt>
                <c:pt idx="91">
                  <c:v>2.3900399999999999E-2</c:v>
                </c:pt>
                <c:pt idx="92">
                  <c:v>2.4000399999999998E-2</c:v>
                </c:pt>
                <c:pt idx="93">
                  <c:v>2.4100399999999998E-2</c:v>
                </c:pt>
                <c:pt idx="94">
                  <c:v>2.4200399999999997E-2</c:v>
                </c:pt>
                <c:pt idx="95">
                  <c:v>2.43004E-2</c:v>
                </c:pt>
                <c:pt idx="96">
                  <c:v>2.4400399999999996E-2</c:v>
                </c:pt>
                <c:pt idx="97">
                  <c:v>2.4500399999999999E-2</c:v>
                </c:pt>
                <c:pt idx="98">
                  <c:v>2.4600400000000001E-2</c:v>
                </c:pt>
                <c:pt idx="99">
                  <c:v>2.4700399999999997E-2</c:v>
                </c:pt>
                <c:pt idx="100">
                  <c:v>2.48004E-2</c:v>
                </c:pt>
                <c:pt idx="101">
                  <c:v>2.49004E-2</c:v>
                </c:pt>
                <c:pt idx="102">
                  <c:v>2.5000399999999999E-2</c:v>
                </c:pt>
                <c:pt idx="103">
                  <c:v>2.5100399999999998E-2</c:v>
                </c:pt>
                <c:pt idx="104">
                  <c:v>2.5200399999999998E-2</c:v>
                </c:pt>
                <c:pt idx="105">
                  <c:v>2.5300400000000001E-2</c:v>
                </c:pt>
                <c:pt idx="106">
                  <c:v>2.5400399999999997E-2</c:v>
                </c:pt>
                <c:pt idx="107">
                  <c:v>2.5500399999999999E-2</c:v>
                </c:pt>
                <c:pt idx="108">
                  <c:v>2.5600399999999999E-2</c:v>
                </c:pt>
                <c:pt idx="109">
                  <c:v>2.5700399999999998E-2</c:v>
                </c:pt>
                <c:pt idx="110">
                  <c:v>2.5800399999999998E-2</c:v>
                </c:pt>
                <c:pt idx="111">
                  <c:v>2.5900399999999997E-2</c:v>
                </c:pt>
                <c:pt idx="112">
                  <c:v>2.60004E-2</c:v>
                </c:pt>
                <c:pt idx="113">
                  <c:v>2.6100399999999996E-2</c:v>
                </c:pt>
                <c:pt idx="114">
                  <c:v>2.6200399999999999E-2</c:v>
                </c:pt>
                <c:pt idx="115">
                  <c:v>2.6300399999999995E-2</c:v>
                </c:pt>
                <c:pt idx="116">
                  <c:v>2.6400399999999997E-2</c:v>
                </c:pt>
                <c:pt idx="117">
                  <c:v>2.65004E-2</c:v>
                </c:pt>
                <c:pt idx="118">
                  <c:v>2.6600399999999996E-2</c:v>
                </c:pt>
                <c:pt idx="119">
                  <c:v>2.6700399999999999E-2</c:v>
                </c:pt>
                <c:pt idx="120">
                  <c:v>2.6800399999999999E-2</c:v>
                </c:pt>
                <c:pt idx="121">
                  <c:v>2.6900399999999998E-2</c:v>
                </c:pt>
                <c:pt idx="122">
                  <c:v>2.7000400000000001E-2</c:v>
                </c:pt>
                <c:pt idx="123">
                  <c:v>2.7100399999999997E-2</c:v>
                </c:pt>
                <c:pt idx="124">
                  <c:v>2.72004E-2</c:v>
                </c:pt>
                <c:pt idx="125">
                  <c:v>2.7300399999999996E-2</c:v>
                </c:pt>
                <c:pt idx="126">
                  <c:v>2.7400399999999998E-2</c:v>
                </c:pt>
                <c:pt idx="127">
                  <c:v>2.7500399999999998E-2</c:v>
                </c:pt>
                <c:pt idx="128">
                  <c:v>2.7600399999999997E-2</c:v>
                </c:pt>
                <c:pt idx="129">
                  <c:v>2.77004E-2</c:v>
                </c:pt>
                <c:pt idx="130">
                  <c:v>2.7800399999999996E-2</c:v>
                </c:pt>
                <c:pt idx="131">
                  <c:v>2.7900399999999999E-2</c:v>
                </c:pt>
                <c:pt idx="132">
                  <c:v>2.8000399999999995E-2</c:v>
                </c:pt>
                <c:pt idx="133">
                  <c:v>2.8100399999999998E-2</c:v>
                </c:pt>
                <c:pt idx="134">
                  <c:v>2.82004E-2</c:v>
                </c:pt>
                <c:pt idx="135">
                  <c:v>2.8300399999999996E-2</c:v>
                </c:pt>
                <c:pt idx="136">
                  <c:v>2.8400399999999999E-2</c:v>
                </c:pt>
                <c:pt idx="137">
                  <c:v>2.8500399999999999E-2</c:v>
                </c:pt>
                <c:pt idx="138">
                  <c:v>2.8600399999999998E-2</c:v>
                </c:pt>
                <c:pt idx="139">
                  <c:v>2.8700400000000001E-2</c:v>
                </c:pt>
                <c:pt idx="140">
                  <c:v>2.8800399999999997E-2</c:v>
                </c:pt>
                <c:pt idx="141">
                  <c:v>2.89004E-2</c:v>
                </c:pt>
                <c:pt idx="142">
                  <c:v>2.9000399999999996E-2</c:v>
                </c:pt>
                <c:pt idx="143">
                  <c:v>2.9100399999999998E-2</c:v>
                </c:pt>
                <c:pt idx="144">
                  <c:v>2.9200399999999998E-2</c:v>
                </c:pt>
                <c:pt idx="145">
                  <c:v>2.9300399999999997E-2</c:v>
                </c:pt>
                <c:pt idx="146">
                  <c:v>2.94004E-2</c:v>
                </c:pt>
                <c:pt idx="147">
                  <c:v>2.9500399999999996E-2</c:v>
                </c:pt>
                <c:pt idx="148">
                  <c:v>2.9600399999999999E-2</c:v>
                </c:pt>
                <c:pt idx="149">
                  <c:v>2.9700399999999998E-2</c:v>
                </c:pt>
              </c:numCache>
            </c:numRef>
          </c:yVal>
          <c:smooth val="1"/>
          <c:extLst>
            <c:ext xmlns:c16="http://schemas.microsoft.com/office/drawing/2014/chart" uri="{C3380CC4-5D6E-409C-BE32-E72D297353CC}">
              <c16:uniqueId val="{00000004-53D1-4006-8366-E2C9DA64EC11}"/>
            </c:ext>
          </c:extLst>
        </c:ser>
        <c:ser>
          <c:idx val="5"/>
          <c:order val="5"/>
          <c:tx>
            <c:v>D3</c:v>
          </c:tx>
          <c:marker>
            <c:symbol val="none"/>
          </c:marker>
          <c:xVal>
            <c:numRef>
              <c:f>Eff_vs_IOUT!$R$8:$R$157</c:f>
              <c:numCache>
                <c:formatCode>General</c:formatCode>
                <c:ptCount val="150"/>
                <c:pt idx="0">
                  <c:v>0.16216666666666668</c:v>
                </c:pt>
                <c:pt idx="1">
                  <c:v>0.32433333333333336</c:v>
                </c:pt>
                <c:pt idx="2">
                  <c:v>0.48649999999999999</c:v>
                </c:pt>
                <c:pt idx="3">
                  <c:v>0.64866666666666672</c:v>
                </c:pt>
                <c:pt idx="4">
                  <c:v>0.81083333333333341</c:v>
                </c:pt>
                <c:pt idx="5">
                  <c:v>0.97299999999999998</c:v>
                </c:pt>
                <c:pt idx="6">
                  <c:v>1.1351666666666669</c:v>
                </c:pt>
                <c:pt idx="7">
                  <c:v>1.2973333333333334</c:v>
                </c:pt>
                <c:pt idx="8">
                  <c:v>1.4595</c:v>
                </c:pt>
                <c:pt idx="9">
                  <c:v>1.6216666666666668</c:v>
                </c:pt>
                <c:pt idx="10">
                  <c:v>1.7838333333333334</c:v>
                </c:pt>
                <c:pt idx="11">
                  <c:v>1.946</c:v>
                </c:pt>
                <c:pt idx="12">
                  <c:v>2.1081666666666665</c:v>
                </c:pt>
                <c:pt idx="13">
                  <c:v>2.2703333333333338</c:v>
                </c:pt>
                <c:pt idx="14">
                  <c:v>2.4325000000000001</c:v>
                </c:pt>
                <c:pt idx="15">
                  <c:v>2.5946666666666669</c:v>
                </c:pt>
                <c:pt idx="16">
                  <c:v>2.7568333333333337</c:v>
                </c:pt>
                <c:pt idx="17">
                  <c:v>2.919</c:v>
                </c:pt>
                <c:pt idx="18">
                  <c:v>3.0811666666666668</c:v>
                </c:pt>
                <c:pt idx="19">
                  <c:v>3.2433333333333336</c:v>
                </c:pt>
                <c:pt idx="20">
                  <c:v>3.4055</c:v>
                </c:pt>
                <c:pt idx="21">
                  <c:v>3.5676666666666668</c:v>
                </c:pt>
                <c:pt idx="22">
                  <c:v>3.7298333333333336</c:v>
                </c:pt>
                <c:pt idx="23">
                  <c:v>3.8919999999999999</c:v>
                </c:pt>
                <c:pt idx="24">
                  <c:v>4.0541666666666663</c:v>
                </c:pt>
                <c:pt idx="25">
                  <c:v>4.216333333333333</c:v>
                </c:pt>
                <c:pt idx="26">
                  <c:v>4.3785000000000007</c:v>
                </c:pt>
                <c:pt idx="27">
                  <c:v>4.5406666666666675</c:v>
                </c:pt>
                <c:pt idx="28">
                  <c:v>4.7028333333333334</c:v>
                </c:pt>
                <c:pt idx="29">
                  <c:v>4.8650000000000002</c:v>
                </c:pt>
                <c:pt idx="30">
                  <c:v>5.027166666666667</c:v>
                </c:pt>
                <c:pt idx="31">
                  <c:v>5.1893333333333338</c:v>
                </c:pt>
                <c:pt idx="32">
                  <c:v>5.3515000000000006</c:v>
                </c:pt>
                <c:pt idx="33">
                  <c:v>5.5136666666666674</c:v>
                </c:pt>
                <c:pt idx="34">
                  <c:v>5.6758333333333342</c:v>
                </c:pt>
                <c:pt idx="35">
                  <c:v>5.8380000000000001</c:v>
                </c:pt>
                <c:pt idx="36">
                  <c:v>6.0001666666666669</c:v>
                </c:pt>
                <c:pt idx="37">
                  <c:v>6.1623333333333337</c:v>
                </c:pt>
                <c:pt idx="38">
                  <c:v>6.3245000000000005</c:v>
                </c:pt>
                <c:pt idx="39">
                  <c:v>6.4866666666666672</c:v>
                </c:pt>
                <c:pt idx="40">
                  <c:v>6.648833333333334</c:v>
                </c:pt>
                <c:pt idx="41">
                  <c:v>6.8109999999999999</c:v>
                </c:pt>
                <c:pt idx="42">
                  <c:v>6.9731666666666667</c:v>
                </c:pt>
                <c:pt idx="43">
                  <c:v>7.1353333333333335</c:v>
                </c:pt>
                <c:pt idx="44">
                  <c:v>7.2975000000000003</c:v>
                </c:pt>
                <c:pt idx="45">
                  <c:v>7.4596666666666671</c:v>
                </c:pt>
                <c:pt idx="46">
                  <c:v>7.6218333333333339</c:v>
                </c:pt>
                <c:pt idx="47">
                  <c:v>7.7839999999999998</c:v>
                </c:pt>
                <c:pt idx="48">
                  <c:v>7.9461666666666666</c:v>
                </c:pt>
                <c:pt idx="49">
                  <c:v>8.1083333333333325</c:v>
                </c:pt>
                <c:pt idx="50">
                  <c:v>8.2705000000000002</c:v>
                </c:pt>
                <c:pt idx="51">
                  <c:v>8.4326666666666661</c:v>
                </c:pt>
                <c:pt idx="52">
                  <c:v>8.5948333333333338</c:v>
                </c:pt>
                <c:pt idx="53">
                  <c:v>8.7570000000000014</c:v>
                </c:pt>
                <c:pt idx="54">
                  <c:v>8.9191666666666674</c:v>
                </c:pt>
                <c:pt idx="55">
                  <c:v>9.081333333333335</c:v>
                </c:pt>
                <c:pt idx="56">
                  <c:v>9.2435000000000009</c:v>
                </c:pt>
                <c:pt idx="57">
                  <c:v>9.4056666666666668</c:v>
                </c:pt>
                <c:pt idx="58">
                  <c:v>9.5678333333333327</c:v>
                </c:pt>
                <c:pt idx="59">
                  <c:v>9.73</c:v>
                </c:pt>
                <c:pt idx="60">
                  <c:v>9.8921666666666663</c:v>
                </c:pt>
                <c:pt idx="61">
                  <c:v>10.054333333333334</c:v>
                </c:pt>
                <c:pt idx="62">
                  <c:v>10.2165</c:v>
                </c:pt>
                <c:pt idx="63">
                  <c:v>10.378666666666668</c:v>
                </c:pt>
                <c:pt idx="64">
                  <c:v>10.540833333333333</c:v>
                </c:pt>
                <c:pt idx="65">
                  <c:v>10.703000000000001</c:v>
                </c:pt>
                <c:pt idx="66">
                  <c:v>10.865166666666667</c:v>
                </c:pt>
                <c:pt idx="67">
                  <c:v>11.027333333333335</c:v>
                </c:pt>
                <c:pt idx="68">
                  <c:v>11.189500000000001</c:v>
                </c:pt>
                <c:pt idx="69">
                  <c:v>11.351666666666668</c:v>
                </c:pt>
                <c:pt idx="70">
                  <c:v>11.513833333333332</c:v>
                </c:pt>
                <c:pt idx="71">
                  <c:v>11.676</c:v>
                </c:pt>
                <c:pt idx="72">
                  <c:v>11.838166666666666</c:v>
                </c:pt>
                <c:pt idx="73">
                  <c:v>12.000333333333334</c:v>
                </c:pt>
                <c:pt idx="74">
                  <c:v>12.1625</c:v>
                </c:pt>
                <c:pt idx="75">
                  <c:v>12.324666666666667</c:v>
                </c:pt>
                <c:pt idx="76">
                  <c:v>12.486833333333333</c:v>
                </c:pt>
                <c:pt idx="77">
                  <c:v>12.649000000000001</c:v>
                </c:pt>
                <c:pt idx="78">
                  <c:v>12.811166666666667</c:v>
                </c:pt>
                <c:pt idx="79">
                  <c:v>12.973333333333334</c:v>
                </c:pt>
                <c:pt idx="80">
                  <c:v>13.1355</c:v>
                </c:pt>
                <c:pt idx="81">
                  <c:v>13.297666666666668</c:v>
                </c:pt>
                <c:pt idx="82">
                  <c:v>13.459833333333334</c:v>
                </c:pt>
                <c:pt idx="83">
                  <c:v>13.622</c:v>
                </c:pt>
                <c:pt idx="84">
                  <c:v>13.784166666666666</c:v>
                </c:pt>
                <c:pt idx="85">
                  <c:v>13.946333333333333</c:v>
                </c:pt>
                <c:pt idx="86">
                  <c:v>14.108499999999999</c:v>
                </c:pt>
                <c:pt idx="87">
                  <c:v>14.270666666666667</c:v>
                </c:pt>
                <c:pt idx="88">
                  <c:v>14.432833333333333</c:v>
                </c:pt>
                <c:pt idx="89">
                  <c:v>14.595000000000001</c:v>
                </c:pt>
                <c:pt idx="90">
                  <c:v>14.757166666666667</c:v>
                </c:pt>
                <c:pt idx="91">
                  <c:v>14.919333333333334</c:v>
                </c:pt>
                <c:pt idx="92">
                  <c:v>15.0815</c:v>
                </c:pt>
                <c:pt idx="93">
                  <c:v>15.243666666666668</c:v>
                </c:pt>
                <c:pt idx="94">
                  <c:v>15.405833333333334</c:v>
                </c:pt>
                <c:pt idx="95">
                  <c:v>15.568</c:v>
                </c:pt>
                <c:pt idx="96">
                  <c:v>15.730166666666666</c:v>
                </c:pt>
                <c:pt idx="97">
                  <c:v>15.892333333333333</c:v>
                </c:pt>
                <c:pt idx="98">
                  <c:v>16.054500000000001</c:v>
                </c:pt>
                <c:pt idx="99">
                  <c:v>16.216666666666665</c:v>
                </c:pt>
                <c:pt idx="100">
                  <c:v>16.378833333333333</c:v>
                </c:pt>
                <c:pt idx="101">
                  <c:v>16.541</c:v>
                </c:pt>
                <c:pt idx="102">
                  <c:v>16.703166666666668</c:v>
                </c:pt>
                <c:pt idx="103">
                  <c:v>16.865333333333332</c:v>
                </c:pt>
                <c:pt idx="104">
                  <c:v>17.0275</c:v>
                </c:pt>
                <c:pt idx="105">
                  <c:v>17.189666666666668</c:v>
                </c:pt>
                <c:pt idx="106">
                  <c:v>17.351833333333335</c:v>
                </c:pt>
                <c:pt idx="107">
                  <c:v>17.514000000000003</c:v>
                </c:pt>
                <c:pt idx="108">
                  <c:v>17.676166666666667</c:v>
                </c:pt>
                <c:pt idx="109">
                  <c:v>17.838333333333335</c:v>
                </c:pt>
                <c:pt idx="110">
                  <c:v>18.000500000000002</c:v>
                </c:pt>
                <c:pt idx="111">
                  <c:v>18.16266666666667</c:v>
                </c:pt>
                <c:pt idx="112">
                  <c:v>18.324833333333334</c:v>
                </c:pt>
                <c:pt idx="113">
                  <c:v>18.487000000000002</c:v>
                </c:pt>
                <c:pt idx="114">
                  <c:v>18.64916666666667</c:v>
                </c:pt>
                <c:pt idx="115">
                  <c:v>18.811333333333334</c:v>
                </c:pt>
                <c:pt idx="116">
                  <c:v>18.973499999999998</c:v>
                </c:pt>
                <c:pt idx="117">
                  <c:v>19.135666666666665</c:v>
                </c:pt>
                <c:pt idx="118">
                  <c:v>19.297833333333333</c:v>
                </c:pt>
                <c:pt idx="119">
                  <c:v>19.46</c:v>
                </c:pt>
                <c:pt idx="120">
                  <c:v>19.622166666666665</c:v>
                </c:pt>
                <c:pt idx="121">
                  <c:v>19.784333333333333</c:v>
                </c:pt>
                <c:pt idx="122">
                  <c:v>19.9465</c:v>
                </c:pt>
                <c:pt idx="123">
                  <c:v>20.108666666666668</c:v>
                </c:pt>
                <c:pt idx="124">
                  <c:v>20.270833333333332</c:v>
                </c:pt>
                <c:pt idx="125">
                  <c:v>20.433</c:v>
                </c:pt>
                <c:pt idx="126">
                  <c:v>20.595166666666668</c:v>
                </c:pt>
                <c:pt idx="127">
                  <c:v>20.757333333333335</c:v>
                </c:pt>
                <c:pt idx="128">
                  <c:v>20.919499999999999</c:v>
                </c:pt>
                <c:pt idx="129">
                  <c:v>21.081666666666667</c:v>
                </c:pt>
                <c:pt idx="130">
                  <c:v>21.243833333333335</c:v>
                </c:pt>
                <c:pt idx="131">
                  <c:v>21.406000000000002</c:v>
                </c:pt>
                <c:pt idx="132">
                  <c:v>21.568166666666666</c:v>
                </c:pt>
                <c:pt idx="133">
                  <c:v>21.730333333333334</c:v>
                </c:pt>
                <c:pt idx="134">
                  <c:v>21.892500000000002</c:v>
                </c:pt>
                <c:pt idx="135">
                  <c:v>22.05466666666667</c:v>
                </c:pt>
                <c:pt idx="136">
                  <c:v>22.216833333333334</c:v>
                </c:pt>
                <c:pt idx="137">
                  <c:v>22.379000000000001</c:v>
                </c:pt>
                <c:pt idx="138">
                  <c:v>22.541166666666669</c:v>
                </c:pt>
                <c:pt idx="139">
                  <c:v>22.703333333333337</c:v>
                </c:pt>
                <c:pt idx="140">
                  <c:v>22.865499999999997</c:v>
                </c:pt>
                <c:pt idx="141">
                  <c:v>23.027666666666665</c:v>
                </c:pt>
                <c:pt idx="142">
                  <c:v>23.189833333333333</c:v>
                </c:pt>
                <c:pt idx="143">
                  <c:v>23.352</c:v>
                </c:pt>
                <c:pt idx="144">
                  <c:v>23.514166666666664</c:v>
                </c:pt>
                <c:pt idx="145">
                  <c:v>23.676333333333332</c:v>
                </c:pt>
                <c:pt idx="146">
                  <c:v>23.8385</c:v>
                </c:pt>
                <c:pt idx="147">
                  <c:v>24.000666666666667</c:v>
                </c:pt>
                <c:pt idx="148">
                  <c:v>24.162833333333332</c:v>
                </c:pt>
                <c:pt idx="149">
                  <c:v>24.324999999999999</c:v>
                </c:pt>
              </c:numCache>
            </c:numRef>
          </c:xVal>
          <c:yVal>
            <c:numRef>
              <c:f>Eff_vs_IOUT!$BT$8:$BT$157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5-53D1-4006-8366-E2C9DA64EC11}"/>
            </c:ext>
          </c:extLst>
        </c:ser>
        <c:dLbls>
          <c:showLegendKey val="0"/>
          <c:showVal val="0"/>
          <c:showCatName val="0"/>
          <c:showSerName val="0"/>
          <c:showPercent val="0"/>
          <c:showBubbleSize val="0"/>
        </c:dLbls>
        <c:axId val="586827264"/>
        <c:axId val="586476928"/>
      </c:scatterChart>
      <c:valAx>
        <c:axId val="586473472"/>
        <c:scaling>
          <c:orientation val="minMax"/>
        </c:scaling>
        <c:delete val="0"/>
        <c:axPos val="b"/>
        <c:majorGridlines/>
        <c:numFmt formatCode="General" sourceLinked="1"/>
        <c:majorTickMark val="out"/>
        <c:minorTickMark val="none"/>
        <c:tickLblPos val="nextTo"/>
        <c:crossAx val="586475008"/>
        <c:crosses val="autoZero"/>
        <c:crossBetween val="midCat"/>
      </c:valAx>
      <c:valAx>
        <c:axId val="586475008"/>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6473472"/>
        <c:crosses val="autoZero"/>
        <c:crossBetween val="midCat"/>
      </c:valAx>
      <c:valAx>
        <c:axId val="586476928"/>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6827264"/>
        <c:crosses val="max"/>
        <c:crossBetween val="midCat"/>
      </c:valAx>
      <c:valAx>
        <c:axId val="586827264"/>
        <c:scaling>
          <c:orientation val="minMax"/>
        </c:scaling>
        <c:delete val="1"/>
        <c:axPos val="b"/>
        <c:title>
          <c:tx>
            <c:rich>
              <a:bodyPr/>
              <a:lstStyle/>
              <a:p>
                <a:pPr>
                  <a:defRPr sz="700"/>
                </a:pPr>
                <a:r>
                  <a:rPr lang="en-US" sz="1200" b="1" i="0" baseline="0">
                    <a:effectLst/>
                  </a:rPr>
                  <a:t>P</a:t>
                </a:r>
                <a:r>
                  <a:rPr lang="en-US" sz="1200" b="1" i="0" baseline="-25000">
                    <a:effectLst/>
                  </a:rPr>
                  <a:t>OUT</a:t>
                </a:r>
                <a:r>
                  <a:rPr lang="en-US" sz="1200" b="1" i="0" baseline="0">
                    <a:effectLst/>
                  </a:rPr>
                  <a:t> (W)</a:t>
                </a:r>
                <a:endParaRPr lang="en-US" sz="700">
                  <a:effectLst/>
                </a:endParaRPr>
              </a:p>
            </c:rich>
          </c:tx>
          <c:overlay val="0"/>
        </c:title>
        <c:numFmt formatCode="General" sourceLinked="1"/>
        <c:majorTickMark val="out"/>
        <c:minorTickMark val="none"/>
        <c:tickLblPos val="nextTo"/>
        <c:crossAx val="586476928"/>
        <c:crosses val="autoZero"/>
        <c:crossBetween val="midCat"/>
      </c:valAx>
    </c:plotArea>
    <c:legend>
      <c:legendPos val="r"/>
      <c:layout>
        <c:manualLayout>
          <c:xMode val="edge"/>
          <c:yMode val="edge"/>
          <c:x val="0.49723111871774606"/>
          <c:y val="6.4861313959085187E-3"/>
          <c:w val="0.41972466868865133"/>
          <c:h val="0.12461147870492213"/>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aseline="0"/>
              <a:t>Non-Isolated Loop Response</a:t>
            </a:r>
          </a:p>
        </c:rich>
      </c:tx>
      <c:layout>
        <c:manualLayout>
          <c:xMode val="edge"/>
          <c:yMode val="edge"/>
          <c:x val="9.4354157174953393E-2"/>
          <c:y val="3.9916010498687662E-3"/>
        </c:manualLayout>
      </c:layout>
      <c:overlay val="0"/>
    </c:title>
    <c:autoTitleDeleted val="0"/>
    <c:plotArea>
      <c:layout>
        <c:manualLayout>
          <c:layoutTarget val="inner"/>
          <c:xMode val="edge"/>
          <c:yMode val="edge"/>
          <c:x val="8.7413438847232044E-2"/>
          <c:y val="8.915804101931861E-2"/>
          <c:w val="0.85835006662757141"/>
          <c:h val="0.76159168715027026"/>
        </c:manualLayout>
      </c:layout>
      <c:scatterChart>
        <c:scatterStyle val="smoothMarker"/>
        <c:varyColors val="0"/>
        <c:ser>
          <c:idx val="0"/>
          <c:order val="0"/>
          <c:tx>
            <c:v>Gain (dB)</c:v>
          </c:tx>
          <c:spPr>
            <a:ln w="28575">
              <a:solidFill>
                <a:srgbClr val="FF0000"/>
              </a:solidFill>
            </a:ln>
          </c:spPr>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CCM_Loop_Modeling_non_isolated!$AT$19:$AT$560</c:f>
              <c:numCache>
                <c:formatCode>0.000</c:formatCode>
                <c:ptCount val="542"/>
                <c:pt idx="0">
                  <c:v>101.87158436795758</c:v>
                </c:pt>
                <c:pt idx="1">
                  <c:v>101.55001556658675</c:v>
                </c:pt>
                <c:pt idx="2">
                  <c:v>101.22627297063329</c:v>
                </c:pt>
                <c:pt idx="3">
                  <c:v>100.90038089047769</c:v>
                </c:pt>
                <c:pt idx="4">
                  <c:v>100.57236551348304</c:v>
                </c:pt>
                <c:pt idx="5">
                  <c:v>100.24225480683558</c:v>
                </c:pt>
                <c:pt idx="6">
                  <c:v>99.910078415753503</c:v>
                </c:pt>
                <c:pt idx="7">
                  <c:v>99.575867557835039</c:v>
                </c:pt>
                <c:pt idx="8">
                  <c:v>99.239654914327645</c:v>
                </c:pt>
                <c:pt idx="9">
                  <c:v>98.901474519088097</c:v>
                </c:pt>
                <c:pt idx="10">
                  <c:v>98.561361645998034</c:v>
                </c:pt>
                <c:pt idx="11">
                  <c:v>98.219352695572425</c:v>
                </c:pt>
                <c:pt idx="12">
                  <c:v>97.875485081475915</c:v>
                </c:pt>
                <c:pt idx="13">
                  <c:v>97.529797117623758</c:v>
                </c:pt>
                <c:pt idx="14">
                  <c:v>97.182327906507965</c:v>
                </c:pt>
                <c:pt idx="15">
                  <c:v>96.83311722934404</c:v>
                </c:pt>
                <c:pt idx="16">
                  <c:v>96.482205438585979</c:v>
                </c:pt>
                <c:pt idx="17">
                  <c:v>96.129633353309188</c:v>
                </c:pt>
                <c:pt idx="18">
                  <c:v>95.775442157905971</c:v>
                </c:pt>
                <c:pt idx="19">
                  <c:v>95.419673304489478</c:v>
                </c:pt>
                <c:pt idx="20">
                  <c:v>95.062368419345319</c:v>
                </c:pt>
                <c:pt idx="21">
                  <c:v>94.703569213720144</c:v>
                </c:pt>
                <c:pt idx="22">
                  <c:v>94.343317399184755</c:v>
                </c:pt>
                <c:pt idx="23">
                  <c:v>93.981654607758088</c:v>
                </c:pt>
                <c:pt idx="24">
                  <c:v>93.618622316933738</c:v>
                </c:pt>
                <c:pt idx="25">
                  <c:v>93.254261779703512</c:v>
                </c:pt>
                <c:pt idx="26">
                  <c:v>92.888613959632835</c:v>
                </c:pt>
                <c:pt idx="27">
                  <c:v>92.521719471000665</c:v>
                </c:pt>
                <c:pt idx="28">
                  <c:v>92.153618523985941</c:v>
                </c:pt>
                <c:pt idx="29">
                  <c:v>91.784350874844534</c:v>
                </c:pt>
                <c:pt idx="30">
                  <c:v>91.413955780999189</c:v>
                </c:pt>
                <c:pt idx="31">
                  <c:v>91.042471960931536</c:v>
                </c:pt>
                <c:pt idx="32">
                  <c:v>90.669937558751087</c:v>
                </c:pt>
                <c:pt idx="33">
                  <c:v>90.296390113291096</c:v>
                </c:pt>
                <c:pt idx="34">
                  <c:v>89.921866531571624</c:v>
                </c:pt>
                <c:pt idx="35">
                  <c:v>89.546403066451248</c:v>
                </c:pt>
                <c:pt idx="36">
                  <c:v>89.170035298284546</c:v>
                </c:pt>
                <c:pt idx="37">
                  <c:v>88.792798120392604</c:v>
                </c:pt>
                <c:pt idx="38">
                  <c:v>88.414725728148369</c:v>
                </c:pt>
                <c:pt idx="39">
                  <c:v>88.03585161147862</c:v>
                </c:pt>
                <c:pt idx="40">
                  <c:v>87.656208550580573</c:v>
                </c:pt>
                <c:pt idx="41">
                  <c:v>87.275828614653648</c:v>
                </c:pt>
                <c:pt idx="42">
                  <c:v>86.894743163450386</c:v>
                </c:pt>
                <c:pt idx="43">
                  <c:v>86.512982851451426</c:v>
                </c:pt>
                <c:pt idx="44">
                  <c:v>86.130577634477532</c:v>
                </c:pt>
                <c:pt idx="45">
                  <c:v>85.747556778554852</c:v>
                </c:pt>
                <c:pt idx="46">
                  <c:v>85.363948870858636</c:v>
                </c:pt>
                <c:pt idx="47">
                  <c:v>84.979781832565635</c:v>
                </c:pt>
                <c:pt idx="48">
                  <c:v>84.59508293345516</c:v>
                </c:pt>
                <c:pt idx="49">
                  <c:v>84.209878808105202</c:v>
                </c:pt>
                <c:pt idx="50">
                  <c:v>83.824195473539973</c:v>
                </c:pt>
                <c:pt idx="51">
                  <c:v>83.438058348191248</c:v>
                </c:pt>
                <c:pt idx="52">
                  <c:v>83.051492272048137</c:v>
                </c:pt>
                <c:pt idx="53">
                  <c:v>82.664521527874115</c:v>
                </c:pt>
                <c:pt idx="54">
                  <c:v>82.27716986338153</c:v>
                </c:pt>
                <c:pt idx="55">
                  <c:v>81.889460514260421</c:v>
                </c:pt>
                <c:pt idx="56">
                  <c:v>81.501416227967269</c:v>
                </c:pt>
                <c:pt idx="57">
                  <c:v>81.113059288187316</c:v>
                </c:pt>
                <c:pt idx="58">
                  <c:v>80.724411539886702</c:v>
                </c:pt>
                <c:pt idx="59">
                  <c:v>80.335494414887464</c:v>
                </c:pt>
                <c:pt idx="60">
                  <c:v>79.946328957894124</c:v>
                </c:pt>
                <c:pt idx="61">
                  <c:v>79.556935852914151</c:v>
                </c:pt>
                <c:pt idx="62">
                  <c:v>79.167335450016949</c:v>
                </c:pt>
                <c:pt idx="63">
                  <c:v>78.777547792382535</c:v>
                </c:pt>
                <c:pt idx="64">
                  <c:v>78.387592643597401</c:v>
                </c:pt>
                <c:pt idx="65">
                  <c:v>77.997489515154356</c:v>
                </c:pt>
                <c:pt idx="66">
                  <c:v>77.607257694125622</c:v>
                </c:pt>
                <c:pt idx="67">
                  <c:v>77.216916270973059</c:v>
                </c:pt>
                <c:pt idx="68">
                  <c:v>76.8264841674698</c:v>
                </c:pt>
                <c:pt idx="69">
                  <c:v>76.435980164706393</c:v>
                </c:pt>
                <c:pt idx="70">
                  <c:v>76.045422931157361</c:v>
                </c:pt>
                <c:pt idx="71">
                  <c:v>75.654831050787848</c:v>
                </c:pt>
                <c:pt idx="72">
                  <c:v>75.264223051179556</c:v>
                </c:pt>
                <c:pt idx="73">
                  <c:v>74.873617431656314</c:v>
                </c:pt>
                <c:pt idx="74">
                  <c:v>74.483032691391813</c:v>
                </c:pt>
                <c:pt idx="75">
                  <c:v>74.092487357480536</c:v>
                </c:pt>
                <c:pt idx="76">
                  <c:v>73.702000012953405</c:v>
                </c:pt>
                <c:pt idx="77">
                  <c:v>73.311589324718966</c:v>
                </c:pt>
                <c:pt idx="78">
                  <c:v>72.921274071409371</c:v>
                </c:pt>
                <c:pt idx="79">
                  <c:v>72.531073171109711</c:v>
                </c:pt>
                <c:pt idx="80">
                  <c:v>72.141005708946523</c:v>
                </c:pt>
                <c:pt idx="81">
                  <c:v>71.751090964508606</c:v>
                </c:pt>
                <c:pt idx="82">
                  <c:v>71.361348439071989</c:v>
                </c:pt>
                <c:pt idx="83">
                  <c:v>70.971797882595254</c:v>
                </c:pt>
                <c:pt idx="84">
                  <c:v>70.582459320450127</c:v>
                </c:pt>
                <c:pt idx="85">
                  <c:v>70.193353079845991</c:v>
                </c:pt>
                <c:pt idx="86">
                  <c:v>69.804499815903625</c:v>
                </c:pt>
                <c:pt idx="87">
                  <c:v>69.415920537328418</c:v>
                </c:pt>
                <c:pt idx="88">
                  <c:v>69.027636631626649</c:v>
                </c:pt>
                <c:pt idx="89">
                  <c:v>68.639669889804239</c:v>
                </c:pt>
                <c:pt idx="90">
                  <c:v>68.252042530479727</c:v>
                </c:pt>
                <c:pt idx="91">
                  <c:v>67.86477722333693</c:v>
                </c:pt>
                <c:pt idx="92">
                  <c:v>67.477897111836086</c:v>
                </c:pt>
                <c:pt idx="93">
                  <c:v>67.091425835094299</c:v>
                </c:pt>
                <c:pt idx="94">
                  <c:v>66.705387548838772</c:v>
                </c:pt>
                <c:pt idx="95">
                  <c:v>66.319806945327855</c:v>
                </c:pt>
                <c:pt idx="96">
                  <c:v>65.934709272127094</c:v>
                </c:pt>
                <c:pt idx="97">
                  <c:v>65.550120349618311</c:v>
                </c:pt>
                <c:pt idx="98">
                  <c:v>65.166066587112368</c:v>
                </c:pt>
                <c:pt idx="99">
                  <c:v>64.782574997427133</c:v>
                </c:pt>
                <c:pt idx="100">
                  <c:v>64.399673209781611</c:v>
                </c:pt>
                <c:pt idx="101">
                  <c:v>64.017389480852501</c:v>
                </c:pt>
                <c:pt idx="102">
                  <c:v>63.635752703827649</c:v>
                </c:pt>
                <c:pt idx="103">
                  <c:v>63.254792415284967</c:v>
                </c:pt>
                <c:pt idx="104">
                  <c:v>62.874538799716831</c:v>
                </c:pt>
                <c:pt idx="105">
                  <c:v>62.495022691514521</c:v>
                </c:pt>
                <c:pt idx="106">
                  <c:v>62.116275574217852</c:v>
                </c:pt>
                <c:pt idx="107">
                  <c:v>61.738329576835376</c:v>
                </c:pt>
                <c:pt idx="108">
                  <c:v>61.361217467030812</c:v>
                </c:pt>
                <c:pt idx="109">
                  <c:v>60.984972640972728</c:v>
                </c:pt>
                <c:pt idx="110">
                  <c:v>60.60962910963972</c:v>
                </c:pt>
                <c:pt idx="111">
                  <c:v>60.23522148137863</c:v>
                </c:pt>
                <c:pt idx="112">
                  <c:v>59.861784940509928</c:v>
                </c:pt>
                <c:pt idx="113">
                  <c:v>59.489355221782816</c:v>
                </c:pt>
                <c:pt idx="114">
                  <c:v>59.117968580488565</c:v>
                </c:pt>
                <c:pt idx="115">
                  <c:v>58.747661758049645</c:v>
                </c:pt>
                <c:pt idx="116">
                  <c:v>58.37847194291345</c:v>
                </c:pt>
                <c:pt idx="117">
                  <c:v>58.010436726597774</c:v>
                </c:pt>
                <c:pt idx="118">
                  <c:v>57.643594054748021</c:v>
                </c:pt>
                <c:pt idx="119">
                  <c:v>57.27798217309396</c:v>
                </c:pt>
                <c:pt idx="120">
                  <c:v>56.913639568213057</c:v>
                </c:pt>
                <c:pt idx="121">
                  <c:v>56.550604903038426</c:v>
                </c:pt>
                <c:pt idx="122">
                  <c:v>56.188916947082149</c:v>
                </c:pt>
                <c:pt idx="123">
                  <c:v>55.828614501375597</c:v>
                </c:pt>
                <c:pt idx="124">
                  <c:v>55.469736318171499</c:v>
                </c:pt>
                <c:pt idx="125">
                  <c:v>55.11232101549141</c:v>
                </c:pt>
                <c:pt idx="126">
                  <c:v>54.756406986645779</c:v>
                </c:pt>
                <c:pt idx="127">
                  <c:v>54.402032304904168</c:v>
                </c:pt>
                <c:pt idx="128">
                  <c:v>54.049234623538894</c:v>
                </c:pt>
                <c:pt idx="129">
                  <c:v>53.698051071517561</c:v>
                </c:pt>
                <c:pt idx="130">
                  <c:v>53.348518145174531</c:v>
                </c:pt>
                <c:pt idx="131">
                  <c:v>53.00067159623832</c:v>
                </c:pt>
                <c:pt idx="132">
                  <c:v>52.654546316651945</c:v>
                </c:pt>
                <c:pt idx="133">
                  <c:v>52.310176220667529</c:v>
                </c:pt>
                <c:pt idx="134">
                  <c:v>51.967594124753241</c:v>
                </c:pt>
                <c:pt idx="135">
                  <c:v>51.626831625891938</c:v>
                </c:pt>
                <c:pt idx="136">
                  <c:v>51.287918978899782</c:v>
                </c:pt>
                <c:pt idx="137">
                  <c:v>50.950884973428963</c:v>
                </c:pt>
                <c:pt idx="138">
                  <c:v>50.615756811356299</c:v>
                </c:pt>
                <c:pt idx="139">
                  <c:v>50.282559985283591</c:v>
                </c:pt>
                <c:pt idx="140">
                  <c:v>49.951318158900563</c:v>
                </c:pt>
                <c:pt idx="141">
                  <c:v>49.622053049972735</c:v>
                </c:pt>
                <c:pt idx="142">
                  <c:v>49.294784316721625</c:v>
                </c:pt>
                <c:pt idx="143">
                  <c:v>48.96952944836255</c:v>
                </c:pt>
                <c:pt idx="144">
                  <c:v>48.646303660549613</c:v>
                </c:pt>
                <c:pt idx="145">
                  <c:v>48.325119796458054</c:v>
                </c:pt>
                <c:pt idx="146">
                  <c:v>48.005988234200956</c:v>
                </c:pt>
                <c:pt idx="147">
                  <c:v>47.688916801234733</c:v>
                </c:pt>
                <c:pt idx="148">
                  <c:v>47.373910696359999</c:v>
                </c:pt>
                <c:pt idx="149">
                  <c:v>47.060972419863475</c:v>
                </c:pt>
                <c:pt idx="150">
                  <c:v>46.750101712281669</c:v>
                </c:pt>
                <c:pt idx="151">
                  <c:v>46.441295502190911</c:v>
                </c:pt>
                <c:pt idx="152">
                  <c:v>46.134547863351543</c:v>
                </c:pt>
                <c:pt idx="153">
                  <c:v>45.829849981446827</c:v>
                </c:pt>
                <c:pt idx="154">
                  <c:v>45.527190130571327</c:v>
                </c:pt>
                <c:pt idx="155">
                  <c:v>45.226553659531774</c:v>
                </c:pt>
                <c:pt idx="156">
                  <c:v>44.927922987934501</c:v>
                </c:pt>
                <c:pt idx="157">
                  <c:v>44.631277611939709</c:v>
                </c:pt>
                <c:pt idx="158">
                  <c:v>44.336594119479344</c:v>
                </c:pt>
                <c:pt idx="159">
                  <c:v>44.043846214647203</c:v>
                </c:pt>
                <c:pt idx="160">
                  <c:v>43.753004750892437</c:v>
                </c:pt>
                <c:pt idx="161">
                  <c:v>43.464037772573548</c:v>
                </c:pt>
                <c:pt idx="162">
                  <c:v>43.176910564360547</c:v>
                </c:pt>
                <c:pt idx="163">
                  <c:v>42.891585707920768</c:v>
                </c:pt>
                <c:pt idx="164">
                  <c:v>42.608023145267879</c:v>
                </c:pt>
                <c:pt idx="165">
                  <c:v>42.326180248115463</c:v>
                </c:pt>
                <c:pt idx="166">
                  <c:v>42.046011892549387</c:v>
                </c:pt>
                <c:pt idx="167">
                  <c:v>41.767470538305233</c:v>
                </c:pt>
                <c:pt idx="168">
                  <c:v>41.490506311934368</c:v>
                </c:pt>
                <c:pt idx="169">
                  <c:v>41.215067093134948</c:v>
                </c:pt>
                <c:pt idx="170">
                  <c:v>40.941098603536084</c:v>
                </c:pt>
                <c:pt idx="171">
                  <c:v>40.668544497240561</c:v>
                </c:pt>
                <c:pt idx="172">
                  <c:v>40.397346452454499</c:v>
                </c:pt>
                <c:pt idx="173">
                  <c:v>40.127444263570013</c:v>
                </c:pt>
                <c:pt idx="174">
                  <c:v>39.85877593310228</c:v>
                </c:pt>
                <c:pt idx="175">
                  <c:v>39.591277762932876</c:v>
                </c:pt>
                <c:pt idx="176">
                  <c:v>39.324884444358176</c:v>
                </c:pt>
                <c:pt idx="177">
                  <c:v>39.059529146499507</c:v>
                </c:pt>
                <c:pt idx="178">
                  <c:v>38.795143602688292</c:v>
                </c:pt>
                <c:pt idx="179">
                  <c:v>38.531658194500025</c:v>
                </c:pt>
                <c:pt idx="180">
                  <c:v>38.269002033172548</c:v>
                </c:pt>
                <c:pt idx="181">
                  <c:v>38.007103038205251</c:v>
                </c:pt>
                <c:pt idx="182">
                  <c:v>37.745888012998179</c:v>
                </c:pt>
                <c:pt idx="183">
                  <c:v>37.485282717449465</c:v>
                </c:pt>
                <c:pt idx="184">
                  <c:v>37.225211937488034</c:v>
                </c:pt>
                <c:pt idx="185">
                  <c:v>36.965599551574563</c:v>
                </c:pt>
                <c:pt idx="186">
                  <c:v>36.706368594256631</c:v>
                </c:pt>
                <c:pt idx="187">
                  <c:v>36.447441316912531</c:v>
                </c:pt>
                <c:pt idx="188">
                  <c:v>36.188739245864731</c:v>
                </c:pt>
                <c:pt idx="189">
                  <c:v>35.930183238084098</c:v>
                </c:pt>
                <c:pt idx="190">
                  <c:v>35.671693534743</c:v>
                </c:pt>
                <c:pt idx="191">
                  <c:v>35.413189812906872</c:v>
                </c:pt>
                <c:pt idx="192">
                  <c:v>35.154591235680655</c:v>
                </c:pt>
                <c:pt idx="193">
                  <c:v>34.89581650114809</c:v>
                </c:pt>
                <c:pt idx="194">
                  <c:v>34.636783890457338</c:v>
                </c:pt>
                <c:pt idx="195">
                  <c:v>34.377411315418271</c:v>
                </c:pt>
                <c:pt idx="196">
                  <c:v>34.11761636598149</c:v>
                </c:pt>
                <c:pt idx="197">
                  <c:v>33.857316357969147</c:v>
                </c:pt>
                <c:pt idx="198">
                  <c:v>33.596428381424197</c:v>
                </c:pt>
                <c:pt idx="199">
                  <c:v>33.334869349929576</c:v>
                </c:pt>
                <c:pt idx="200">
                  <c:v>33.072556051238962</c:v>
                </c:pt>
                <c:pt idx="201">
                  <c:v>32.809405199535192</c:v>
                </c:pt>
                <c:pt idx="202">
                  <c:v>32.545333489609227</c:v>
                </c:pt>
                <c:pt idx="203">
                  <c:v>32.280257653219941</c:v>
                </c:pt>
                <c:pt idx="204">
                  <c:v>32.014094517862858</c:v>
                </c:pt>
                <c:pt idx="205">
                  <c:v>31.746761068135001</c:v>
                </c:pt>
                <c:pt idx="206">
                  <c:v>31.478174509840613</c:v>
                </c:pt>
                <c:pt idx="207">
                  <c:v>31.208252336936066</c:v>
                </c:pt>
                <c:pt idx="208">
                  <c:v>30.936912401365475</c:v>
                </c:pt>
                <c:pt idx="209">
                  <c:v>30.664072985785523</c:v>
                </c:pt>
                <c:pt idx="210">
                  <c:v>30.38965287912351</c:v>
                </c:pt>
                <c:pt idx="211">
                  <c:v>30.11357145486496</c:v>
                </c:pt>
                <c:pt idx="212">
                  <c:v>29.835748751906085</c:v>
                </c:pt>
                <c:pt idx="213">
                  <c:v>29.556105557756752</c:v>
                </c:pt>
                <c:pt idx="214">
                  <c:v>29.274563493828545</c:v>
                </c:pt>
                <c:pt idx="215">
                  <c:v>28.991045102489057</c:v>
                </c:pt>
                <c:pt idx="216">
                  <c:v>28.705473935520558</c:v>
                </c:pt>
                <c:pt idx="217">
                  <c:v>28.417774643577573</c:v>
                </c:pt>
                <c:pt idx="218">
                  <c:v>28.127873066198102</c:v>
                </c:pt>
                <c:pt idx="219">
                  <c:v>27.835696321896087</c:v>
                </c:pt>
                <c:pt idx="220">
                  <c:v>27.541172897832894</c:v>
                </c:pt>
                <c:pt idx="221">
                  <c:v>27.244232738550874</c:v>
                </c:pt>
                <c:pt idx="222">
                  <c:v>26.944807333241574</c:v>
                </c:pt>
                <c:pt idx="223">
                  <c:v>26.642829801018021</c:v>
                </c:pt>
                <c:pt idx="224">
                  <c:v>26.338234973671387</c:v>
                </c:pt>
                <c:pt idx="225">
                  <c:v>26.030959475405684</c:v>
                </c:pt>
                <c:pt idx="226">
                  <c:v>25.720941799070658</c:v>
                </c:pt>
                <c:pt idx="227">
                  <c:v>25.408122378449228</c:v>
                </c:pt>
                <c:pt idx="228">
                  <c:v>25.092443656195957</c:v>
                </c:pt>
                <c:pt idx="229">
                  <c:v>24.773850147075358</c:v>
                </c:pt>
                <c:pt idx="230">
                  <c:v>24.45228849620856</c:v>
                </c:pt>
                <c:pt idx="231">
                  <c:v>24.12770753209707</c:v>
                </c:pt>
                <c:pt idx="232">
                  <c:v>23.800058314266725</c:v>
                </c:pt>
                <c:pt idx="233">
                  <c:v>23.469294175444521</c:v>
                </c:pt>
                <c:pt idx="234">
                  <c:v>23.135370758258645</c:v>
                </c:pt>
                <c:pt idx="235">
                  <c:v>22.798246046528647</c:v>
                </c:pt>
                <c:pt idx="236">
                  <c:v>22.45788039128702</c:v>
                </c:pt>
                <c:pt idx="237">
                  <c:v>22.114236531750031</c:v>
                </c:pt>
                <c:pt idx="238">
                  <c:v>21.767279611522756</c:v>
                </c:pt>
                <c:pt idx="239">
                  <c:v>21.41697719038973</c:v>
                </c:pt>
                <c:pt idx="240">
                  <c:v>21.06329925209829</c:v>
                </c:pt>
                <c:pt idx="241">
                  <c:v>20.706218208593953</c:v>
                </c:pt>
                <c:pt idx="242">
                  <c:v>20.345708901202624</c:v>
                </c:pt>
                <c:pt idx="243">
                  <c:v>19.98174859929059</c:v>
                </c:pt>
                <c:pt idx="244">
                  <c:v>19.614316996944041</c:v>
                </c:pt>
                <c:pt idx="245">
                  <c:v>19.243396208224304</c:v>
                </c:pt>
                <c:pt idx="246">
                  <c:v>18.8689707615451</c:v>
                </c:pt>
                <c:pt idx="247">
                  <c:v>18.49102759370292</c:v>
                </c:pt>
                <c:pt idx="248">
                  <c:v>18.109556044065172</c:v>
                </c:pt>
                <c:pt idx="249">
                  <c:v>17.724547849378002</c:v>
                </c:pt>
                <c:pt idx="250">
                  <c:v>17.335997139609994</c:v>
                </c:pt>
                <c:pt idx="251">
                  <c:v>16.943900435186382</c:v>
                </c:pt>
                <c:pt idx="252">
                  <c:v>16.548256645904512</c:v>
                </c:pt>
                <c:pt idx="253">
                  <c:v>16.149067071745517</c:v>
                </c:pt>
                <c:pt idx="254">
                  <c:v>15.746335405722622</c:v>
                </c:pt>
                <c:pt idx="255">
                  <c:v>15.340067738820782</c:v>
                </c:pt>
                <c:pt idx="256">
                  <c:v>14.930272567006782</c:v>
                </c:pt>
                <c:pt idx="257">
                  <c:v>14.516960800197678</c:v>
                </c:pt>
                <c:pt idx="258">
                  <c:v>14.100145773002637</c:v>
                </c:pt>
                <c:pt idx="259">
                  <c:v>13.67984325697352</c:v>
                </c:pt>
                <c:pt idx="260">
                  <c:v>13.256071474029278</c:v>
                </c:pt>
                <c:pt idx="261">
                  <c:v>12.828851110655108</c:v>
                </c:pt>
                <c:pt idx="262">
                  <c:v>12.398205332421266</c:v>
                </c:pt>
                <c:pt idx="263">
                  <c:v>11.964159798321418</c:v>
                </c:pt>
                <c:pt idx="264">
                  <c:v>11.526742674393624</c:v>
                </c:pt>
                <c:pt idx="265">
                  <c:v>11.085984646062183</c:v>
                </c:pt>
                <c:pt idx="266">
                  <c:v>10.641918928626563</c:v>
                </c:pt>
                <c:pt idx="267">
                  <c:v>10.194581275320196</c:v>
                </c:pt>
                <c:pt idx="268">
                  <c:v>9.7440099823734432</c:v>
                </c:pt>
                <c:pt idx="269">
                  <c:v>9.2902458905360454</c:v>
                </c:pt>
                <c:pt idx="270">
                  <c:v>8.8333323825442847</c:v>
                </c:pt>
                <c:pt idx="271">
                  <c:v>8.3733153760632941</c:v>
                </c:pt>
                <c:pt idx="272">
                  <c:v>7.9102433116801985</c:v>
                </c:pt>
                <c:pt idx="273">
                  <c:v>7.4441671355863654</c:v>
                </c:pt>
                <c:pt idx="274">
                  <c:v>6.9751402766457336</c:v>
                </c:pt>
                <c:pt idx="275">
                  <c:v>6.5032186176193187</c:v>
                </c:pt>
                <c:pt idx="276">
                  <c:v>6.028460460382612</c:v>
                </c:pt>
                <c:pt idx="277">
                  <c:v>5.5509264850485609</c:v>
                </c:pt>
                <c:pt idx="278">
                  <c:v>5.0706797029785768</c:v>
                </c:pt>
                <c:pt idx="279">
                  <c:v>4.5877854037376418</c:v>
                </c:pt>
                <c:pt idx="280">
                  <c:v>4.102311096113624</c:v>
                </c:pt>
                <c:pt idx="281">
                  <c:v>3.6143264433883986</c:v>
                </c:pt>
                <c:pt idx="282">
                  <c:v>3.1239031931000176</c:v>
                </c:pt>
                <c:pt idx="283">
                  <c:v>2.6311151015939194</c:v>
                </c:pt>
                <c:pt idx="284">
                  <c:v>2.1360378536959366</c:v>
                </c:pt>
                <c:pt idx="285">
                  <c:v>1.6387489778829922</c:v>
                </c:pt>
                <c:pt idx="286">
                  <c:v>1.1393277573497258</c:v>
                </c:pt>
                <c:pt idx="287">
                  <c:v>0.63785513738855859</c:v>
                </c:pt>
                <c:pt idx="288">
                  <c:v>0.13441362951294339</c:v>
                </c:pt>
                <c:pt idx="289">
                  <c:v>-0.3709127872485008</c:v>
                </c:pt>
                <c:pt idx="290">
                  <c:v>-0.87803876746334886</c:v>
                </c:pt>
                <c:pt idx="291">
                  <c:v>-1.3868777024024135</c:v>
                </c:pt>
                <c:pt idx="292">
                  <c:v>-1.8973418247573441</c:v>
                </c:pt>
                <c:pt idx="293">
                  <c:v>-2.4093423146025579</c:v>
                </c:pt>
                <c:pt idx="294">
                  <c:v>-2.9227894062766375</c:v>
                </c:pt>
                <c:pt idx="295">
                  <c:v>-3.437592495886407</c:v>
                </c:pt>
                <c:pt idx="296">
                  <c:v>-3.9536602491787178</c:v>
                </c:pt>
                <c:pt idx="297">
                  <c:v>-4.4709007095684639</c:v>
                </c:pt>
                <c:pt idx="298">
                  <c:v>-4.9892214061457523</c:v>
                </c:pt>
                <c:pt idx="299">
                  <c:v>-5.508529461537246</c:v>
                </c:pt>
                <c:pt idx="300">
                  <c:v>-6.0287316995273024</c:v>
                </c:pt>
                <c:pt idx="301">
                  <c:v>-6.5497347523897078</c:v>
                </c:pt>
                <c:pt idx="302">
                  <c:v>-7.0714451679147583</c:v>
                </c:pt>
                <c:pt idx="303">
                  <c:v>-7.5937695161465761</c:v>
                </c:pt>
                <c:pt idx="304">
                  <c:v>-8.116614495877176</c:v>
                </c:pt>
                <c:pt idx="305">
                  <c:v>-8.639887040960982</c:v>
                </c:pt>
                <c:pt idx="306">
                  <c:v>-9.1634944265376213</c:v>
                </c:pt>
                <c:pt idx="307">
                  <c:v>-9.6873443752535557</c:v>
                </c:pt>
                <c:pt idx="308">
                  <c:v>-10.211345163585513</c:v>
                </c:pt>
                <c:pt idx="309">
                  <c:v>-10.735405728362359</c:v>
                </c:pt>
                <c:pt idx="310">
                  <c:v>-11.259435773576541</c:v>
                </c:pt>
                <c:pt idx="311">
                  <c:v>-11.783345877559249</c:v>
                </c:pt>
                <c:pt idx="312">
                  <c:v>-12.30704760057524</c:v>
                </c:pt>
                <c:pt idx="313">
                  <c:v>-12.83045359286649</c:v>
                </c:pt>
                <c:pt idx="314">
                  <c:v>-13.353477703137175</c:v>
                </c:pt>
                <c:pt idx="315">
                  <c:v>-13.876035087442764</c:v>
                </c:pt>
                <c:pt idx="316">
                  <c:v>-14.398042318395891</c:v>
                </c:pt>
                <c:pt idx="317">
                  <c:v>-14.919417494563916</c:v>
                </c:pt>
                <c:pt idx="318">
                  <c:v>-15.440080349877764</c:v>
                </c:pt>
                <c:pt idx="319">
                  <c:v>-15.959952362825707</c:v>
                </c:pt>
                <c:pt idx="320">
                  <c:v>-16.478956865154561</c:v>
                </c:pt>
                <c:pt idx="321">
                  <c:v>-16.997019149744279</c:v>
                </c:pt>
                <c:pt idx="322">
                  <c:v>-17.51406657727712</c:v>
                </c:pt>
                <c:pt idx="323">
                  <c:v>-18.03002868127059</c:v>
                </c:pt>
                <c:pt idx="324">
                  <c:v>-18.544837271002599</c:v>
                </c:pt>
                <c:pt idx="325">
                  <c:v>-19.058426531806571</c:v>
                </c:pt>
                <c:pt idx="326">
                  <c:v>-19.570733122192923</c:v>
                </c:pt>
                <c:pt idx="327">
                  <c:v>-20.081696267211356</c:v>
                </c:pt>
                <c:pt idx="328">
                  <c:v>-20.591257847454028</c:v>
                </c:pt>
                <c:pt idx="329">
                  <c:v>-21.099362483082547</c:v>
                </c:pt>
                <c:pt idx="330">
                  <c:v>-21.605957612255629</c:v>
                </c:pt>
                <c:pt idx="331">
                  <c:v>-22.110993563342038</c:v>
                </c:pt>
                <c:pt idx="332">
                  <c:v>-22.614423620309768</c:v>
                </c:pt>
                <c:pt idx="333">
                  <c:v>-23.116204080715058</c:v>
                </c:pt>
                <c:pt idx="334">
                  <c:v>-23.616294305734073</c:v>
                </c:pt>
                <c:pt idx="335">
                  <c:v>-24.114656761736455</c:v>
                </c:pt>
                <c:pt idx="336">
                  <c:v>-24.611257052937997</c:v>
                </c:pt>
                <c:pt idx="337">
                  <c:v>-25.10606394473767</c:v>
                </c:pt>
                <c:pt idx="338">
                  <c:v>-25.599049377404679</c:v>
                </c:pt>
                <c:pt idx="339">
                  <c:v>-26.090188469858017</c:v>
                </c:pt>
                <c:pt idx="340">
                  <c:v>-26.579459513357779</c:v>
                </c:pt>
                <c:pt idx="341">
                  <c:v>-27.06684395500972</c:v>
                </c:pt>
                <c:pt idx="342">
                  <c:v>-27.552326371071242</c:v>
                </c:pt>
                <c:pt idx="343">
                  <c:v>-28.035894430131574</c:v>
                </c:pt>
                <c:pt idx="344">
                  <c:v>-28.517538846328605</c:v>
                </c:pt>
                <c:pt idx="345">
                  <c:v>-28.997253322846781</c:v>
                </c:pt>
                <c:pt idx="346">
                  <c:v>-29.47503448602658</c:v>
                </c:pt>
                <c:pt idx="347">
                  <c:v>-29.950881810489065</c:v>
                </c:pt>
                <c:pt idx="348">
                  <c:v>-30.424797535760138</c:v>
                </c:pt>
                <c:pt idx="349">
                  <c:v>-30.896786574935923</c:v>
                </c:pt>
                <c:pt idx="350">
                  <c:v>-31.366856415999035</c:v>
                </c:pt>
                <c:pt idx="351">
                  <c:v>-31.835017016439025</c:v>
                </c:pt>
                <c:pt idx="352">
                  <c:v>-32.301280691878993</c:v>
                </c:pt>
                <c:pt idx="353">
                  <c:v>-32.765661999437064</c:v>
                </c:pt>
                <c:pt idx="354">
                  <c:v>-33.228177616584148</c:v>
                </c:pt>
                <c:pt idx="355">
                  <c:v>-33.68884621626313</c:v>
                </c:pt>
                <c:pt idx="356">
                  <c:v>-34.147688339049949</c:v>
                </c:pt>
                <c:pt idx="357">
                  <c:v>-34.604726263126999</c:v>
                </c:pt>
                <c:pt idx="358">
                  <c:v>-35.059983872832319</c:v>
                </c:pt>
                <c:pt idx="359">
                  <c:v>-35.513486526522435</c:v>
                </c:pt>
                <c:pt idx="360">
                  <c:v>-35.965260924467181</c:v>
                </c:pt>
                <c:pt idx="361">
                  <c:v>-36.415334977454357</c:v>
                </c:pt>
                <c:pt idx="362">
                  <c:v>-36.863737676750915</c:v>
                </c:pt>
                <c:pt idx="363">
                  <c:v>-37.310498966015963</c:v>
                </c:pt>
                <c:pt idx="364">
                  <c:v>-37.755649615721353</c:v>
                </c:pt>
                <c:pt idx="365">
                  <c:v>-38.199221100581141</c:v>
                </c:pt>
                <c:pt idx="366">
                  <c:v>-38.641245480441533</c:v>
                </c:pt>
                <c:pt idx="367">
                  <c:v>-39.081755285028265</c:v>
                </c:pt>
                <c:pt idx="368">
                  <c:v>-39.520783402898928</c:v>
                </c:pt>
                <c:pt idx="369">
                  <c:v>-39.958362974888487</c:v>
                </c:pt>
                <c:pt idx="370">
                  <c:v>-40.394527292292814</c:v>
                </c:pt>
                <c:pt idx="371">
                  <c:v>-40.829309699975944</c:v>
                </c:pt>
                <c:pt idx="372">
                  <c:v>-41.262743504547885</c:v>
                </c:pt>
                <c:pt idx="373">
                  <c:v>-41.694861887705947</c:v>
                </c:pt>
                <c:pt idx="374">
                  <c:v>-42.125697824796305</c:v>
                </c:pt>
                <c:pt idx="375">
                  <c:v>-42.555284008609362</c:v>
                </c:pt>
                <c:pt idx="376">
                  <c:v>-42.983652778388674</c:v>
                </c:pt>
                <c:pt idx="377">
                  <c:v>-43.410836053998821</c:v>
                </c:pt>
                <c:pt idx="378">
                  <c:v>-43.83686527517041</c:v>
                </c:pt>
                <c:pt idx="379">
                  <c:v>-44.261771345711914</c:v>
                </c:pt>
                <c:pt idx="380">
                  <c:v>-44.685584582560729</c:v>
                </c:pt>
                <c:pt idx="381">
                  <c:v>-45.108334669521881</c:v>
                </c:pt>
                <c:pt idx="382">
                  <c:v>-45.53005061553079</c:v>
                </c:pt>
                <c:pt idx="383">
                  <c:v>-45.95076071726379</c:v>
                </c:pt>
                <c:pt idx="384">
                  <c:v>-46.370492525909597</c:v>
                </c:pt>
                <c:pt idx="385">
                  <c:v>-46.789272817909897</c:v>
                </c:pt>
                <c:pt idx="386">
                  <c:v>-47.207127569470927</c:v>
                </c:pt>
                <c:pt idx="387">
                  <c:v>-47.624081934650782</c:v>
                </c:pt>
                <c:pt idx="388">
                  <c:v>-48.040160226821207</c:v>
                </c:pt>
                <c:pt idx="389">
                  <c:v>-48.45538590331104</c:v>
                </c:pt>
                <c:pt idx="390">
                  <c:v>-48.869781553039303</c:v>
                </c:pt>
                <c:pt idx="391">
                  <c:v>-49.283368886953276</c:v>
                </c:pt>
                <c:pt idx="392">
                  <c:v>-49.696168731091163</c:v>
                </c:pt>
                <c:pt idx="393">
                  <c:v>-50.108201022102776</c:v>
                </c:pt>
                <c:pt idx="394">
                  <c:v>-50.51948480506308</c:v>
                </c:pt>
                <c:pt idx="395">
                  <c:v>-50.930038233431347</c:v>
                </c:pt>
                <c:pt idx="396">
                  <c:v>-51.339878571012534</c:v>
                </c:pt>
                <c:pt idx="397">
                  <c:v>-51.749022195794083</c:v>
                </c:pt>
                <c:pt idx="398">
                  <c:v>-52.157484605539473</c:v>
                </c:pt>
                <c:pt idx="399">
                  <c:v>-52.565280425032896</c:v>
                </c:pt>
                <c:pt idx="400">
                  <c:v>-52.972423414882435</c:v>
                </c:pt>
                <c:pt idx="401">
                  <c:v>-53.378926481799738</c:v>
                </c:pt>
                <c:pt idx="402">
                  <c:v>-53.784801690286869</c:v>
                </c:pt>
                <c:pt idx="403">
                  <c:v>-54.190060275673993</c:v>
                </c:pt>
                <c:pt idx="404">
                  <c:v>-54.594712658462328</c:v>
                </c:pt>
                <c:pt idx="405">
                  <c:v>-54.998768459939171</c:v>
                </c:pt>
                <c:pt idx="406">
                  <c:v>-55.402236519041566</c:v>
                </c:pt>
                <c:pt idx="407">
                  <c:v>-55.805124910458723</c:v>
                </c:pt>
                <c:pt idx="408">
                  <c:v>-56.207440963971735</c:v>
                </c:pt>
                <c:pt idx="409">
                  <c:v>-56.609191285038598</c:v>
                </c:pt>
                <c:pt idx="410">
                  <c:v>-57.010381776644145</c:v>
                </c:pt>
                <c:pt idx="411">
                  <c:v>-57.411017662439278</c:v>
                </c:pt>
                <c:pt idx="412">
                  <c:v>-57.811103511205729</c:v>
                </c:pt>
                <c:pt idx="413">
                  <c:v>-58.210643262685366</c:v>
                </c:pt>
                <c:pt idx="414">
                  <c:v>-58.609640254821322</c:v>
                </c:pt>
                <c:pt idx="415">
                  <c:v>-59.008097252461695</c:v>
                </c:pt>
                <c:pt idx="416">
                  <c:v>-59.40601647758136</c:v>
                </c:pt>
                <c:pt idx="417">
                  <c:v>-59.803399641076098</c:v>
                </c:pt>
                <c:pt idx="418">
                  <c:v>-60.200247976188038</c:v>
                </c:pt>
                <c:pt idx="419">
                  <c:v>-60.596562273617174</c:v>
                </c:pt>
                <c:pt idx="420">
                  <c:v>-60.992342918373637</c:v>
                </c:pt>
                <c:pt idx="421">
                  <c:v>-61.387589928418819</c:v>
                </c:pt>
                <c:pt idx="422">
                  <c:v>-61.782302995136611</c:v>
                </c:pt>
                <c:pt idx="423">
                  <c:v>-62.176481525671505</c:v>
                </c:pt>
                <c:pt idx="424">
                  <c:v>-62.570124687154674</c:v>
                </c:pt>
                <c:pt idx="425">
                  <c:v>-62.963231452829582</c:v>
                </c:pt>
                <c:pt idx="426">
                  <c:v>-63.355800650072908</c:v>
                </c:pt>
                <c:pt idx="427">
                  <c:v>-63.747831010288309</c:v>
                </c:pt>
                <c:pt idx="428">
                  <c:v>-64.139321220630492</c:v>
                </c:pt>
                <c:pt idx="429">
                  <c:v>-64.530269977499145</c:v>
                </c:pt>
                <c:pt idx="430">
                  <c:v>-64.920676041708617</c:v>
                </c:pt>
                <c:pt idx="431">
                  <c:v>-65.31053829522412</c:v>
                </c:pt>
                <c:pt idx="432">
                  <c:v>-65.6998557993156</c:v>
                </c:pt>
                <c:pt idx="433">
                  <c:v>-66.088627853958272</c:v>
                </c:pt>
                <c:pt idx="434">
                  <c:v>-66.476854058271158</c:v>
                </c:pt>
                <c:pt idx="435">
                  <c:v>-66.864534371752242</c:v>
                </c:pt>
                <c:pt idx="436">
                  <c:v>-67.25166917603778</c:v>
                </c:pt>
                <c:pt idx="437">
                  <c:v>-67.638259336872736</c:v>
                </c:pt>
                <c:pt idx="438">
                  <c:v>-68.024306265949107</c:v>
                </c:pt>
                <c:pt idx="439">
                  <c:v>-68.409811982230678</c:v>
                </c:pt>
                <c:pt idx="440">
                  <c:v>-68.794779172354083</c:v>
                </c:pt>
                <c:pt idx="441">
                  <c:v>-69.179211249658849</c:v>
                </c:pt>
                <c:pt idx="442">
                  <c:v>-69.563112411376494</c:v>
                </c:pt>
                <c:pt idx="443">
                  <c:v>-69.946487693479881</c:v>
                </c:pt>
                <c:pt idx="444">
                  <c:v>-70.329343022674593</c:v>
                </c:pt>
                <c:pt idx="445">
                  <c:v>-70.711685264998167</c:v>
                </c:pt>
                <c:pt idx="446">
                  <c:v>-71.093522270484101</c:v>
                </c:pt>
                <c:pt idx="447">
                  <c:v>-71.47486291334188</c:v>
                </c:pt>
                <c:pt idx="448">
                  <c:v>-71.85571712711193</c:v>
                </c:pt>
                <c:pt idx="449">
                  <c:v>-72.236095934262735</c:v>
                </c:pt>
                <c:pt idx="450">
                  <c:v>-72.616011469721755</c:v>
                </c:pt>
                <c:pt idx="451">
                  <c:v>-72.995476997856429</c:v>
                </c:pt>
                <c:pt idx="452">
                  <c:v>-73.374506922464505</c:v>
                </c:pt>
                <c:pt idx="453">
                  <c:v>-73.753116789377813</c:v>
                </c:pt>
                <c:pt idx="454">
                  <c:v>-74.131323281339192</c:v>
                </c:pt>
                <c:pt idx="455">
                  <c:v>-74.509144204880926</c:v>
                </c:pt>
                <c:pt idx="456">
                  <c:v>-74.88659846899921</c:v>
                </c:pt>
                <c:pt idx="457">
                  <c:v>-75.263706055508479</c:v>
                </c:pt>
                <c:pt idx="458">
                  <c:v>-75.640487981037268</c:v>
                </c:pt>
                <c:pt idx="459">
                  <c:v>-76.016966250722774</c:v>
                </c:pt>
                <c:pt idx="460">
                  <c:v>-76.393163803756522</c:v>
                </c:pt>
                <c:pt idx="461">
                  <c:v>-76.769104451027147</c:v>
                </c:pt>
                <c:pt idx="462">
                  <c:v>-77.144812805210151</c:v>
                </c:pt>
                <c:pt idx="463">
                  <c:v>-77.520314203740938</c:v>
                </c:pt>
                <c:pt idx="464">
                  <c:v>-77.895634625209738</c:v>
                </c:pt>
                <c:pt idx="465">
                  <c:v>-78.270800599798676</c:v>
                </c:pt>
                <c:pt idx="466">
                  <c:v>-78.645839114464664</c:v>
                </c:pt>
                <c:pt idx="467">
                  <c:v>-79.02077751364213</c:v>
                </c:pt>
                <c:pt idx="468">
                  <c:v>-79.395643396305516</c:v>
                </c:pt>
                <c:pt idx="469">
                  <c:v>-79.770464510278373</c:v>
                </c:pt>
                <c:pt idx="470">
                  <c:v>-80.145268644717831</c:v>
                </c:pt>
                <c:pt idx="471">
                  <c:v>-80.520083521725581</c:v>
                </c:pt>
                <c:pt idx="472">
                  <c:v>-80.894936688051104</c:v>
                </c:pt>
                <c:pt idx="473">
                  <c:v>-81.269855407845625</c:v>
                </c:pt>
                <c:pt idx="474">
                  <c:v>-81.644866557413906</c:v>
                </c:pt>
                <c:pt idx="475">
                  <c:v>-82.019996522873981</c:v>
                </c:pt>
                <c:pt idx="476">
                  <c:v>-82.39527110159834</c:v>
                </c:pt>
                <c:pt idx="477">
                  <c:v>-82.770715408246915</c:v>
                </c:pt>
                <c:pt idx="478">
                  <c:v>-83.146353786141532</c:v>
                </c:pt>
                <c:pt idx="479">
                  <c:v>-83.522209724653024</c:v>
                </c:pt>
                <c:pt idx="480">
                  <c:v>-83.898305783186871</c:v>
                </c:pt>
                <c:pt idx="481">
                  <c:v>-84.274663522265897</c:v>
                </c:pt>
                <c:pt idx="482">
                  <c:v>-84.651303442112777</c:v>
                </c:pt>
                <c:pt idx="483">
                  <c:v>-85.028244929036248</c:v>
                </c:pt>
                <c:pt idx="484">
                  <c:v>-85.405506209832552</c:v>
                </c:pt>
                <c:pt idx="485">
                  <c:v>-85.783104314309867</c:v>
                </c:pt>
                <c:pt idx="486">
                  <c:v>-86.161055045955791</c:v>
                </c:pt>
                <c:pt idx="487">
                  <c:v>-86.539372960674527</c:v>
                </c:pt>
                <c:pt idx="488">
                  <c:v>-86.918071353436304</c:v>
                </c:pt>
                <c:pt idx="489">
                  <c:v>-87.297162252606881</c:v>
                </c:pt>
                <c:pt idx="490">
                  <c:v>-87.676656421650137</c:v>
                </c:pt>
                <c:pt idx="491">
                  <c:v>-88.056563367838407</c:v>
                </c:pt>
                <c:pt idx="492">
                  <c:v>-88.436891357551502</c:v>
                </c:pt>
                <c:pt idx="493">
                  <c:v>-88.817647437698668</c:v>
                </c:pt>
                <c:pt idx="494">
                  <c:v>-89.198837462766704</c:v>
                </c:pt>
                <c:pt idx="495">
                  <c:v>-89.580466126968162</c:v>
                </c:pt>
                <c:pt idx="496">
                  <c:v>-89.96253700094735</c:v>
                </c:pt>
                <c:pt idx="497">
                  <c:v>-90.345052572493501</c:v>
                </c:pt>
                <c:pt idx="498">
                  <c:v>-90.72801429070654</c:v>
                </c:pt>
                <c:pt idx="499">
                  <c:v>-91.111422613070971</c:v>
                </c:pt>
                <c:pt idx="500">
                  <c:v>-91.495277054901038</c:v>
                </c:pt>
                <c:pt idx="501">
                  <c:v>-91.879576240641185</c:v>
                </c:pt>
                <c:pt idx="502">
                  <c:v>-92.264317956525559</c:v>
                </c:pt>
                <c:pt idx="503">
                  <c:v>-92.649499204131217</c:v>
                </c:pt>
                <c:pt idx="504">
                  <c:v>-93.035116254383837</c:v>
                </c:pt>
                <c:pt idx="505">
                  <c:v>-93.421164701612028</c:v>
                </c:pt>
                <c:pt idx="506">
                  <c:v>-93.807639517276925</c:v>
                </c:pt>
                <c:pt idx="507">
                  <c:v>-94.194535103040522</c:v>
                </c:pt>
                <c:pt idx="508">
                  <c:v>-94.581845342871574</c:v>
                </c:pt>
                <c:pt idx="509">
                  <c:v>-94.96956365392154</c:v>
                </c:pt>
                <c:pt idx="510">
                  <c:v>-95.357683035941307</c:v>
                </c:pt>
                <c:pt idx="511">
                  <c:v>-95.746196119039041</c:v>
                </c:pt>
                <c:pt idx="512">
                  <c:v>-96.135095209615272</c:v>
                </c:pt>
                <c:pt idx="513">
                  <c:v>-96.524372334342388</c:v>
                </c:pt>
                <c:pt idx="514">
                  <c:v>-96.914019282078726</c:v>
                </c:pt>
                <c:pt idx="515">
                  <c:v>-97.304027643645298</c:v>
                </c:pt>
                <c:pt idx="516">
                  <c:v>-97.694388849406636</c:v>
                </c:pt>
                <c:pt idx="517">
                  <c:v>-98.085094204628518</c:v>
                </c:pt>
                <c:pt idx="518">
                  <c:v>-98.476134922599869</c:v>
                </c:pt>
                <c:pt idx="519">
                  <c:v>-98.867502155528925</c:v>
                </c:pt>
                <c:pt idx="520">
                  <c:v>-99.259187023237985</c:v>
                </c:pt>
                <c:pt idx="521">
                  <c:v>-99.65118063969301</c:v>
                </c:pt>
                <c:pt idx="522">
                  <c:v>-100.04347413742109</c:v>
                </c:pt>
                <c:pt idx="523">
                  <c:v>-100.43605868987483</c:v>
                </c:pt>
                <c:pt idx="524">
                  <c:v>-100.82892553181526</c:v>
                </c:pt>
                <c:pt idx="525">
                  <c:v>-101.22206597778521</c:v>
                </c:pt>
                <c:pt idx="526">
                  <c:v>-101.61547143875934</c:v>
                </c:pt>
                <c:pt idx="527">
                  <c:v>-102.00913343705288</c:v>
                </c:pt>
                <c:pt idx="528">
                  <c:v>-102.40304361957911</c:v>
                </c:pt>
                <c:pt idx="529">
                  <c:v>-102.79719376954486</c:v>
                </c:pt>
                <c:pt idx="530">
                  <c:v>-103.19157581667525</c:v>
                </c:pt>
                <c:pt idx="531">
                  <c:v>-103.58618184605744</c:v>
                </c:pt>
                <c:pt idx="532">
                  <c:v>-103.9810041056932</c:v>
                </c:pt>
                <c:pt idx="533">
                  <c:v>-104.37603501284947</c:v>
                </c:pt>
                <c:pt idx="534">
                  <c:v>-104.77126715929222</c:v>
                </c:pt>
                <c:pt idx="535">
                  <c:v>-105.16669331548684</c:v>
                </c:pt>
                <c:pt idx="536">
                  <c:v>-105.56230643384636</c:v>
                </c:pt>
                <c:pt idx="537">
                  <c:v>-105.95809965110683</c:v>
                </c:pt>
                <c:pt idx="538">
                  <c:v>-106.35406628990084</c:v>
                </c:pt>
                <c:pt idx="539">
                  <c:v>-106.7501998596029</c:v>
                </c:pt>
                <c:pt idx="540">
                  <c:v>-107.14649405651394</c:v>
                </c:pt>
                <c:pt idx="541">
                  <c:v>-107.54294276344663</c:v>
                </c:pt>
              </c:numCache>
            </c:numRef>
          </c:yVal>
          <c:smooth val="1"/>
          <c:extLst>
            <c:ext xmlns:c16="http://schemas.microsoft.com/office/drawing/2014/chart" uri="{C3380CC4-5D6E-409C-BE32-E72D297353CC}">
              <c16:uniqueId val="{00000000-1798-4659-8C8F-5766C9E652D3}"/>
            </c:ext>
          </c:extLst>
        </c:ser>
        <c:ser>
          <c:idx val="2"/>
          <c:order val="2"/>
          <c:tx>
            <c:v>f_LP</c:v>
          </c:tx>
          <c:spPr>
            <a:ln w="38100" cmpd="sng"/>
          </c:spPr>
          <c:marker>
            <c:symbol val="x"/>
            <c:size val="7"/>
            <c:spPr>
              <a:noFill/>
            </c:spPr>
          </c:marker>
          <c:dPt>
            <c:idx val="0"/>
            <c:marker>
              <c:spPr>
                <a:noFill/>
                <a:ln w="19050">
                  <a:solidFill>
                    <a:schemeClr val="tx1"/>
                  </a:solidFill>
                </a:ln>
              </c:spPr>
            </c:marker>
            <c:bubble3D val="0"/>
            <c:extLst>
              <c:ext xmlns:c16="http://schemas.microsoft.com/office/drawing/2014/chart" uri="{C3380CC4-5D6E-409C-BE32-E72D297353CC}">
                <c16:uniqueId val="{00000001-1798-4659-8C8F-5766C9E652D3}"/>
              </c:ext>
            </c:extLst>
          </c:dPt>
          <c:dLbls>
            <c:dLbl>
              <c:idx val="0"/>
              <c:tx>
                <c:rich>
                  <a:bodyPr/>
                  <a:lstStyle/>
                  <a:p>
                    <a:r>
                      <a:rPr lang="en-US" sz="1100" b="1"/>
                      <a:t>f</a:t>
                    </a:r>
                    <a:r>
                      <a:rPr lang="en-US" sz="1100" b="1" baseline="-25000"/>
                      <a:t>LP</a:t>
                    </a:r>
                    <a:endParaRPr lang="en-US" b="1" baseline="-25000"/>
                  </a:p>
                </c:rich>
              </c:tx>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1798-4659-8C8F-5766C9E652D3}"/>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CCM_Loop_Modeling_non_isolated!$O$11</c:f>
              <c:numCache>
                <c:formatCode>0</c:formatCode>
                <c:ptCount val="1"/>
                <c:pt idx="0">
                  <c:v>8.2986857634056488</c:v>
                </c:pt>
              </c:numCache>
            </c:numRef>
          </c:xVal>
          <c:yVal>
            <c:numRef>
              <c:f>CCM_Loop_Modeling_non_isolated!$AT$11</c:f>
              <c:numCache>
                <c:formatCode>0.000</c:formatCode>
                <c:ptCount val="1"/>
                <c:pt idx="0">
                  <c:v>104.6946273708876</c:v>
                </c:pt>
              </c:numCache>
            </c:numRef>
          </c:yVal>
          <c:smooth val="0"/>
          <c:extLst>
            <c:ext xmlns:c16="http://schemas.microsoft.com/office/drawing/2014/chart" uri="{C3380CC4-5D6E-409C-BE32-E72D297353CC}">
              <c16:uniqueId val="{00000002-1798-4659-8C8F-5766C9E652D3}"/>
            </c:ext>
          </c:extLst>
        </c:ser>
        <c:ser>
          <c:idx val="3"/>
          <c:order val="3"/>
          <c:tx>
            <c:v>fz_rhp</c:v>
          </c:tx>
          <c:spPr>
            <a:ln>
              <a:solidFill>
                <a:schemeClr val="tx1"/>
              </a:solidFill>
            </a:ln>
          </c:spPr>
          <c:marker>
            <c:symbol val="circle"/>
            <c:size val="7"/>
            <c:spPr>
              <a:noFill/>
              <a:ln w="19050">
                <a:solidFill>
                  <a:schemeClr val="tx1"/>
                </a:solidFill>
              </a:ln>
            </c:spPr>
          </c:marker>
          <c:dLbls>
            <c:dLbl>
              <c:idx val="0"/>
              <c:layout>
                <c:manualLayout>
                  <c:x val="8.0501209561423519E-3"/>
                  <c:y val="-1.549366727850418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1798-4659-8C8F-5766C9E652D3}"/>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CCM_Loop_Modeling_non_isolated!$O$9</c:f>
              <c:numCache>
                <c:formatCode>0</c:formatCode>
                <c:ptCount val="1"/>
                <c:pt idx="0">
                  <c:v>25255.893088990939</c:v>
                </c:pt>
              </c:numCache>
            </c:numRef>
          </c:xVal>
          <c:yVal>
            <c:numRef>
              <c:f>CCM_Loop_Modeling_non_isolated!$AT$9</c:f>
              <c:numCache>
                <c:formatCode>0.000</c:formatCode>
                <c:ptCount val="1"/>
                <c:pt idx="0">
                  <c:v>-26.205959314488698</c:v>
                </c:pt>
              </c:numCache>
            </c:numRef>
          </c:yVal>
          <c:smooth val="1"/>
          <c:extLst>
            <c:ext xmlns:c16="http://schemas.microsoft.com/office/drawing/2014/chart" uri="{C3380CC4-5D6E-409C-BE32-E72D297353CC}">
              <c16:uniqueId val="{00000004-1798-4659-8C8F-5766C9E652D3}"/>
            </c:ext>
          </c:extLst>
        </c:ser>
        <c:ser>
          <c:idx val="4"/>
          <c:order val="4"/>
          <c:tx>
            <c:v>f_esr</c:v>
          </c:tx>
          <c:spPr>
            <a:ln>
              <a:noFill/>
            </a:ln>
          </c:spPr>
          <c:marker>
            <c:symbol val="circle"/>
            <c:size val="5"/>
            <c:spPr>
              <a:noFill/>
              <a:ln w="19050">
                <a:solidFill>
                  <a:schemeClr val="tx1"/>
                </a:solidFill>
              </a:ln>
            </c:spPr>
          </c:marker>
          <c:dPt>
            <c:idx val="0"/>
            <c:marker>
              <c:symbol val="circle"/>
              <c:size val="7"/>
            </c:marker>
            <c:bubble3D val="0"/>
            <c:extLst>
              <c:ext xmlns:c16="http://schemas.microsoft.com/office/drawing/2014/chart" uri="{C3380CC4-5D6E-409C-BE32-E72D297353CC}">
                <c16:uniqueId val="{00000005-1798-4659-8C8F-5766C9E652D3}"/>
              </c:ext>
            </c:extLst>
          </c:dPt>
          <c:dLbls>
            <c:dLbl>
              <c:idx val="0"/>
              <c:layout>
                <c:manualLayout>
                  <c:x val="-5.990474489899654E-2"/>
                  <c:y val="-1.245719349008710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1798-4659-8C8F-5766C9E652D3}"/>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CCM_Loop_Modeling_non_isolated!$O$10</c:f>
              <c:numCache>
                <c:formatCode>0</c:formatCode>
                <c:ptCount val="1"/>
                <c:pt idx="0">
                  <c:v>438574.84528380865</c:v>
                </c:pt>
              </c:numCache>
            </c:numRef>
          </c:xVal>
          <c:yVal>
            <c:numRef>
              <c:f>CCM_Loop_Modeling_non_isolated!$AT$10</c:f>
              <c:numCache>
                <c:formatCode>0.000</c:formatCode>
                <c:ptCount val="1"/>
                <c:pt idx="0">
                  <c:v>-77.59703300082559</c:v>
                </c:pt>
              </c:numCache>
            </c:numRef>
          </c:yVal>
          <c:smooth val="1"/>
          <c:extLst>
            <c:ext xmlns:c16="http://schemas.microsoft.com/office/drawing/2014/chart" uri="{C3380CC4-5D6E-409C-BE32-E72D297353CC}">
              <c16:uniqueId val="{00000006-1798-4659-8C8F-5766C9E652D3}"/>
            </c:ext>
          </c:extLst>
        </c:ser>
        <c:ser>
          <c:idx val="5"/>
          <c:order val="5"/>
          <c:tx>
            <c:v>fz_ea</c:v>
          </c:tx>
          <c:marker>
            <c:symbol val="circle"/>
            <c:size val="8"/>
            <c:spPr>
              <a:noFill/>
              <a:ln w="25400">
                <a:solidFill>
                  <a:srgbClr val="00B0F0"/>
                </a:solidFill>
              </a:ln>
            </c:spPr>
          </c:marker>
          <c:dLbls>
            <c:dLbl>
              <c:idx val="0"/>
              <c:spPr/>
              <c:txPr>
                <a:bodyPr/>
                <a:lstStyle/>
                <a:p>
                  <a:pPr>
                    <a:defRPr b="1"/>
                  </a:pPr>
                  <a:endParaRPr lang="en-US"/>
                </a:p>
              </c:txPr>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1798-4659-8C8F-5766C9E652D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CCM_Loop_Modeling_non_isolated!$O$12</c:f>
              <c:numCache>
                <c:formatCode>General</c:formatCode>
                <c:ptCount val="1"/>
                <c:pt idx="0">
                  <c:v>340.07466472627209</c:v>
                </c:pt>
              </c:numCache>
            </c:numRef>
          </c:xVal>
          <c:yVal>
            <c:numRef>
              <c:f>CCM_Loop_Modeling_non_isolated!$AT$12</c:f>
              <c:numCache>
                <c:formatCode>0.000</c:formatCode>
                <c:ptCount val="1"/>
                <c:pt idx="0">
                  <c:v>46.086444250152198</c:v>
                </c:pt>
              </c:numCache>
            </c:numRef>
          </c:yVal>
          <c:smooth val="1"/>
          <c:extLst>
            <c:ext xmlns:c16="http://schemas.microsoft.com/office/drawing/2014/chart" uri="{C3380CC4-5D6E-409C-BE32-E72D297353CC}">
              <c16:uniqueId val="{00000008-1798-4659-8C8F-5766C9E652D3}"/>
            </c:ext>
          </c:extLst>
        </c:ser>
        <c:ser>
          <c:idx val="6"/>
          <c:order val="6"/>
          <c:tx>
            <c:v>fp_ea</c:v>
          </c:tx>
          <c:marker>
            <c:symbol val="x"/>
            <c:size val="7"/>
            <c:spPr>
              <a:noFill/>
              <a:ln w="25400">
                <a:solidFill>
                  <a:srgbClr val="00B0F0"/>
                </a:solidFill>
              </a:ln>
            </c:spPr>
          </c:marker>
          <c:dLbls>
            <c:dLbl>
              <c:idx val="0"/>
              <c:layout>
                <c:manualLayout>
                  <c:x val="-5.3995739911983948E-2"/>
                  <c:y val="3.3712510009006609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1798-4659-8C8F-5766C9E652D3}"/>
                </c:ext>
              </c:extLst>
            </c:dLbl>
            <c:spPr>
              <a:noFill/>
              <a:ln>
                <a:noFill/>
              </a:ln>
              <a:effectLst/>
            </c:spPr>
            <c:txPr>
              <a:bodyPr/>
              <a:lstStyle/>
              <a:p>
                <a:pPr>
                  <a:defRPr b="1"/>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CCM_Loop_Modeling_non_isolated!$O$13</c:f>
              <c:numCache>
                <c:formatCode>General</c:formatCode>
                <c:ptCount val="1"/>
                <c:pt idx="0">
                  <c:v>2182.1457653269126</c:v>
                </c:pt>
              </c:numCache>
            </c:numRef>
          </c:xVal>
          <c:yVal>
            <c:numRef>
              <c:f>CCM_Loop_Modeling_non_isolated!$AT$13</c:f>
              <c:numCache>
                <c:formatCode>0.000</c:formatCode>
                <c:ptCount val="1"/>
                <c:pt idx="0">
                  <c:v>23.506371317006757</c:v>
                </c:pt>
              </c:numCache>
            </c:numRef>
          </c:yVal>
          <c:smooth val="1"/>
          <c:extLst>
            <c:ext xmlns:c16="http://schemas.microsoft.com/office/drawing/2014/chart" uri="{C3380CC4-5D6E-409C-BE32-E72D297353CC}">
              <c16:uniqueId val="{0000000A-1798-4659-8C8F-5766C9E652D3}"/>
            </c:ext>
          </c:extLst>
        </c:ser>
        <c:dLbls>
          <c:showLegendKey val="0"/>
          <c:showVal val="0"/>
          <c:showCatName val="0"/>
          <c:showSerName val="0"/>
          <c:showPercent val="0"/>
          <c:showBubbleSize val="0"/>
        </c:dLbls>
        <c:axId val="589245056"/>
        <c:axId val="589259520"/>
      </c:scatterChart>
      <c:scatterChart>
        <c:scatterStyle val="smoothMarker"/>
        <c:varyColors val="0"/>
        <c:ser>
          <c:idx val="1"/>
          <c:order val="1"/>
          <c:tx>
            <c:v>Phase (deg)</c:v>
          </c:tx>
          <c:spPr>
            <a:ln w="28575">
              <a:solidFill>
                <a:schemeClr val="tx1">
                  <a:lumMod val="95000"/>
                  <a:lumOff val="5000"/>
                </a:schemeClr>
              </a:solidFill>
              <a:prstDash val="sysDash"/>
            </a:ln>
          </c:spPr>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CCM_Loop_Modeling_non_isolated!$AU$19:$AU$560</c:f>
              <c:numCache>
                <c:formatCode>General</c:formatCode>
                <c:ptCount val="542"/>
                <c:pt idx="0">
                  <c:v>40.363200431129783</c:v>
                </c:pt>
                <c:pt idx="1">
                  <c:v>39.750128228286663</c:v>
                </c:pt>
                <c:pt idx="2">
                  <c:v>39.141148114308862</c:v>
                </c:pt>
                <c:pt idx="3">
                  <c:v>38.536577209563816</c:v>
                </c:pt>
                <c:pt idx="4">
                  <c:v>37.936723999313124</c:v>
                </c:pt>
                <c:pt idx="5">
                  <c:v>37.341887768503561</c:v>
                </c:pt>
                <c:pt idx="6">
                  <c:v>36.75235809055318</c:v>
                </c:pt>
                <c:pt idx="7">
                  <c:v>36.168414371672419</c:v>
                </c:pt>
                <c:pt idx="8">
                  <c:v>35.590325451726422</c:v>
                </c:pt>
                <c:pt idx="9">
                  <c:v>35.018349262129888</c:v>
                </c:pt>
                <c:pt idx="10">
                  <c:v>34.452732540757403</c:v>
                </c:pt>
                <c:pt idx="11">
                  <c:v>33.893710603398191</c:v>
                </c:pt>
                <c:pt idx="12">
                  <c:v>33.341507170813834</c:v>
                </c:pt>
                <c:pt idx="13">
                  <c:v>32.79633425006967</c:v>
                </c:pt>
                <c:pt idx="14">
                  <c:v>32.258392068425948</c:v>
                </c:pt>
                <c:pt idx="15">
                  <c:v>31.727869057749118</c:v>
                </c:pt>
                <c:pt idx="16">
                  <c:v>31.204941887112781</c:v>
                </c:pt>
                <c:pt idx="17">
                  <c:v>30.689775541014548</c:v>
                </c:pt>
                <c:pt idx="18">
                  <c:v>30.182523440428092</c:v>
                </c:pt>
                <c:pt idx="19">
                  <c:v>29.683327603757792</c:v>
                </c:pt>
                <c:pt idx="20">
                  <c:v>29.192318844637342</c:v>
                </c:pt>
                <c:pt idx="21">
                  <c:v>28.709617003439586</c:v>
                </c:pt>
                <c:pt idx="22">
                  <c:v>28.235331209325448</c:v>
                </c:pt>
                <c:pt idx="23">
                  <c:v>27.769560169641885</c:v>
                </c:pt>
                <c:pt idx="24">
                  <c:v>27.312392483524555</c:v>
                </c:pt>
                <c:pt idx="25">
                  <c:v>26.86390697658501</c:v>
                </c:pt>
                <c:pt idx="26">
                  <c:v>26.424173053671282</c:v>
                </c:pt>
                <c:pt idx="27">
                  <c:v>25.993251066763463</c:v>
                </c:pt>
                <c:pt idx="28">
                  <c:v>25.571192695203155</c:v>
                </c:pt>
                <c:pt idx="29">
                  <c:v>25.158041335576574</c:v>
                </c:pt>
                <c:pt idx="30">
                  <c:v>24.753832498727025</c:v>
                </c:pt>
                <c:pt idx="31">
                  <c:v>24.358594211513729</c:v>
                </c:pt>
                <c:pt idx="32">
                  <c:v>23.97234742111111</c:v>
                </c:pt>
                <c:pt idx="33">
                  <c:v>23.595106399790978</c:v>
                </c:pt>
                <c:pt idx="34">
                  <c:v>23.226879148310353</c:v>
                </c:pt>
                <c:pt idx="35">
                  <c:v>22.867667796182772</c:v>
                </c:pt>
                <c:pt idx="36">
                  <c:v>22.517468997282592</c:v>
                </c:pt>
                <c:pt idx="37">
                  <c:v>22.176274319385996</c:v>
                </c:pt>
                <c:pt idx="38">
                  <c:v>21.844070626411568</c:v>
                </c:pt>
                <c:pt idx="39">
                  <c:v>21.520840452268928</c:v>
                </c:pt>
                <c:pt idx="40">
                  <c:v>21.206562365366967</c:v>
                </c:pt>
                <c:pt idx="41">
                  <c:v>20.901211322966965</c:v>
                </c:pt>
                <c:pt idx="42">
                  <c:v>20.604759014690295</c:v>
                </c:pt>
                <c:pt idx="43">
                  <c:v>20.317174194612399</c:v>
                </c:pt>
                <c:pt idx="44">
                  <c:v>20.03842300147317</c:v>
                </c:pt>
                <c:pt idx="45">
                  <c:v>19.768469266645493</c:v>
                </c:pt>
                <c:pt idx="46">
                  <c:v>19.507274809584878</c:v>
                </c:pt>
                <c:pt idx="47">
                  <c:v>19.254799720570642</c:v>
                </c:pt>
                <c:pt idx="48">
                  <c:v>19.011002630618869</c:v>
                </c:pt>
                <c:pt idx="49">
                  <c:v>18.775840968517961</c:v>
                </c:pt>
                <c:pt idx="50">
                  <c:v>18.549271204987757</c:v>
                </c:pt>
                <c:pt idx="51">
                  <c:v>18.331249084021689</c:v>
                </c:pt>
                <c:pt idx="52">
                  <c:v>18.121729841507772</c:v>
                </c:pt>
                <c:pt idx="53">
                  <c:v>17.920668411262763</c:v>
                </c:pt>
                <c:pt idx="54">
                  <c:v>17.728019618647277</c:v>
                </c:pt>
                <c:pt idx="55">
                  <c:v>17.54373836194565</c:v>
                </c:pt>
                <c:pt idx="56">
                  <c:v>17.367779781723456</c:v>
                </c:pt>
                <c:pt idx="57">
                  <c:v>17.200099418379171</c:v>
                </c:pt>
                <c:pt idx="58">
                  <c:v>17.040653358124608</c:v>
                </c:pt>
                <c:pt idx="59">
                  <c:v>16.889398367627628</c:v>
                </c:pt>
                <c:pt idx="60">
                  <c:v>16.746292017551902</c:v>
                </c:pt>
                <c:pt idx="61">
                  <c:v>16.611292795232949</c:v>
                </c:pt>
                <c:pt idx="62">
                  <c:v>16.484360206714097</c:v>
                </c:pt>
                <c:pt idx="63">
                  <c:v>16.365454868366356</c:v>
                </c:pt>
                <c:pt idx="64">
                  <c:v>16.254538588299713</c:v>
                </c:pt>
                <c:pt idx="65">
                  <c:v>16.151574437764545</c:v>
                </c:pt>
                <c:pt idx="66">
                  <c:v>16.056526812723593</c:v>
                </c:pt>
                <c:pt idx="67">
                  <c:v>15.969361485760261</c:v>
                </c:pt>
                <c:pt idx="68">
                  <c:v>15.890045648469675</c:v>
                </c:pt>
                <c:pt idx="69">
                  <c:v>15.818547944461335</c:v>
                </c:pt>
                <c:pt idx="70">
                  <c:v>15.754838493078694</c:v>
                </c:pt>
                <c:pt idx="71">
                  <c:v>15.698888903924379</c:v>
                </c:pt>
                <c:pt idx="72">
                  <c:v>15.650672282251069</c:v>
                </c:pt>
                <c:pt idx="73">
                  <c:v>15.610163225263531</c:v>
                </c:pt>
                <c:pt idx="74">
                  <c:v>15.577337809347416</c:v>
                </c:pt>
                <c:pt idx="75">
                  <c:v>15.552173568222383</c:v>
                </c:pt>
                <c:pt idx="76">
                  <c:v>15.534649461991638</c:v>
                </c:pt>
                <c:pt idx="77">
                  <c:v>15.524745837037404</c:v>
                </c:pt>
                <c:pt idx="78">
                  <c:v>15.5224443766903</c:v>
                </c:pt>
                <c:pt idx="79">
                  <c:v>15.527728042578778</c:v>
                </c:pt>
                <c:pt idx="80">
                  <c:v>15.540581006541203</c:v>
                </c:pt>
                <c:pt idx="81">
                  <c:v>15.560988572966567</c:v>
                </c:pt>
                <c:pt idx="82">
                  <c:v>15.588937091405517</c:v>
                </c:pt>
                <c:pt idx="83">
                  <c:v>15.624413859281507</c:v>
                </c:pt>
                <c:pt idx="84">
                  <c:v>15.667407014508608</c:v>
                </c:pt>
                <c:pt idx="85">
                  <c:v>15.717905417812606</c:v>
                </c:pt>
                <c:pt idx="86">
                  <c:v>15.775898524536565</c:v>
                </c:pt>
                <c:pt idx="87">
                  <c:v>15.841376245702426</c:v>
                </c:pt>
                <c:pt idx="88">
                  <c:v>15.914328798090979</c:v>
                </c:pt>
                <c:pt idx="89">
                  <c:v>15.994746543097333</c:v>
                </c:pt>
                <c:pt idx="90">
                  <c:v>16.082619814118477</c:v>
                </c:pt>
                <c:pt idx="91">
                  <c:v>16.17793873222724</c:v>
                </c:pt>
                <c:pt idx="92">
                  <c:v>16.280693009895792</c:v>
                </c:pt>
                <c:pt idx="93">
                  <c:v>16.390871742538</c:v>
                </c:pt>
                <c:pt idx="94">
                  <c:v>16.508463187655181</c:v>
                </c:pt>
                <c:pt idx="95">
                  <c:v>16.633454531389205</c:v>
                </c:pt>
                <c:pt idx="96">
                  <c:v>16.765831642309344</c:v>
                </c:pt>
                <c:pt idx="97">
                  <c:v>16.905578812290862</c:v>
                </c:pt>
                <c:pt idx="98">
                  <c:v>17.052678484380063</c:v>
                </c:pt>
                <c:pt idx="99">
                  <c:v>17.20711096758091</c:v>
                </c:pt>
                <c:pt idx="100">
                  <c:v>17.368854138552887</c:v>
                </c:pt>
                <c:pt idx="101">
                  <c:v>17.537883130262891</c:v>
                </c:pt>
                <c:pt idx="102">
                  <c:v>17.714170007703746</c:v>
                </c:pt>
                <c:pt idx="103">
                  <c:v>17.897683430861743</c:v>
                </c:pt>
                <c:pt idx="104">
                  <c:v>18.088388305202116</c:v>
                </c:pt>
                <c:pt idx="105">
                  <c:v>18.286245420027903</c:v>
                </c:pt>
                <c:pt idx="106">
                  <c:v>18.49121107517351</c:v>
                </c:pt>
                <c:pt idx="107">
                  <c:v>18.703236696593375</c:v>
                </c:pt>
                <c:pt idx="108">
                  <c:v>18.922268441537547</c:v>
                </c:pt>
                <c:pt idx="109">
                  <c:v>19.148246794117838</c:v>
                </c:pt>
                <c:pt idx="110">
                  <c:v>19.381106152213942</c:v>
                </c:pt>
                <c:pt idx="111">
                  <c:v>19.62077440680455</c:v>
                </c:pt>
                <c:pt idx="112">
                  <c:v>19.86717251496129</c:v>
                </c:pt>
                <c:pt idx="113">
                  <c:v>20.120214067900331</c:v>
                </c:pt>
                <c:pt idx="114">
                  <c:v>20.379804855643563</c:v>
                </c:pt>
                <c:pt idx="115">
                  <c:v>20.645842430009797</c:v>
                </c:pt>
                <c:pt idx="116">
                  <c:v>20.918215667824267</c:v>
                </c:pt>
                <c:pt idx="117">
                  <c:v>21.196804336401524</c:v>
                </c:pt>
                <c:pt idx="118">
                  <c:v>21.48147866352317</c:v>
                </c:pt>
                <c:pt idx="119">
                  <c:v>21.772098914298684</c:v>
                </c:pt>
                <c:pt idx="120">
                  <c:v>22.068514977451088</c:v>
                </c:pt>
                <c:pt idx="121">
                  <c:v>22.370565963719873</c:v>
                </c:pt>
                <c:pt idx="122">
                  <c:v>22.678079819210073</c:v>
                </c:pt>
                <c:pt idx="123">
                  <c:v>22.990872956638665</c:v>
                </c:pt>
                <c:pt idx="124">
                  <c:v>23.308749907531787</c:v>
                </c:pt>
                <c:pt idx="125">
                  <c:v>23.631502998511454</c:v>
                </c:pt>
                <c:pt idx="126">
                  <c:v>23.958912054868346</c:v>
                </c:pt>
                <c:pt idx="127">
                  <c:v>24.290744134642992</c:v>
                </c:pt>
                <c:pt idx="128">
                  <c:v>24.626753296443269</c:v>
                </c:pt>
                <c:pt idx="129">
                  <c:v>24.966680404189169</c:v>
                </c:pt>
                <c:pt idx="130">
                  <c:v>25.310252971896777</c:v>
                </c:pt>
                <c:pt idx="131">
                  <c:v>25.657185051515871</c:v>
                </c:pt>
                <c:pt idx="132">
                  <c:v>26.007177166670676</c:v>
                </c:pt>
                <c:pt idx="133">
                  <c:v>26.359916294969747</c:v>
                </c:pt>
                <c:pt idx="134">
                  <c:v>26.715075901300931</c:v>
                </c:pt>
                <c:pt idx="135">
                  <c:v>27.072316024264971</c:v>
                </c:pt>
                <c:pt idx="136">
                  <c:v>27.431283417559801</c:v>
                </c:pt>
                <c:pt idx="137">
                  <c:v>27.791611747779587</c:v>
                </c:pt>
                <c:pt idx="138">
                  <c:v>28.152921849683686</c:v>
                </c:pt>
                <c:pt idx="139">
                  <c:v>28.514822039560531</c:v>
                </c:pt>
                <c:pt idx="140">
                  <c:v>28.876908486843032</c:v>
                </c:pt>
                <c:pt idx="141">
                  <c:v>29.238765643644108</c:v>
                </c:pt>
                <c:pt idx="142">
                  <c:v>29.599966731375282</c:v>
                </c:pt>
                <c:pt idx="143">
                  <c:v>29.960074283084023</c:v>
                </c:pt>
                <c:pt idx="144">
                  <c:v>30.318640739632361</c:v>
                </c:pt>
                <c:pt idx="145">
                  <c:v>30.675209097306826</c:v>
                </c:pt>
                <c:pt idx="146">
                  <c:v>31.029313603947333</c:v>
                </c:pt>
                <c:pt idx="147">
                  <c:v>31.380480500196118</c:v>
                </c:pt>
                <c:pt idx="148">
                  <c:v>31.728228802000924</c:v>
                </c:pt>
                <c:pt idx="149">
                  <c:v>32.072071120087372</c:v>
                </c:pt>
                <c:pt idx="150">
                  <c:v>32.411514511737295</c:v>
                </c:pt>
                <c:pt idx="151">
                  <c:v>32.746061359882852</c:v>
                </c:pt>
                <c:pt idx="152">
                  <c:v>33.075210274248121</c:v>
                </c:pt>
                <c:pt idx="153">
                  <c:v>33.398457009081284</c:v>
                </c:pt>
                <c:pt idx="154">
                  <c:v>33.71529539185925</c:v>
                </c:pt>
                <c:pt idx="155">
                  <c:v>34.025218257297091</c:v>
                </c:pt>
                <c:pt idx="156">
                  <c:v>34.327718380978233</c:v>
                </c:pt>
                <c:pt idx="157">
                  <c:v>34.622289407014541</c:v>
                </c:pt>
                <c:pt idx="158">
                  <c:v>34.908426764271425</c:v>
                </c:pt>
                <c:pt idx="159">
                  <c:v>35.185628565915636</c:v>
                </c:pt>
                <c:pt idx="160">
                  <c:v>35.453396487318315</c:v>
                </c:pt>
                <c:pt idx="161">
                  <c:v>35.711236617677628</c:v>
                </c:pt>
                <c:pt idx="162">
                  <c:v>35.958660281110767</c:v>
                </c:pt>
                <c:pt idx="163">
                  <c:v>36.195184823408276</c:v>
                </c:pt>
                <c:pt idx="164">
                  <c:v>36.420334361101929</c:v>
                </c:pt>
                <c:pt idx="165">
                  <c:v>36.63364049000814</c:v>
                </c:pt>
                <c:pt idx="166">
                  <c:v>36.834642950926309</c:v>
                </c:pt>
                <c:pt idx="167">
                  <c:v>37.022890250709466</c:v>
                </c:pt>
                <c:pt idx="168">
                  <c:v>37.197940237458255</c:v>
                </c:pt>
                <c:pt idx="169">
                  <c:v>37.359360629132084</c:v>
                </c:pt>
                <c:pt idx="170">
                  <c:v>37.506729495386118</c:v>
                </c:pt>
                <c:pt idx="171">
                  <c:v>37.6396356929503</c:v>
                </c:pt>
                <c:pt idx="172">
                  <c:v>37.757679255338502</c:v>
                </c:pt>
                <c:pt idx="173">
                  <c:v>37.860471738130364</c:v>
                </c:pt>
                <c:pt idx="174">
                  <c:v>37.947636521459756</c:v>
                </c:pt>
                <c:pt idx="175">
                  <c:v>38.018809071728157</c:v>
                </c:pt>
                <c:pt idx="176">
                  <c:v>38.073637164869687</c:v>
                </c:pt>
                <c:pt idx="177">
                  <c:v>38.111781073773024</c:v>
                </c:pt>
                <c:pt idx="178">
                  <c:v>38.132913722696387</c:v>
                </c:pt>
                <c:pt idx="179">
                  <c:v>38.136720811680725</c:v>
                </c:pt>
                <c:pt idx="180">
                  <c:v>38.122900914102253</c:v>
                </c:pt>
                <c:pt idx="181">
                  <c:v>38.091165550580072</c:v>
                </c:pt>
                <c:pt idx="182">
                  <c:v>38.041239242489176</c:v>
                </c:pt>
                <c:pt idx="183">
                  <c:v>37.972859548316464</c:v>
                </c:pt>
                <c:pt idx="184">
                  <c:v>37.885777086042495</c:v>
                </c:pt>
                <c:pt idx="185">
                  <c:v>37.779755544635172</c:v>
                </c:pt>
                <c:pt idx="186">
                  <c:v>37.65457168760814</c:v>
                </c:pt>
                <c:pt idx="187">
                  <c:v>37.510015351431726</c:v>
                </c:pt>
                <c:pt idx="188">
                  <c:v>37.345889441383065</c:v>
                </c:pt>
                <c:pt idx="189">
                  <c:v>37.162009927196443</c:v>
                </c:pt>
                <c:pt idx="190">
                  <c:v>36.958205840629773</c:v>
                </c:pt>
                <c:pt idx="191">
                  <c:v>36.734319276783168</c:v>
                </c:pt>
                <c:pt idx="192">
                  <c:v>36.490205400728662</c:v>
                </c:pt>
                <c:pt idx="193">
                  <c:v>36.225732460699533</c:v>
                </c:pt>
                <c:pt idx="194">
                  <c:v>35.940781808780017</c:v>
                </c:pt>
                <c:pt idx="195">
                  <c:v>35.635247929717892</c:v>
                </c:pt>
                <c:pt idx="196">
                  <c:v>35.309038478157149</c:v>
                </c:pt>
                <c:pt idx="197">
                  <c:v>34.962074324267462</c:v>
                </c:pt>
                <c:pt idx="198">
                  <c:v>34.594289607425999</c:v>
                </c:pt>
                <c:pt idx="199">
                  <c:v>34.205631797295744</c:v>
                </c:pt>
                <c:pt idx="200">
                  <c:v>33.796061761338287</c:v>
                </c:pt>
                <c:pt idx="201">
                  <c:v>33.365553837512373</c:v>
                </c:pt>
                <c:pt idx="202">
                  <c:v>32.914095910628994</c:v>
                </c:pt>
                <c:pt idx="203">
                  <c:v>32.441689490590356</c:v>
                </c:pt>
                <c:pt idx="204">
                  <c:v>31.948349790494362</c:v>
                </c:pt>
                <c:pt idx="205">
                  <c:v>31.434105802394381</c:v>
                </c:pt>
                <c:pt idx="206">
                  <c:v>30.899000368319449</c:v>
                </c:pt>
                <c:pt idx="207">
                  <c:v>30.343090244023784</c:v>
                </c:pt>
                <c:pt idx="208">
                  <c:v>29.76644615281749</c:v>
                </c:pt>
                <c:pt idx="209">
                  <c:v>29.169152826771352</c:v>
                </c:pt>
                <c:pt idx="210">
                  <c:v>28.551309032550837</c:v>
                </c:pt>
                <c:pt idx="211">
                  <c:v>27.913027579149645</c:v>
                </c:pt>
                <c:pt idx="212">
                  <c:v>27.254435304850311</c:v>
                </c:pt>
                <c:pt idx="213">
                  <c:v>26.57567304084019</c:v>
                </c:pt>
                <c:pt idx="214">
                  <c:v>25.876895549054836</c:v>
                </c:pt>
                <c:pt idx="215">
                  <c:v>25.158271432016857</c:v>
                </c:pt>
                <c:pt idx="216">
                  <c:v>24.419983012665394</c:v>
                </c:pt>
                <c:pt idx="217">
                  <c:v>23.662226182455715</c:v>
                </c:pt>
                <c:pt idx="218">
                  <c:v>22.88521021631507</c:v>
                </c:pt>
                <c:pt idx="219">
                  <c:v>22.089157553399449</c:v>
                </c:pt>
                <c:pt idx="220">
                  <c:v>21.274303542970031</c:v>
                </c:pt>
                <c:pt idx="221">
                  <c:v>20.440896155118271</c:v>
                </c:pt>
                <c:pt idx="222">
                  <c:v>19.589195656493061</c:v>
                </c:pt>
                <c:pt idx="223">
                  <c:v>18.719474251620412</c:v>
                </c:pt>
                <c:pt idx="224">
                  <c:v>17.832015690851193</c:v>
                </c:pt>
                <c:pt idx="225">
                  <c:v>16.92711484640574</c:v>
                </c:pt>
                <c:pt idx="226">
                  <c:v>16.00507725841581</c:v>
                </c:pt>
                <c:pt idx="227">
                  <c:v>15.06621865327303</c:v>
                </c:pt>
                <c:pt idx="228">
                  <c:v>14.110864436961936</c:v>
                </c:pt>
                <c:pt idx="229">
                  <c:v>13.139349166401237</c:v>
                </c:pt>
                <c:pt idx="230">
                  <c:v>12.152016002119607</c:v>
                </c:pt>
                <c:pt idx="231">
                  <c:v>11.149216145814519</c:v>
                </c:pt>
                <c:pt idx="232">
                  <c:v>10.131308266553946</c:v>
                </c:pt>
                <c:pt idx="233">
                  <c:v>9.0986579194737924</c:v>
                </c:pt>
                <c:pt idx="234">
                  <c:v>8.0516369608984348</c:v>
                </c:pt>
                <c:pt idx="235">
                  <c:v>6.9906229637842543</c:v>
                </c:pt>
                <c:pt idx="236">
                  <c:v>5.9159986372923363</c:v>
                </c:pt>
                <c:pt idx="237">
                  <c:v>4.8281512541497884</c:v>
                </c:pt>
                <c:pt idx="238">
                  <c:v>3.7274720892220667</c:v>
                </c:pt>
                <c:pt idx="239">
                  <c:v>2.6143558724273523</c:v>
                </c:pt>
                <c:pt idx="240">
                  <c:v>1.4892002587715567</c:v>
                </c:pt>
                <c:pt idx="241">
                  <c:v>0.35240531788453761</c:v>
                </c:pt>
                <c:pt idx="242">
                  <c:v>-0.79562695502013359</c:v>
                </c:pt>
                <c:pt idx="243">
                  <c:v>-1.9544931053111345</c:v>
                </c:pt>
                <c:pt idx="244">
                  <c:v>-3.1237886613031778</c:v>
                </c:pt>
                <c:pt idx="245">
                  <c:v>-4.3031085523918584</c:v>
                </c:pt>
                <c:pt idx="246">
                  <c:v>-5.492047503072901</c:v>
                </c:pt>
                <c:pt idx="247">
                  <c:v>-6.6902004034645861</c:v>
                </c:pt>
                <c:pt idx="248">
                  <c:v>-7.897162657443908</c:v>
                </c:pt>
                <c:pt idx="249">
                  <c:v>-9.1125305099689964</c:v>
                </c:pt>
                <c:pt idx="250">
                  <c:v>-10.335901355577258</c:v>
                </c:pt>
                <c:pt idx="251">
                  <c:v>-11.566874030412352</c:v>
                </c:pt>
                <c:pt idx="252">
                  <c:v>-12.805049090436379</c:v>
                </c:pt>
                <c:pt idx="253">
                  <c:v>-14.050029078724346</c:v>
                </c:pt>
                <c:pt idx="254">
                  <c:v>-15.301418784890689</c:v>
                </c:pt>
                <c:pt idx="255">
                  <c:v>-16.558825499795958</c:v>
                </c:pt>
                <c:pt idx="256">
                  <c:v>-17.821859268670579</c:v>
                </c:pt>
                <c:pt idx="257">
                  <c:v>-19.090133145736143</c:v>
                </c:pt>
                <c:pt idx="258">
                  <c:v>-20.363263453231315</c:v>
                </c:pt>
                <c:pt idx="259">
                  <c:v>-21.640870047535437</c:v>
                </c:pt>
                <c:pt idx="260">
                  <c:v>-22.922576594769939</c:v>
                </c:pt>
                <c:pt idx="261">
                  <c:v>-24.208010857900302</c:v>
                </c:pt>
                <c:pt idx="262">
                  <c:v>-25.49680499693239</c:v>
                </c:pt>
                <c:pt idx="263">
                  <c:v>-26.788595883333389</c:v>
                </c:pt>
                <c:pt idx="264">
                  <c:v>-28.083025429289183</c:v>
                </c:pt>
                <c:pt idx="265">
                  <c:v>-29.37974093188669</c:v>
                </c:pt>
                <c:pt idx="266">
                  <c:v>-30.678395431751152</c:v>
                </c:pt>
                <c:pt idx="267">
                  <c:v>-31.978648085114003</c:v>
                </c:pt>
                <c:pt idx="268">
                  <c:v>-33.280164547751625</c:v>
                </c:pt>
                <c:pt idx="269">
                  <c:v>-34.582617368691686</c:v>
                </c:pt>
                <c:pt idx="270">
                  <c:v>-35.88568639110315</c:v>
                </c:pt>
                <c:pt idx="271">
                  <c:v>-37.189059157324515</c:v>
                </c:pt>
                <c:pt idx="272">
                  <c:v>-38.492431314571846</c:v>
                </c:pt>
                <c:pt idx="273">
                  <c:v>-39.795507017537041</c:v>
                </c:pt>
                <c:pt idx="274">
                  <c:v>-41.097999323786134</c:v>
                </c:pt>
                <c:pt idx="275">
                  <c:v>-42.399630577653738</c:v>
                </c:pt>
                <c:pt idx="276">
                  <c:v>-43.70013277820599</c:v>
                </c:pt>
                <c:pt idx="277">
                  <c:v>-44.999247926740651</c:v>
                </c:pt>
                <c:pt idx="278">
                  <c:v>-46.296728349340924</c:v>
                </c:pt>
                <c:pt idx="279">
                  <c:v>-47.592336990040423</c:v>
                </c:pt>
                <c:pt idx="280">
                  <c:v>-48.885847670338329</c:v>
                </c:pt>
                <c:pt idx="281">
                  <c:v>-50.177045310994828</c:v>
                </c:pt>
                <c:pt idx="282">
                  <c:v>-51.465726112340441</c:v>
                </c:pt>
                <c:pt idx="283">
                  <c:v>-52.751697689643365</c:v>
                </c:pt>
                <c:pt idx="284">
                  <c:v>-54.034779160476781</c:v>
                </c:pt>
                <c:pt idx="285">
                  <c:v>-55.314801181448743</c:v>
                </c:pt>
                <c:pt idx="286">
                  <c:v>-56.591605932104954</c:v>
                </c:pt>
                <c:pt idx="287">
                  <c:v>-57.865047044313492</c:v>
                </c:pt>
                <c:pt idx="288">
                  <c:v>-59.134989475919774</c:v>
                </c:pt>
                <c:pt idx="289">
                  <c:v>-60.401309327987242</c:v>
                </c:pt>
                <c:pt idx="290">
                  <c:v>-61.663893605441721</c:v>
                </c:pt>
                <c:pt idx="291">
                  <c:v>-62.922639921442041</c:v>
                </c:pt>
                <c:pt idx="292">
                  <c:v>-64.177456146314114</c:v>
                </c:pt>
                <c:pt idx="293">
                  <c:v>-65.428260002340352</c:v>
                </c:pt>
                <c:pt idx="294">
                  <c:v>-66.6749786061891</c:v>
                </c:pt>
                <c:pt idx="295">
                  <c:v>-67.917547961182365</c:v>
                </c:pt>
                <c:pt idx="296">
                  <c:v>-69.155912402029145</c:v>
                </c:pt>
                <c:pt idx="297">
                  <c:v>-70.390023995021437</c:v>
                </c:pt>
                <c:pt idx="298">
                  <c:v>-71.619841897055309</c:v>
                </c:pt>
                <c:pt idx="299">
                  <c:v>-72.845331677144813</c:v>
                </c:pt>
                <c:pt idx="300">
                  <c:v>-74.06646460440335</c:v>
                </c:pt>
                <c:pt idx="301">
                  <c:v>-75.283216906701782</c:v>
                </c:pt>
                <c:pt idx="302">
                  <c:v>-76.495569004461743</c:v>
                </c:pt>
                <c:pt idx="303">
                  <c:v>-77.703504724214298</c:v>
                </c:pt>
                <c:pt idx="304">
                  <c:v>-78.907010496731772</c:v>
                </c:pt>
                <c:pt idx="305">
                  <c:v>-80.106074544668758</c:v>
                </c:pt>
                <c:pt idx="306">
                  <c:v>-81.300686064752199</c:v>
                </c:pt>
                <c:pt idx="307">
                  <c:v>-82.490834409637586</c:v>
                </c:pt>
                <c:pt idx="308">
                  <c:v>-83.676508274596671</c:v>
                </c:pt>
                <c:pt idx="309">
                  <c:v>-84.857694894219193</c:v>
                </c:pt>
                <c:pt idx="310">
                  <c:v>-86.034379254305307</c:v>
                </c:pt>
                <c:pt idx="311">
                  <c:v>-87.206543324086766</c:v>
                </c:pt>
                <c:pt idx="312">
                  <c:v>-88.374165313852814</c:v>
                </c:pt>
                <c:pt idx="313">
                  <c:v>-89.53721896295113</c:v>
                </c:pt>
                <c:pt idx="314">
                  <c:v>-90.695672863021741</c:v>
                </c:pt>
                <c:pt idx="315">
                  <c:v>-91.849489821149476</c:v>
                </c:pt>
                <c:pt idx="316">
                  <c:v>-92.998626267440258</c:v>
                </c:pt>
                <c:pt idx="317">
                  <c:v>-94.143031711290732</c:v>
                </c:pt>
                <c:pt idx="318">
                  <c:v>-95.282648250367046</c:v>
                </c:pt>
                <c:pt idx="319">
                  <c:v>-96.417410136005003</c:v>
                </c:pt>
                <c:pt idx="320">
                  <c:v>-97.547243398419525</c:v>
                </c:pt>
                <c:pt idx="321">
                  <c:v>-98.67206553472856</c:v>
                </c:pt>
                <c:pt idx="322">
                  <c:v>-99.791785262401504</c:v>
                </c:pt>
                <c:pt idx="323">
                  <c:v>-100.90630234029793</c:v>
                </c:pt>
                <c:pt idx="324">
                  <c:v>-102.01550745898966</c:v>
                </c:pt>
                <c:pt idx="325">
                  <c:v>-103.1192822015533</c:v>
                </c:pt>
                <c:pt idx="326">
                  <c:v>-104.21749907549304</c:v>
                </c:pt>
                <c:pt idx="327">
                  <c:v>-105.31002161590497</c:v>
                </c:pt>
                <c:pt idx="328">
                  <c:v>-106.39670455941194</c:v>
                </c:pt>
                <c:pt idx="329">
                  <c:v>-107.4773940878345</c:v>
                </c:pt>
                <c:pt idx="330">
                  <c:v>-108.55192813995245</c:v>
                </c:pt>
                <c:pt idx="331">
                  <c:v>-109.62013678915493</c:v>
                </c:pt>
                <c:pt idx="332">
                  <c:v>-110.68184268417284</c:v>
                </c:pt>
                <c:pt idx="333">
                  <c:v>-111.73686154955153</c:v>
                </c:pt>
                <c:pt idx="334">
                  <c:v>-112.78500274197427</c:v>
                </c:pt>
                <c:pt idx="335">
                  <c:v>-113.82606985804922</c:v>
                </c:pt>
                <c:pt idx="336">
                  <c:v>-114.85986138871723</c:v>
                </c:pt>
                <c:pt idx="337">
                  <c:v>-115.88617141502469</c:v>
                </c:pt>
                <c:pt idx="338">
                  <c:v>-116.90479033964394</c:v>
                </c:pt>
                <c:pt idx="339">
                  <c:v>-117.91550564823496</c:v>
                </c:pt>
                <c:pt idx="340">
                  <c:v>-118.91810269450806</c:v>
                </c:pt>
                <c:pt idx="341">
                  <c:v>-119.9123655026923</c:v>
                </c:pt>
                <c:pt idx="342">
                  <c:v>-120.89807758101784</c:v>
                </c:pt>
                <c:pt idx="343">
                  <c:v>-121.8750227398147</c:v>
                </c:pt>
                <c:pt idx="344">
                  <c:v>-122.84298590788812</c:v>
                </c:pt>
                <c:pt idx="345">
                  <c:v>-123.80175394096071</c:v>
                </c:pt>
                <c:pt idx="346">
                  <c:v>-124.75111641617926</c:v>
                </c:pt>
                <c:pt idx="347">
                  <c:v>-125.69086640693776</c:v>
                </c:pt>
                <c:pt idx="348">
                  <c:v>-126.62080123262724</c:v>
                </c:pt>
                <c:pt idx="349">
                  <c:v>-127.54072317826687</c:v>
                </c:pt>
                <c:pt idx="350">
                  <c:v>-128.45044017943468</c:v>
                </c:pt>
                <c:pt idx="351">
                  <c:v>-129.34976646837271</c:v>
                </c:pt>
                <c:pt idx="352">
                  <c:v>-130.2385231776488</c:v>
                </c:pt>
                <c:pt idx="353">
                  <c:v>-131.11653889827997</c:v>
                </c:pt>
                <c:pt idx="354">
                  <c:v>-131.983650189771</c:v>
                </c:pt>
                <c:pt idx="355">
                  <c:v>-132.83970204006675</c:v>
                </c:pt>
                <c:pt idx="356">
                  <c:v>-133.68454827396212</c:v>
                </c:pt>
                <c:pt idx="357">
                  <c:v>-134.51805190905245</c:v>
                </c:pt>
                <c:pt idx="358">
                  <c:v>-135.34008545883148</c:v>
                </c:pt>
                <c:pt idx="359">
                  <c:v>-136.15053118303507</c:v>
                </c:pt>
                <c:pt idx="360">
                  <c:v>-136.94928128580517</c:v>
                </c:pt>
                <c:pt idx="361">
                  <c:v>-137.73623806268029</c:v>
                </c:pt>
                <c:pt idx="362">
                  <c:v>-138.51131399781877</c:v>
                </c:pt>
                <c:pt idx="363">
                  <c:v>-139.27443181322354</c:v>
                </c:pt>
                <c:pt idx="364">
                  <c:v>-140.0255244720469</c:v>
                </c:pt>
                <c:pt idx="365">
                  <c:v>-140.76453513833107</c:v>
                </c:pt>
                <c:pt idx="366">
                  <c:v>-141.49141709577484</c:v>
                </c:pt>
                <c:pt idx="367">
                  <c:v>-142.20613362828891</c:v>
                </c:pt>
                <c:pt idx="368">
                  <c:v>-142.9086578652643</c:v>
                </c:pt>
                <c:pt idx="369">
                  <c:v>-143.59897259456733</c:v>
                </c:pt>
                <c:pt idx="370">
                  <c:v>-144.27707004634502</c:v>
                </c:pt>
                <c:pt idx="371">
                  <c:v>-144.94295165075928</c:v>
                </c:pt>
                <c:pt idx="372">
                  <c:v>-145.59662777275443</c:v>
                </c:pt>
                <c:pt idx="373">
                  <c:v>-146.23811742693641</c:v>
                </c:pt>
                <c:pt idx="374">
                  <c:v>-146.8674479755814</c:v>
                </c:pt>
                <c:pt idx="375">
                  <c:v>-147.48465481270563</c:v>
                </c:pt>
                <c:pt idx="376">
                  <c:v>-148.08978103702805</c:v>
                </c:pt>
                <c:pt idx="377">
                  <c:v>-148.68287711653599</c:v>
                </c:pt>
                <c:pt idx="378">
                  <c:v>-149.26400054723166</c:v>
                </c:pt>
                <c:pt idx="379">
                  <c:v>-149.83321550849448</c:v>
                </c:pt>
                <c:pt idx="380">
                  <c:v>-150.39059251734139</c:v>
                </c:pt>
                <c:pt idx="381">
                  <c:v>-150.93620808370923</c:v>
                </c:pt>
                <c:pt idx="382">
                  <c:v>-151.47014436873201</c:v>
                </c:pt>
                <c:pt idx="383">
                  <c:v>-151.99248884781193</c:v>
                </c:pt>
                <c:pt idx="384">
                  <c:v>-152.50333398013902</c:v>
                </c:pt>
                <c:pt idx="385">
                  <c:v>-153.00277688614435</c:v>
                </c:pt>
                <c:pt idx="386">
                  <c:v>-153.49091903423079</c:v>
                </c:pt>
                <c:pt idx="387">
                  <c:v>-153.96786593796753</c:v>
                </c:pt>
                <c:pt idx="388">
                  <c:v>-154.43372686480384</c:v>
                </c:pt>
                <c:pt idx="389">
                  <c:v>-154.88861455721073</c:v>
                </c:pt>
                <c:pt idx="390">
                  <c:v>-155.33264496704146</c:v>
                </c:pt>
                <c:pt idx="391">
                  <c:v>-155.76593700377612</c:v>
                </c:pt>
                <c:pt idx="392">
                  <c:v>-156.18861229720429</c:v>
                </c:pt>
                <c:pt idx="393">
                  <c:v>-156.60079497499109</c:v>
                </c:pt>
                <c:pt idx="394">
                  <c:v>-157.00261145547984</c:v>
                </c:pt>
                <c:pt idx="395">
                  <c:v>-157.39419025598511</c:v>
                </c:pt>
                <c:pt idx="396">
                  <c:v>-157.77566181675434</c:v>
                </c:pt>
                <c:pt idx="397">
                  <c:v>-158.1471583406894</c:v>
                </c:pt>
                <c:pt idx="398">
                  <c:v>-158.50881364885231</c:v>
                </c:pt>
                <c:pt idx="399">
                  <c:v>-158.86076305171224</c:v>
                </c:pt>
                <c:pt idx="400">
                  <c:v>-159.20314323602383</c:v>
                </c:pt>
                <c:pt idx="401">
                  <c:v>-159.53609216717334</c:v>
                </c:pt>
                <c:pt idx="402">
                  <c:v>-159.85974900677022</c:v>
                </c:pt>
                <c:pt idx="403">
                  <c:v>-160.17425404521299</c:v>
                </c:pt>
                <c:pt idx="404">
                  <c:v>-160.47974864890233</c:v>
                </c:pt>
                <c:pt idx="405">
                  <c:v>-160.77637522173202</c:v>
                </c:pt>
                <c:pt idx="406">
                  <c:v>-161.06427718043471</c:v>
                </c:pt>
                <c:pt idx="407">
                  <c:v>-161.34359894331476</c:v>
                </c:pt>
                <c:pt idx="408">
                  <c:v>-161.61448593185034</c:v>
                </c:pt>
                <c:pt idx="409">
                  <c:v>-161.87708458459963</c:v>
                </c:pt>
                <c:pt idx="410">
                  <c:v>-162.13154238279117</c:v>
                </c:pt>
                <c:pt idx="411">
                  <c:v>-162.37800788693013</c:v>
                </c:pt>
                <c:pt idx="412">
                  <c:v>-162.61663078369725</c:v>
                </c:pt>
                <c:pt idx="413">
                  <c:v>-162.84756194235368</c:v>
                </c:pt>
                <c:pt idx="414">
                  <c:v>-163.07095347981075</c:v>
                </c:pt>
                <c:pt idx="415">
                  <c:v>-163.28695883345964</c:v>
                </c:pt>
                <c:pt idx="416">
                  <c:v>-163.49573284078261</c:v>
                </c:pt>
                <c:pt idx="417">
                  <c:v>-163.69743182470833</c:v>
                </c:pt>
                <c:pt idx="418">
                  <c:v>-163.89221368359352</c:v>
                </c:pt>
                <c:pt idx="419">
                  <c:v>-164.08023798463728</c:v>
                </c:pt>
                <c:pt idx="420">
                  <c:v>-164.26166605946585</c:v>
                </c:pt>
                <c:pt idx="421">
                  <c:v>-164.43666110053786</c:v>
                </c:pt>
                <c:pt idx="422">
                  <c:v>-164.6053882569457</c:v>
                </c:pt>
                <c:pt idx="423">
                  <c:v>-164.76801472810871</c:v>
                </c:pt>
                <c:pt idx="424">
                  <c:v>-164.92470985377597</c:v>
                </c:pt>
                <c:pt idx="425">
                  <c:v>-165.07564519868268</c:v>
                </c:pt>
                <c:pt idx="426">
                  <c:v>-165.22099463013248</c:v>
                </c:pt>
                <c:pt idx="427">
                  <c:v>-165.36093438671372</c:v>
                </c:pt>
                <c:pt idx="428">
                  <c:v>-165.49564313630307</c:v>
                </c:pt>
                <c:pt idx="429">
                  <c:v>-165.62530202145899</c:v>
                </c:pt>
                <c:pt idx="430">
                  <c:v>-165.750094690277</c:v>
                </c:pt>
                <c:pt idx="431">
                  <c:v>-165.87020731075751</c:v>
                </c:pt>
                <c:pt idx="432">
                  <c:v>-165.98582856672797</c:v>
                </c:pt>
                <c:pt idx="433">
                  <c:v>-166.09714963338931</c:v>
                </c:pt>
                <c:pt idx="434">
                  <c:v>-166.20436413057604</c:v>
                </c:pt>
                <c:pt idx="435">
                  <c:v>-166.30766805190143</c:v>
                </c:pt>
                <c:pt idx="436">
                  <c:v>-166.40725966802881</c:v>
                </c:pt>
                <c:pt idx="437">
                  <c:v>-166.50333940243559</c:v>
                </c:pt>
                <c:pt idx="438">
                  <c:v>-166.59610967818674</c:v>
                </c:pt>
                <c:pt idx="439">
                  <c:v>-166.68577473440058</c:v>
                </c:pt>
                <c:pt idx="440">
                  <c:v>-166.77254041131363</c:v>
                </c:pt>
                <c:pt idx="441">
                  <c:v>-166.85661390308985</c:v>
                </c:pt>
                <c:pt idx="442">
                  <c:v>-166.93820347779706</c:v>
                </c:pt>
                <c:pt idx="443">
                  <c:v>-167.01751816428759</c:v>
                </c:pt>
                <c:pt idx="444">
                  <c:v>-167.09476740605857</c:v>
                </c:pt>
                <c:pt idx="445">
                  <c:v>-167.17016068253989</c:v>
                </c:pt>
                <c:pt idx="446">
                  <c:v>-167.24390709865335</c:v>
                </c:pt>
                <c:pt idx="447">
                  <c:v>-167.31621494390416</c:v>
                </c:pt>
                <c:pt idx="448">
                  <c:v>-167.38729122269845</c:v>
                </c:pt>
                <c:pt idx="449">
                  <c:v>-167.45734115803162</c:v>
                </c:pt>
                <c:pt idx="450">
                  <c:v>-167.52656767112813</c:v>
                </c:pt>
                <c:pt idx="451">
                  <c:v>-167.59517084007879</c:v>
                </c:pt>
                <c:pt idx="452">
                  <c:v>-167.66334734093604</c:v>
                </c:pt>
                <c:pt idx="453">
                  <c:v>-167.73128987515415</c:v>
                </c:pt>
                <c:pt idx="454">
                  <c:v>-167.79918658764677</c:v>
                </c:pt>
                <c:pt idx="455">
                  <c:v>-167.8672204800763</c:v>
                </c:pt>
                <c:pt idx="456">
                  <c:v>-167.93556882430065</c:v>
                </c:pt>
                <c:pt idx="457">
                  <c:v>-168.00440258114287</c:v>
                </c:pt>
                <c:pt idx="458">
                  <c:v>-168.07388582984211</c:v>
                </c:pt>
                <c:pt idx="459">
                  <c:v>-168.14417521365397</c:v>
                </c:pt>
                <c:pt idx="460">
                  <c:v>-168.21541940711217</c:v>
                </c:pt>
                <c:pt idx="461">
                  <c:v>-168.28775861042928</c:v>
                </c:pt>
                <c:pt idx="462">
                  <c:v>-168.36132407638272</c:v>
                </c:pt>
                <c:pt idx="463">
                  <c:v>-168.43623767483979</c:v>
                </c:pt>
                <c:pt idx="464">
                  <c:v>-168.51261149977546</c:v>
                </c:pt>
                <c:pt idx="465">
                  <c:v>-168.59054752327791</c:v>
                </c:pt>
                <c:pt idx="466">
                  <c:v>-168.67013730058321</c:v>
                </c:pt>
                <c:pt idx="467">
                  <c:v>-168.75146172967004</c:v>
                </c:pt>
                <c:pt idx="468">
                  <c:v>-168.83459086835916</c:v>
                </c:pt>
                <c:pt idx="469">
                  <c:v>-168.91958381124735</c:v>
                </c:pt>
                <c:pt idx="470">
                  <c:v>-169.00648862810465</c:v>
                </c:pt>
                <c:pt idx="471">
                  <c:v>-169.09534236469372</c:v>
                </c:pt>
                <c:pt idx="472">
                  <c:v>-169.18617110621585</c:v>
                </c:pt>
                <c:pt idx="473">
                  <c:v>-169.27899010288817</c:v>
                </c:pt>
                <c:pt idx="474">
                  <c:v>-169.37380395642865</c:v>
                </c:pt>
                <c:pt idx="475">
                  <c:v>-169.47060686553016</c:v>
                </c:pt>
                <c:pt idx="476">
                  <c:v>-169.56938292774944</c:v>
                </c:pt>
                <c:pt idx="477">
                  <c:v>-169.67010649463069</c:v>
                </c:pt>
                <c:pt idx="478">
                  <c:v>-169.77274257630225</c:v>
                </c:pt>
                <c:pt idx="479">
                  <c:v>-169.87724729133211</c:v>
                </c:pt>
                <c:pt idx="480">
                  <c:v>-169.9835683571682</c:v>
                </c:pt>
                <c:pt idx="481">
                  <c:v>-170.09164561618289</c:v>
                </c:pt>
                <c:pt idx="482">
                  <c:v>-170.20141159206739</c:v>
                </c:pt>
                <c:pt idx="483">
                  <c:v>-170.31279207114</c:v>
                </c:pt>
                <c:pt idx="484">
                  <c:v>-170.42570670306611</c:v>
                </c:pt>
                <c:pt idx="485">
                  <c:v>-170.54006961544869</c:v>
                </c:pt>
                <c:pt idx="486">
                  <c:v>-170.6557900368382</c:v>
                </c:pt>
                <c:pt idx="487">
                  <c:v>-170.77277292283947</c:v>
                </c:pt>
                <c:pt idx="488">
                  <c:v>-170.89091958020617</c:v>
                </c:pt>
                <c:pt idx="489">
                  <c:v>-171.01012828408406</c:v>
                </c:pt>
                <c:pt idx="490">
                  <c:v>-171.13029488386735</c:v>
                </c:pt>
                <c:pt idx="491">
                  <c:v>-171.2513133935137</c:v>
                </c:pt>
                <c:pt idx="492">
                  <c:v>-171.37307656254322</c:v>
                </c:pt>
                <c:pt idx="493">
                  <c:v>-171.49547642437329</c:v>
                </c:pt>
                <c:pt idx="494">
                  <c:v>-171.61840481907328</c:v>
                </c:pt>
                <c:pt idx="495">
                  <c:v>-171.74175388807058</c:v>
                </c:pt>
                <c:pt idx="496">
                  <c:v>-171.86541653878012</c:v>
                </c:pt>
                <c:pt idx="497">
                  <c:v>-171.98928687757174</c:v>
                </c:pt>
                <c:pt idx="498">
                  <c:v>-172.1132606099047</c:v>
                </c:pt>
                <c:pt idx="499">
                  <c:v>-172.23723540687226</c:v>
                </c:pt>
                <c:pt idx="500">
                  <c:v>-172.36111123777619</c:v>
                </c:pt>
                <c:pt idx="501">
                  <c:v>-172.48479066870667</c:v>
                </c:pt>
                <c:pt idx="502">
                  <c:v>-172.60817912742374</c:v>
                </c:pt>
                <c:pt idx="503">
                  <c:v>-172.73118513513549</c:v>
                </c:pt>
                <c:pt idx="504">
                  <c:v>-172.8537205060199</c:v>
                </c:pt>
                <c:pt idx="505">
                  <c:v>-172.97570051556431</c:v>
                </c:pt>
                <c:pt idx="506">
                  <c:v>-173.0970440389903</c:v>
                </c:pt>
                <c:pt idx="507">
                  <c:v>-173.21767366118752</c:v>
                </c:pt>
                <c:pt idx="508">
                  <c:v>-173.33751575970658</c:v>
                </c:pt>
                <c:pt idx="509">
                  <c:v>-173.45650056246001</c:v>
                </c:pt>
                <c:pt idx="510">
                  <c:v>-173.57456218184558</c:v>
                </c:pt>
                <c:pt idx="511">
                  <c:v>-173.69163862705489</c:v>
                </c:pt>
                <c:pt idx="512">
                  <c:v>-173.80767179634049</c:v>
                </c:pt>
                <c:pt idx="513">
                  <c:v>-173.92260745102232</c:v>
                </c:pt>
                <c:pt idx="514">
                  <c:v>-174.03639517298825</c:v>
                </c:pt>
                <c:pt idx="515">
                  <c:v>-174.14898830740449</c:v>
                </c:pt>
                <c:pt idx="516">
                  <c:v>-174.26034389231236</c:v>
                </c:pt>
                <c:pt idx="517">
                  <c:v>-174.37042257670871</c:v>
                </c:pt>
                <c:pt idx="518">
                  <c:v>-174.47918852865476</c:v>
                </c:pt>
                <c:pt idx="519">
                  <c:v>-174.58660933486217</c:v>
                </c:pt>
                <c:pt idx="520">
                  <c:v>-174.69265589313827</c:v>
                </c:pt>
                <c:pt idx="521">
                  <c:v>-174.79730229896586</c:v>
                </c:pt>
                <c:pt idx="522">
                  <c:v>-174.90052572742343</c:v>
                </c:pt>
                <c:pt idx="523">
                  <c:v>-175.00230631154255</c:v>
                </c:pt>
                <c:pt idx="524">
                  <c:v>-175.1026270181213</c:v>
                </c:pt>
                <c:pt idx="525">
                  <c:v>-175.20147352191862</c:v>
                </c:pt>
                <c:pt idx="526">
                  <c:v>-175.29883407906519</c:v>
                </c:pt>
                <c:pt idx="527">
                  <c:v>-175.39469940044822</c:v>
                </c:pt>
                <c:pt idx="528">
                  <c:v>-175.48906252574031</c:v>
                </c:pt>
                <c:pt idx="529">
                  <c:v>-175.58191869867142</c:v>
                </c:pt>
                <c:pt idx="530">
                  <c:v>-175.6732652440644</c:v>
                </c:pt>
                <c:pt idx="531">
                  <c:v>-175.76310144708998</c:v>
                </c:pt>
                <c:pt idx="532">
                  <c:v>-175.85142843513285</c:v>
                </c:pt>
                <c:pt idx="533">
                  <c:v>-175.93824906259854</c:v>
                </c:pt>
                <c:pt idx="534">
                  <c:v>-176.02356779893702</c:v>
                </c:pt>
                <c:pt idx="535">
                  <c:v>-176.10739062011137</c:v>
                </c:pt>
                <c:pt idx="536">
                  <c:v>-176.18972490368733</c:v>
                </c:pt>
                <c:pt idx="537">
                  <c:v>-176.27057932768463</c:v>
                </c:pt>
                <c:pt idx="538">
                  <c:v>-176.34996377328952</c:v>
                </c:pt>
                <c:pt idx="539">
                  <c:v>-176.42788923149268</c:v>
                </c:pt>
                <c:pt idx="540">
                  <c:v>-176.50436771369095</c:v>
                </c:pt>
                <c:pt idx="541">
                  <c:v>-176.57941216626085</c:v>
                </c:pt>
              </c:numCache>
            </c:numRef>
          </c:yVal>
          <c:smooth val="1"/>
          <c:extLst>
            <c:ext xmlns:c16="http://schemas.microsoft.com/office/drawing/2014/chart" uri="{C3380CC4-5D6E-409C-BE32-E72D297353CC}">
              <c16:uniqueId val="{0000000B-1798-4659-8C8F-5766C9E652D3}"/>
            </c:ext>
          </c:extLst>
        </c:ser>
        <c:dLbls>
          <c:showLegendKey val="0"/>
          <c:showVal val="0"/>
          <c:showCatName val="0"/>
          <c:showSerName val="0"/>
          <c:showPercent val="0"/>
          <c:showBubbleSize val="0"/>
        </c:dLbls>
        <c:axId val="589267712"/>
        <c:axId val="589261440"/>
      </c:scatterChart>
      <c:valAx>
        <c:axId val="589245056"/>
        <c:scaling>
          <c:logBase val="10"/>
          <c:orientation val="minMax"/>
          <c:max val="2000000"/>
          <c:min val="10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txPr>
          <a:bodyPr/>
          <a:lstStyle/>
          <a:p>
            <a:pPr>
              <a:defRPr b="1"/>
            </a:pPr>
            <a:endParaRPr lang="en-US"/>
          </a:p>
        </c:txPr>
        <c:crossAx val="589259520"/>
        <c:crosses val="autoZero"/>
        <c:crossBetween val="midCat"/>
      </c:valAx>
      <c:valAx>
        <c:axId val="589259520"/>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b="1">
                <a:solidFill>
                  <a:srgbClr val="FF0000"/>
                </a:solidFill>
              </a:defRPr>
            </a:pPr>
            <a:endParaRPr lang="en-US"/>
          </a:p>
        </c:txPr>
        <c:crossAx val="589245056"/>
        <c:crosses val="autoZero"/>
        <c:crossBetween val="midCat"/>
        <c:majorUnit val="20"/>
        <c:minorUnit val="10"/>
      </c:valAx>
      <c:valAx>
        <c:axId val="589261440"/>
        <c:scaling>
          <c:orientation val="minMax"/>
          <c:max val="180"/>
          <c:min val="-180"/>
        </c:scaling>
        <c:delete val="0"/>
        <c:axPos val="r"/>
        <c:title>
          <c:tx>
            <c:rich>
              <a:bodyPr rot="-5400000" vert="horz"/>
              <a:lstStyle/>
              <a:p>
                <a:pPr>
                  <a:defRPr/>
                </a:pPr>
                <a:r>
                  <a:rPr lang="en-US"/>
                  <a:t>Phase (deg)</a:t>
                </a:r>
              </a:p>
            </c:rich>
          </c:tx>
          <c:overlay val="0"/>
        </c:title>
        <c:numFmt formatCode="General" sourceLinked="1"/>
        <c:majorTickMark val="out"/>
        <c:minorTickMark val="none"/>
        <c:tickLblPos val="nextTo"/>
        <c:txPr>
          <a:bodyPr/>
          <a:lstStyle/>
          <a:p>
            <a:pPr>
              <a:defRPr b="1">
                <a:solidFill>
                  <a:schemeClr val="tx1">
                    <a:lumMod val="95000"/>
                    <a:lumOff val="5000"/>
                  </a:schemeClr>
                </a:solidFill>
              </a:defRPr>
            </a:pPr>
            <a:endParaRPr lang="en-US"/>
          </a:p>
        </c:txPr>
        <c:crossAx val="589267712"/>
        <c:crosses val="max"/>
        <c:crossBetween val="midCat"/>
        <c:majorUnit val="90"/>
        <c:minorUnit val="45"/>
      </c:valAx>
      <c:valAx>
        <c:axId val="589267712"/>
        <c:scaling>
          <c:logBase val="10"/>
          <c:orientation val="minMax"/>
        </c:scaling>
        <c:delete val="1"/>
        <c:axPos val="b"/>
        <c:numFmt formatCode="0.00" sourceLinked="1"/>
        <c:majorTickMark val="out"/>
        <c:minorTickMark val="none"/>
        <c:tickLblPos val="nextTo"/>
        <c:crossAx val="589261440"/>
        <c:crosses val="autoZero"/>
        <c:crossBetween val="midCat"/>
      </c:valAx>
    </c:plotArea>
    <c:legend>
      <c:legendPos val="r"/>
      <c:legendEntry>
        <c:idx val="1"/>
        <c:delete val="1"/>
      </c:legendEntry>
      <c:legendEntry>
        <c:idx val="2"/>
        <c:delete val="1"/>
      </c:legendEntry>
      <c:legendEntry>
        <c:idx val="3"/>
        <c:delete val="1"/>
      </c:legendEntry>
      <c:legendEntry>
        <c:idx val="4"/>
        <c:delete val="1"/>
      </c:legendEntry>
      <c:legendEntry>
        <c:idx val="5"/>
        <c:delete val="1"/>
      </c:legendEntry>
      <c:layout>
        <c:manualLayout>
          <c:xMode val="edge"/>
          <c:yMode val="edge"/>
          <c:x val="0.61392536510371165"/>
          <c:y val="7.0381012799940294E-3"/>
          <c:w val="0.28497500584606611"/>
          <c:h val="7.9643865606846526E-2"/>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1" i="0" baseline="0">
                <a:effectLst/>
              </a:rPr>
              <a:t>Isolated Loop Response</a:t>
            </a:r>
            <a:endParaRPr lang="en-US" sz="1600">
              <a:effectLst/>
            </a:endParaRPr>
          </a:p>
        </c:rich>
      </c:tx>
      <c:layout>
        <c:manualLayout>
          <c:xMode val="edge"/>
          <c:yMode val="edge"/>
          <c:x val="9.4354157174953393E-2"/>
          <c:y val="3.9916010498687662E-3"/>
        </c:manualLayout>
      </c:layout>
      <c:overlay val="0"/>
    </c:title>
    <c:autoTitleDeleted val="0"/>
    <c:plotArea>
      <c:layout>
        <c:manualLayout>
          <c:layoutTarget val="inner"/>
          <c:xMode val="edge"/>
          <c:yMode val="edge"/>
          <c:x val="8.7413438847232044E-2"/>
          <c:y val="8.915804101931861E-2"/>
          <c:w val="0.80965876742891785"/>
          <c:h val="0.76159168715027026"/>
        </c:manualLayout>
      </c:layout>
      <c:scatterChart>
        <c:scatterStyle val="smoothMarker"/>
        <c:varyColors val="0"/>
        <c:ser>
          <c:idx val="0"/>
          <c:order val="0"/>
          <c:tx>
            <c:v>Gain (dB)</c:v>
          </c:tx>
          <c:spPr>
            <a:ln w="28575">
              <a:solidFill>
                <a:srgbClr val="FF0000"/>
              </a:solidFill>
            </a:ln>
          </c:spPr>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CCM_Loop_Modeling_Isolated!$AW$19:$AW$560</c:f>
              <c:numCache>
                <c:formatCode>0.000</c:formatCode>
                <c:ptCount val="542"/>
                <c:pt idx="0">
                  <c:v>91.016984725419576</c:v>
                </c:pt>
                <c:pt idx="1">
                  <c:v>90.695503372274814</c:v>
                </c:pt>
                <c:pt idx="2">
                  <c:v>90.371852335915293</c:v>
                </c:pt>
                <c:pt idx="3">
                  <c:v>90.046056119527279</c:v>
                </c:pt>
                <c:pt idx="4">
                  <c:v>89.718141112274111</c:v>
                </c:pt>
                <c:pt idx="5">
                  <c:v>89.388135492552166</c:v>
                </c:pt>
                <c:pt idx="6">
                  <c:v>89.056069126632906</c:v>
                </c:pt>
                <c:pt idx="7">
                  <c:v>88.721973463465076</c:v>
                </c:pt>
                <c:pt idx="8">
                  <c:v>88.385881426416276</c:v>
                </c:pt>
                <c:pt idx="9">
                  <c:v>88.047827302729459</c:v>
                </c:pt>
                <c:pt idx="10">
                  <c:v>87.707846631454089</c:v>
                </c:pt>
                <c:pt idx="11">
                  <c:v>87.365976090595353</c:v>
                </c:pt>
                <c:pt idx="12">
                  <c:v>87.022253384194272</c:v>
                </c:pt>
                <c:pt idx="13">
                  <c:v>86.676717130017451</c:v>
                </c:pt>
                <c:pt idx="14">
                  <c:v>86.329406748498485</c:v>
                </c:pt>
                <c:pt idx="15">
                  <c:v>85.980362353526303</c:v>
                </c:pt>
                <c:pt idx="16">
                  <c:v>85.629624645630855</c:v>
                </c:pt>
                <c:pt idx="17">
                  <c:v>85.277234808064946</c:v>
                </c:pt>
                <c:pt idx="18">
                  <c:v>84.923234406230108</c:v>
                </c:pt>
                <c:pt idx="19">
                  <c:v>84.567665290841717</c:v>
                </c:pt>
                <c:pt idx="20">
                  <c:v>84.210569505175329</c:v>
                </c:pt>
                <c:pt idx="21">
                  <c:v>83.851989196683604</c:v>
                </c:pt>
                <c:pt idx="22">
                  <c:v>83.491966533223859</c:v>
                </c:pt>
                <c:pt idx="23">
                  <c:v>83.130543624081696</c:v>
                </c:pt>
                <c:pt idx="24">
                  <c:v>82.767762445938303</c:v>
                </c:pt>
                <c:pt idx="25">
                  <c:v>82.403664773870446</c:v>
                </c:pt>
                <c:pt idx="26">
                  <c:v>82.038292117446758</c:v>
                </c:pt>
                <c:pt idx="27">
                  <c:v>81.671685661928421</c:v>
                </c:pt>
                <c:pt idx="28">
                  <c:v>81.303886214561487</c:v>
                </c:pt>
                <c:pt idx="29">
                  <c:v>80.934934155905296</c:v>
                </c:pt>
                <c:pt idx="30">
                  <c:v>80.564869396119519</c:v>
                </c:pt>
                <c:pt idx="31">
                  <c:v>80.193731336102175</c:v>
                </c:pt>
                <c:pt idx="32">
                  <c:v>79.821558833355638</c:v>
                </c:pt>
                <c:pt idx="33">
                  <c:v>79.448390172428873</c:v>
                </c:pt>
                <c:pt idx="34">
                  <c:v>79.0742630397813</c:v>
                </c:pt>
                <c:pt idx="35">
                  <c:v>78.699214502889674</c:v>
                </c:pt>
                <c:pt idx="36">
                  <c:v>78.323280993415963</c:v>
                </c:pt>
                <c:pt idx="37">
                  <c:v>77.946498294246112</c:v>
                </c:pt>
                <c:pt idx="38">
                  <c:v>77.568901530203092</c:v>
                </c:pt>
                <c:pt idx="39">
                  <c:v>77.190525162235474</c:v>
                </c:pt>
                <c:pt idx="40">
                  <c:v>76.811402984883955</c:v>
                </c:pt>
                <c:pt idx="41">
                  <c:v>76.431568126824402</c:v>
                </c:pt>
                <c:pt idx="42">
                  <c:v>76.051053054295352</c:v>
                </c:pt>
                <c:pt idx="43">
                  <c:v>75.669889577213979</c:v>
                </c:pt>
                <c:pt idx="44">
                  <c:v>75.288108857795336</c:v>
                </c:pt>
                <c:pt idx="45">
                  <c:v>74.905741421492351</c:v>
                </c:pt>
                <c:pt idx="46">
                  <c:v>74.522817170080998</c:v>
                </c:pt>
                <c:pt idx="47">
                  <c:v>74.139365396723605</c:v>
                </c:pt>
                <c:pt idx="48">
                  <c:v>73.755414802847781</c:v>
                </c:pt>
                <c:pt idx="49">
                  <c:v>73.370993516689964</c:v>
                </c:pt>
                <c:pt idx="50">
                  <c:v>72.986129113358004</c:v>
                </c:pt>
                <c:pt idx="51">
                  <c:v>72.600848636275956</c:v>
                </c:pt>
                <c:pt idx="52">
                  <c:v>72.215178619883659</c:v>
                </c:pt>
                <c:pt idx="53">
                  <c:v>71.82914511346921</c:v>
                </c:pt>
                <c:pt idx="54">
                  <c:v>71.442773706023488</c:v>
                </c:pt>
                <c:pt idx="55">
                  <c:v>71.056089552010661</c:v>
                </c:pt>
                <c:pt idx="56">
                  <c:v>70.669117397958203</c:v>
                </c:pt>
                <c:pt idx="57">
                  <c:v>70.281881609775454</c:v>
                </c:pt>
                <c:pt idx="58">
                  <c:v>69.894406200716816</c:v>
                </c:pt>
                <c:pt idx="59">
                  <c:v>69.506714859913671</c:v>
                </c:pt>
                <c:pt idx="60">
                  <c:v>69.118830981401516</c:v>
                </c:pt>
                <c:pt idx="61">
                  <c:v>68.73077769357775</c:v>
                </c:pt>
                <c:pt idx="62">
                  <c:v>68.34257788902768</c:v>
                </c:pt>
                <c:pt idx="63">
                  <c:v>67.95425425466307</c:v>
                </c:pt>
                <c:pt idx="64">
                  <c:v>67.565829302119369</c:v>
                </c:pt>
                <c:pt idx="65">
                  <c:v>67.177325398362626</c:v>
                </c:pt>
                <c:pt idx="66">
                  <c:v>66.788764796459532</c:v>
                </c:pt>
                <c:pt idx="67">
                  <c:v>66.400169666465402</c:v>
                </c:pt>
                <c:pt idx="68">
                  <c:v>66.011562126389506</c:v>
                </c:pt>
                <c:pt idx="69">
                  <c:v>65.622964273194356</c:v>
                </c:pt>
                <c:pt idx="70">
                  <c:v>65.234398213789945</c:v>
                </c:pt>
                <c:pt idx="71">
                  <c:v>64.845886095982934</c:v>
                </c:pt>
                <c:pt idx="72">
                  <c:v>64.457450139339045</c:v>
                </c:pt>
                <c:pt idx="73">
                  <c:v>64.069112665918638</c:v>
                </c:pt>
                <c:pt idx="74">
                  <c:v>63.680896130841838</c:v>
                </c:pt>
                <c:pt idx="75">
                  <c:v>63.292823152639357</c:v>
                </c:pt>
                <c:pt idx="76">
                  <c:v>62.90491654334155</c:v>
                </c:pt>
                <c:pt idx="77">
                  <c:v>62.517199338255963</c:v>
                </c:pt>
                <c:pt idx="78">
                  <c:v>62.129694825380184</c:v>
                </c:pt>
                <c:pt idx="79">
                  <c:v>61.742426574392567</c:v>
                </c:pt>
                <c:pt idx="80">
                  <c:v>61.355418465159424</c:v>
                </c:pt>
                <c:pt idx="81">
                  <c:v>60.968694715691797</c:v>
                </c:pt>
                <c:pt idx="82">
                  <c:v>60.582279909481009</c:v>
                </c:pt>
                <c:pt idx="83">
                  <c:v>60.196199022134209</c:v>
                </c:pt>
                <c:pt idx="84">
                  <c:v>59.810477447227157</c:v>
                </c:pt>
                <c:pt idx="85">
                  <c:v>59.425141021284105</c:v>
                </c:pt>
                <c:pt idx="86">
                  <c:v>59.040216047787595</c:v>
                </c:pt>
                <c:pt idx="87">
                  <c:v>58.655729320114816</c:v>
                </c:pt>
                <c:pt idx="88">
                  <c:v>58.271708143288059</c:v>
                </c:pt>
                <c:pt idx="89">
                  <c:v>57.888180354422396</c:v>
                </c:pt>
                <c:pt idx="90">
                  <c:v>57.50517434174273</c:v>
                </c:pt>
                <c:pt idx="91">
                  <c:v>57.122719062036921</c:v>
                </c:pt>
                <c:pt idx="92">
                  <c:v>56.740844056404327</c:v>
                </c:pt>
                <c:pt idx="93">
                  <c:v>56.359579464150329</c:v>
                </c:pt>
                <c:pt idx="94">
                  <c:v>55.97895603467154</c:v>
                </c:pt>
                <c:pt idx="95">
                  <c:v>55.599005137169534</c:v>
                </c:pt>
                <c:pt idx="96">
                  <c:v>55.219758768024896</c:v>
                </c:pt>
                <c:pt idx="97">
                  <c:v>54.841249555656752</c:v>
                </c:pt>
                <c:pt idx="98">
                  <c:v>54.463510762691605</c:v>
                </c:pt>
                <c:pt idx="99">
                  <c:v>54.086576285258012</c:v>
                </c:pt>
                <c:pt idx="100">
                  <c:v>53.710480649222745</c:v>
                </c:pt>
                <c:pt idx="101">
                  <c:v>53.335259003184376</c:v>
                </c:pt>
                <c:pt idx="102">
                  <c:v>52.96094710803925</c:v>
                </c:pt>
                <c:pt idx="103">
                  <c:v>52.587581322936259</c:v>
                </c:pt>
                <c:pt idx="104">
                  <c:v>52.215198587443524</c:v>
                </c:pt>
                <c:pt idx="105">
                  <c:v>51.843836399754991</c:v>
                </c:pt>
                <c:pt idx="106">
                  <c:v>51.473532790772147</c:v>
                </c:pt>
                <c:pt idx="107">
                  <c:v>51.104326293910432</c:v>
                </c:pt>
                <c:pt idx="108">
                  <c:v>50.736255910491067</c:v>
                </c:pt>
                <c:pt idx="109">
                  <c:v>50.369361070596234</c:v>
                </c:pt>
                <c:pt idx="110">
                  <c:v>50.003681589284987</c:v>
                </c:pt>
                <c:pt idx="111">
                  <c:v>49.639257618090618</c:v>
                </c:pt>
                <c:pt idx="112">
                  <c:v>49.276129591743839</c:v>
                </c:pt>
                <c:pt idx="113">
                  <c:v>48.91433817009613</c:v>
                </c:pt>
                <c:pt idx="114">
                  <c:v>48.55392417524827</c:v>
                </c:pt>
                <c:pt idx="115">
                  <c:v>48.194928523924176</c:v>
                </c:pt>
                <c:pt idx="116">
                  <c:v>47.837392155166079</c:v>
                </c:pt>
                <c:pt idx="117">
                  <c:v>47.48135595346929</c:v>
                </c:pt>
                <c:pt idx="118">
                  <c:v>47.126860667511878</c:v>
                </c:pt>
                <c:pt idx="119">
                  <c:v>46.773946824685559</c:v>
                </c:pt>
                <c:pt idx="120">
                  <c:v>46.42265464167199</c:v>
                </c:pt>
                <c:pt idx="121">
                  <c:v>46.073023931359813</c:v>
                </c:pt>
                <c:pt idx="122">
                  <c:v>45.72509400644438</c:v>
                </c:pt>
                <c:pt idx="123">
                  <c:v>45.378903580094374</c:v>
                </c:pt>
                <c:pt idx="124">
                  <c:v>45.034490664121563</c:v>
                </c:pt>
                <c:pt idx="125">
                  <c:v>44.691892465129541</c:v>
                </c:pt>
                <c:pt idx="126">
                  <c:v>44.351145279160022</c:v>
                </c:pt>
                <c:pt idx="127">
                  <c:v>44.012284385397436</c:v>
                </c:pt>
                <c:pt idx="128">
                  <c:v>43.675343939522747</c:v>
                </c:pt>
                <c:pt idx="129">
                  <c:v>43.340356867341058</c:v>
                </c:pt>
                <c:pt idx="130">
                  <c:v>43.007354759334959</c:v>
                </c:pt>
                <c:pt idx="131">
                  <c:v>42.676367766807431</c:v>
                </c:pt>
                <c:pt idx="132">
                  <c:v>42.347424500302452</c:v>
                </c:pt>
                <c:pt idx="133">
                  <c:v>42.020551930984439</c:v>
                </c:pt>
                <c:pt idx="134">
                  <c:v>41.695775295668156</c:v>
                </c:pt>
                <c:pt idx="135">
                  <c:v>41.373118006171566</c:v>
                </c:pt>
                <c:pt idx="136">
                  <c:v>41.052601563653546</c:v>
                </c:pt>
                <c:pt idx="137">
                  <c:v>40.734245478569306</c:v>
                </c:pt>
                <c:pt idx="138">
                  <c:v>40.418067196844724</c:v>
                </c:pt>
                <c:pt idx="139">
                  <c:v>40.104082032829744</c:v>
                </c:pt>
                <c:pt idx="140">
                  <c:v>39.792303109542864</c:v>
                </c:pt>
                <c:pt idx="141">
                  <c:v>39.482741306664359</c:v>
                </c:pt>
                <c:pt idx="142">
                  <c:v>39.175405216674903</c:v>
                </c:pt>
                <c:pt idx="143">
                  <c:v>38.870301109471761</c:v>
                </c:pt>
                <c:pt idx="144">
                  <c:v>38.567432905722406</c:v>
                </c:pt>
                <c:pt idx="145">
                  <c:v>38.266802159143126</c:v>
                </c:pt>
                <c:pt idx="146">
                  <c:v>37.968408047817071</c:v>
                </c:pt>
                <c:pt idx="147">
                  <c:v>37.672247374583179</c:v>
                </c:pt>
                <c:pt idx="148">
                  <c:v>37.378314576458308</c:v>
                </c:pt>
                <c:pt idx="149">
                  <c:v>37.086601742971069</c:v>
                </c:pt>
                <c:pt idx="150">
                  <c:v>36.797098643219087</c:v>
                </c:pt>
                <c:pt idx="151">
                  <c:v>36.509792761385214</c:v>
                </c:pt>
                <c:pt idx="152">
                  <c:v>36.224669340383436</c:v>
                </c:pt>
                <c:pt idx="153">
                  <c:v>35.941711433243746</c:v>
                </c:pt>
                <c:pt idx="154">
                  <c:v>35.660899961786797</c:v>
                </c:pt>
                <c:pt idx="155">
                  <c:v>35.382213782090091</c:v>
                </c:pt>
                <c:pt idx="156">
                  <c:v>35.105629756202703</c:v>
                </c:pt>
                <c:pt idx="157">
                  <c:v>34.831122829528056</c:v>
                </c:pt>
                <c:pt idx="158">
                  <c:v>34.558666113266234</c:v>
                </c:pt>
                <c:pt idx="159">
                  <c:v>34.288230971282438</c:v>
                </c:pt>
                <c:pt idx="160">
                  <c:v>34.019787110754088</c:v>
                </c:pt>
                <c:pt idx="161">
                  <c:v>33.753302675942365</c:v>
                </c:pt>
                <c:pt idx="162">
                  <c:v>33.488744344427282</c:v>
                </c:pt>
                <c:pt idx="163">
                  <c:v>33.226077425158834</c:v>
                </c:pt>
                <c:pt idx="164">
                  <c:v>32.965265957680217</c:v>
                </c:pt>
                <c:pt idx="165">
                  <c:v>32.706272811901002</c:v>
                </c:pt>
                <c:pt idx="166">
                  <c:v>32.449059787819522</c:v>
                </c:pt>
                <c:pt idx="167">
                  <c:v>32.193587714617642</c:v>
                </c:pt>
                <c:pt idx="168">
                  <c:v>31.939816548586887</c:v>
                </c:pt>
                <c:pt idx="169">
                  <c:v>31.687705469373547</c:v>
                </c:pt>
                <c:pt idx="170">
                  <c:v>31.437212974071436</c:v>
                </c:pt>
                <c:pt idx="171">
                  <c:v>31.188296968727819</c:v>
                </c:pt>
                <c:pt idx="172">
                  <c:v>30.940914856867874</c:v>
                </c:pt>
                <c:pt idx="173">
                  <c:v>30.695023624687707</c:v>
                </c:pt>
                <c:pt idx="174">
                  <c:v>30.450579922602607</c:v>
                </c:pt>
                <c:pt idx="175">
                  <c:v>30.207540142885247</c:v>
                </c:pt>
                <c:pt idx="176">
                  <c:v>29.965860493164254</c:v>
                </c:pt>
                <c:pt idx="177">
                  <c:v>29.725497065596876</c:v>
                </c:pt>
                <c:pt idx="178">
                  <c:v>29.486405901568759</c:v>
                </c:pt>
                <c:pt idx="179">
                  <c:v>29.248543051809186</c:v>
                </c:pt>
                <c:pt idx="180">
                  <c:v>29.011864631847818</c:v>
                </c:pt>
                <c:pt idx="181">
                  <c:v>28.776326872771506</c:v>
                </c:pt>
                <c:pt idx="182">
                  <c:v>28.541886167271461</c:v>
                </c:pt>
                <c:pt idx="183">
                  <c:v>28.308499110998788</c:v>
                </c:pt>
                <c:pt idx="184">
                  <c:v>28.076122539275673</c:v>
                </c:pt>
                <c:pt idx="185">
                  <c:v>27.844713559230104</c:v>
                </c:pt>
                <c:pt idx="186">
                  <c:v>27.614229577446668</c:v>
                </c:pt>
                <c:pt idx="187">
                  <c:v>27.384628323243071</c:v>
                </c:pt>
                <c:pt idx="188">
                  <c:v>27.155867867700046</c:v>
                </c:pt>
                <c:pt idx="189">
                  <c:v>26.927906638587118</c:v>
                </c:pt>
                <c:pt idx="190">
                  <c:v>26.700703431337342</c:v>
                </c:pt>
                <c:pt idx="191">
                  <c:v>26.474217416236719</c:v>
                </c:pt>
                <c:pt idx="192">
                  <c:v>26.24840814200266</c:v>
                </c:pt>
                <c:pt idx="193">
                  <c:v>26.023235535928659</c:v>
                </c:pt>
                <c:pt idx="194">
                  <c:v>25.798659900784834</c:v>
                </c:pt>
                <c:pt idx="195">
                  <c:v>25.574641908660027</c:v>
                </c:pt>
                <c:pt idx="196">
                  <c:v>25.351142591939993</c:v>
                </c:pt>
                <c:pt idx="197">
                  <c:v>25.12812333161289</c:v>
                </c:pt>
                <c:pt idx="198">
                  <c:v>24.905545843100452</c:v>
                </c:pt>
                <c:pt idx="199">
                  <c:v>24.683372159803668</c:v>
                </c:pt>
                <c:pt idx="200">
                  <c:v>24.461564614560686</c:v>
                </c:pt>
                <c:pt idx="201">
                  <c:v>24.240085819207771</c:v>
                </c:pt>
                <c:pt idx="202">
                  <c:v>24.018898642434902</c:v>
                </c:pt>
                <c:pt idx="203">
                  <c:v>23.797966186124427</c:v>
                </c:pt>
                <c:pt idx="204">
                  <c:v>23.577251760361246</c:v>
                </c:pt>
                <c:pt idx="205">
                  <c:v>23.356718857301665</c:v>
                </c:pt>
                <c:pt idx="206">
                  <c:v>23.136331124083803</c:v>
                </c:pt>
                <c:pt idx="207">
                  <c:v>22.916052334963229</c:v>
                </c:pt>
                <c:pt idx="208">
                  <c:v>22.695846362857729</c:v>
                </c:pt>
                <c:pt idx="209">
                  <c:v>22.475677150482053</c:v>
                </c:pt>
                <c:pt idx="210">
                  <c:v>22.255508681252433</c:v>
                </c:pt>
                <c:pt idx="211">
                  <c:v>22.035304950146845</c:v>
                </c:pt>
                <c:pt idx="212">
                  <c:v>21.815029934699336</c:v>
                </c:pt>
                <c:pt idx="213">
                  <c:v>21.594647566314592</c:v>
                </c:pt>
                <c:pt idx="214">
                  <c:v>21.374121702086683</c:v>
                </c:pt>
                <c:pt idx="215">
                  <c:v>21.153416097311016</c:v>
                </c:pt>
                <c:pt idx="216">
                  <c:v>20.932494378876868</c:v>
                </c:pt>
                <c:pt idx="217">
                  <c:v>20.711320019736831</c:v>
                </c:pt>
                <c:pt idx="218">
                  <c:v>20.489856314645444</c:v>
                </c:pt>
                <c:pt idx="219">
                  <c:v>20.268066357370689</c:v>
                </c:pt>
                <c:pt idx="220">
                  <c:v>20.045913019577938</c:v>
                </c:pt>
                <c:pt idx="221">
                  <c:v>19.823358931597074</c:v>
                </c:pt>
                <c:pt idx="222">
                  <c:v>19.600366465282107</c:v>
                </c:pt>
                <c:pt idx="223">
                  <c:v>19.376897719177443</c:v>
                </c:pt>
                <c:pt idx="224">
                  <c:v>19.152914506211189</c:v>
                </c:pt>
                <c:pt idx="225">
                  <c:v>18.928378344134948</c:v>
                </c:pt>
                <c:pt idx="226">
                  <c:v>18.703250448933833</c:v>
                </c:pt>
                <c:pt idx="227">
                  <c:v>18.477491731432664</c:v>
                </c:pt>
                <c:pt idx="228">
                  <c:v>18.25106279732292</c:v>
                </c:pt>
                <c:pt idx="229">
                  <c:v>18.023923950835847</c:v>
                </c:pt>
                <c:pt idx="230">
                  <c:v>17.796035202285818</c:v>
                </c:pt>
                <c:pt idx="231">
                  <c:v>17.567356279700853</c:v>
                </c:pt>
                <c:pt idx="232">
                  <c:v>17.337846644756688</c:v>
                </c:pt>
                <c:pt idx="233">
                  <c:v>17.10746551321953</c:v>
                </c:pt>
                <c:pt idx="234">
                  <c:v>16.876171880093416</c:v>
                </c:pt>
                <c:pt idx="235">
                  <c:v>16.643924549657321</c:v>
                </c:pt>
                <c:pt idx="236">
                  <c:v>16.410682170559745</c:v>
                </c:pt>
                <c:pt idx="237">
                  <c:v>16.176403276122738</c:v>
                </c:pt>
                <c:pt idx="238">
                  <c:v>15.941046329983468</c:v>
                </c:pt>
                <c:pt idx="239">
                  <c:v>15.704569777180639</c:v>
                </c:pt>
                <c:pt idx="240">
                  <c:v>15.466932100761799</c:v>
                </c:pt>
                <c:pt idx="241">
                  <c:v>15.228091883959404</c:v>
                </c:pt>
                <c:pt idx="242">
                  <c:v>14.988007877946517</c:v>
                </c:pt>
                <c:pt idx="243">
                  <c:v>14.746639075149782</c:v>
                </c:pt>
                <c:pt idx="244">
                  <c:v>14.503944788049832</c:v>
                </c:pt>
                <c:pt idx="245">
                  <c:v>14.259884733361403</c:v>
                </c:pt>
                <c:pt idx="246">
                  <c:v>14.01441912143703</c:v>
                </c:pt>
                <c:pt idx="247">
                  <c:v>13.767508750686286</c:v>
                </c:pt>
                <c:pt idx="248">
                  <c:v>13.51911510675674</c:v>
                </c:pt>
                <c:pt idx="249">
                  <c:v>13.269200466164916</c:v>
                </c:pt>
                <c:pt idx="250">
                  <c:v>13.017728004017332</c:v>
                </c:pt>
                <c:pt idx="251">
                  <c:v>12.76466190540277</c:v>
                </c:pt>
                <c:pt idx="252">
                  <c:v>12.509967479989683</c:v>
                </c:pt>
                <c:pt idx="253">
                  <c:v>12.253611279303447</c:v>
                </c:pt>
                <c:pt idx="254">
                  <c:v>11.995561216116808</c:v>
                </c:pt>
                <c:pt idx="255">
                  <c:v>11.735786685331309</c:v>
                </c:pt>
                <c:pt idx="256">
                  <c:v>11.474258685692787</c:v>
                </c:pt>
                <c:pt idx="257">
                  <c:v>11.210949941638646</c:v>
                </c:pt>
                <c:pt idx="258">
                  <c:v>10.945835024546341</c:v>
                </c:pt>
                <c:pt idx="259">
                  <c:v>10.67889047262538</c:v>
                </c:pt>
                <c:pt idx="260">
                  <c:v>10.4100949086748</c:v>
                </c:pt>
                <c:pt idx="261">
                  <c:v>10.139429154919959</c:v>
                </c:pt>
                <c:pt idx="262">
                  <c:v>9.8668763441357665</c:v>
                </c:pt>
                <c:pt idx="263">
                  <c:v>9.592422026273578</c:v>
                </c:pt>
                <c:pt idx="264">
                  <c:v>9.3160542698234785</c:v>
                </c:pt>
                <c:pt idx="265">
                  <c:v>9.0377637571668075</c:v>
                </c:pt>
                <c:pt idx="266">
                  <c:v>8.7575438732115032</c:v>
                </c:pt>
                <c:pt idx="267">
                  <c:v>8.4753907866423557</c:v>
                </c:pt>
                <c:pt idx="268">
                  <c:v>8.1913035231729978</c:v>
                </c:pt>
                <c:pt idx="269">
                  <c:v>7.905284030245733</c:v>
                </c:pt>
                <c:pt idx="270">
                  <c:v>7.6173372326926145</c:v>
                </c:pt>
                <c:pt idx="271">
                  <c:v>7.3274710789437734</c:v>
                </c:pt>
                <c:pt idx="272">
                  <c:v>7.0356965774502314</c:v>
                </c:pt>
                <c:pt idx="273">
                  <c:v>6.7420278230695079</c:v>
                </c:pt>
                <c:pt idx="274">
                  <c:v>6.4464820132474721</c:v>
                </c:pt>
                <c:pt idx="275">
                  <c:v>6.1490794539191054</c:v>
                </c:pt>
                <c:pt idx="276">
                  <c:v>5.8498435551359416</c:v>
                </c:pt>
                <c:pt idx="277">
                  <c:v>5.5488008165122142</c:v>
                </c:pt>
                <c:pt idx="278">
                  <c:v>5.2459808026671091</c:v>
                </c:pt>
                <c:pt idx="279">
                  <c:v>4.9414161089156687</c:v>
                </c:pt>
                <c:pt idx="280">
                  <c:v>4.6351423175341564</c:v>
                </c:pt>
                <c:pt idx="281">
                  <c:v>4.3271979449937543</c:v>
                </c:pt>
                <c:pt idx="282">
                  <c:v>4.0176243806107719</c:v>
                </c:pt>
                <c:pt idx="283">
                  <c:v>3.7064658171157783</c:v>
                </c:pt>
                <c:pt idx="284">
                  <c:v>3.3937691736827165</c:v>
                </c:pt>
                <c:pt idx="285">
                  <c:v>3.0795840119911895</c:v>
                </c:pt>
                <c:pt idx="286">
                  <c:v>2.7639624459183265</c:v>
                </c:pt>
                <c:pt idx="287">
                  <c:v>2.4469590454681285</c:v>
                </c:pt>
                <c:pt idx="288">
                  <c:v>2.1286307355500709</c:v>
                </c:pt>
                <c:pt idx="289">
                  <c:v>1.8090366902139912</c:v>
                </c:pt>
                <c:pt idx="290">
                  <c:v>1.4882382229302791</c:v>
                </c:pt>
                <c:pt idx="291">
                  <c:v>1.1662986734893979</c:v>
                </c:pt>
                <c:pt idx="292">
                  <c:v>0.84328329205711761</c:v>
                </c:pt>
                <c:pt idx="293">
                  <c:v>0.51925912089354542</c:v>
                </c:pt>
                <c:pt idx="294">
                  <c:v>0.19429487420180963</c:v>
                </c:pt>
                <c:pt idx="295">
                  <c:v>-0.13153918347519894</c:v>
                </c:pt>
                <c:pt idx="296">
                  <c:v>-0.45817135993351604</c:v>
                </c:pt>
                <c:pt idx="297">
                  <c:v>-0.78552865873900191</c:v>
                </c:pt>
                <c:pt idx="298">
                  <c:v>-1.1135369031343461</c:v>
                </c:pt>
                <c:pt idx="299">
                  <c:v>-1.4421208601985831</c:v>
                </c:pt>
                <c:pt idx="300">
                  <c:v>-1.7712043650802836</c:v>
                </c:pt>
                <c:pt idx="301">
                  <c:v>-2.1007104451739225</c:v>
                </c:pt>
                <c:pt idx="302">
                  <c:v>-2.4305614441502046</c:v>
                </c:pt>
                <c:pt idx="303">
                  <c:v>-2.760679145791316</c:v>
                </c:pt>
                <c:pt idx="304">
                  <c:v>-3.0909848976141632</c:v>
                </c:pt>
                <c:pt idx="305">
                  <c:v>-3.4213997342932725</c:v>
                </c:pt>
                <c:pt idx="306">
                  <c:v>-3.7518445009203871</c:v>
                </c:pt>
                <c:pt idx="307">
                  <c:v>-4.0822399761500074</c:v>
                </c:pt>
                <c:pt idx="308">
                  <c:v>-4.41250699529229</c:v>
                </c:pt>
                <c:pt idx="309">
                  <c:v>-4.7425665734184772</c:v>
                </c:pt>
                <c:pt idx="310">
                  <c:v>-5.0723400285378588</c:v>
                </c:pt>
                <c:pt idx="311">
                  <c:v>-5.4017491048958348</c:v>
                </c:pt>
                <c:pt idx="312">
                  <c:v>-5.7307160964265647</c:v>
                </c:pt>
                <c:pt idx="313">
                  <c:v>-6.0591639703689557</c:v>
                </c:pt>
                <c:pt idx="314">
                  <c:v>-6.3870164910254985</c:v>
                </c:pt>
                <c:pt idx="315">
                  <c:v>-6.7141983436101107</c:v>
                </c:pt>
                <c:pt idx="316">
                  <c:v>-7.0406352580908971</c:v>
                </c:pt>
                <c:pt idx="317">
                  <c:v>-7.3662541328916706</c:v>
                </c:pt>
                <c:pt idx="318">
                  <c:v>-7.6909831582683266</c:v>
                </c:pt>
                <c:pt idx="319">
                  <c:v>-8.014751939128244</c:v>
                </c:pt>
                <c:pt idx="320">
                  <c:v>-8.3374916170138658</c:v>
                </c:pt>
                <c:pt idx="321">
                  <c:v>-8.6591349909158382</c:v>
                </c:pt>
                <c:pt idx="322">
                  <c:v>-8.9796166365381005</c:v>
                </c:pt>
                <c:pt idx="323">
                  <c:v>-9.2988730235861699</c:v>
                </c:pt>
                <c:pt idx="324">
                  <c:v>-9.6168426306092929</c:v>
                </c:pt>
                <c:pt idx="325">
                  <c:v>-9.9334660568820983</c:v>
                </c:pt>
                <c:pt idx="326">
                  <c:v>-10.248686130783165</c:v>
                </c:pt>
                <c:pt idx="327">
                  <c:v>-10.562448014094892</c:v>
                </c:pt>
                <c:pt idx="328">
                  <c:v>-10.874699301628766</c:v>
                </c:pt>
                <c:pt idx="329">
                  <c:v>-11.185390115568554</c:v>
                </c:pt>
                <c:pt idx="330">
                  <c:v>-11.494473193915278</c:v>
                </c:pt>
                <c:pt idx="331">
                  <c:v>-11.801903972427644</c:v>
                </c:pt>
                <c:pt idx="332">
                  <c:v>-12.107640659457612</c:v>
                </c:pt>
                <c:pt idx="333">
                  <c:v>-12.411644303112357</c:v>
                </c:pt>
                <c:pt idx="334">
                  <c:v>-12.713878850199816</c:v>
                </c:pt>
                <c:pt idx="335">
                  <c:v>-13.014311196459843</c:v>
                </c:pt>
                <c:pt idx="336">
                  <c:v>-13.312911227634594</c:v>
                </c:pt>
                <c:pt idx="337">
                  <c:v>-13.609651850989417</c:v>
                </c:pt>
                <c:pt idx="338">
                  <c:v>-13.904509016962319</c:v>
                </c:pt>
                <c:pt idx="339">
                  <c:v>-14.197461730693732</c:v>
                </c:pt>
                <c:pt idx="340">
                  <c:v>-14.488492053266322</c:v>
                </c:pt>
                <c:pt idx="341">
                  <c:v>-14.777585092567991</c:v>
                </c:pt>
                <c:pt idx="342">
                  <c:v>-15.064728983775</c:v>
                </c:pt>
                <c:pt idx="343">
                  <c:v>-15.349914859539622</c:v>
                </c:pt>
                <c:pt idx="344">
                  <c:v>-15.633136810054793</c:v>
                </c:pt>
                <c:pt idx="345">
                  <c:v>-15.914391833251614</c:v>
                </c:pt>
                <c:pt idx="346">
                  <c:v>-16.193679775468258</c:v>
                </c:pt>
                <c:pt idx="347">
                  <c:v>-16.471003263008154</c:v>
                </c:pt>
                <c:pt idx="348">
                  <c:v>-16.74636762507793</c:v>
                </c:pt>
                <c:pt idx="349">
                  <c:v>-17.019780808660471</c:v>
                </c:pt>
                <c:pt idx="350">
                  <c:v>-17.291253285942084</c:v>
                </c:pt>
                <c:pt idx="351">
                  <c:v>-17.560797954956342</c:v>
                </c:pt>
                <c:pt idx="352">
                  <c:v>-17.828430034157201</c:v>
                </c:pt>
                <c:pt idx="353">
                  <c:v>-18.09416695166362</c:v>
                </c:pt>
                <c:pt idx="354">
                  <c:v>-18.358028229940604</c:v>
                </c:pt>
                <c:pt idx="355">
                  <c:v>-18.620035366698442</c:v>
                </c:pt>
                <c:pt idx="356">
                  <c:v>-18.880211712797919</c:v>
                </c:pt>
                <c:pt idx="357">
                  <c:v>-19.138582347941316</c:v>
                </c:pt>
                <c:pt idx="358">
                  <c:v>-19.395173954924598</c:v>
                </c:pt>
                <c:pt idx="359">
                  <c:v>-19.650014693197576</c:v>
                </c:pt>
                <c:pt idx="360">
                  <c:v>-19.903134072461445</c:v>
                </c:pt>
                <c:pt idx="361">
                  <c:v>-20.154562826990393</c:v>
                </c:pt>
                <c:pt idx="362">
                  <c:v>-20.404332791335204</c:v>
                </c:pt>
                <c:pt idx="363">
                  <c:v>-20.652476778013593</c:v>
                </c:pt>
                <c:pt idx="364">
                  <c:v>-20.899028457754063</c:v>
                </c:pt>
                <c:pt idx="365">
                  <c:v>-21.144022242803477</c:v>
                </c:pt>
                <c:pt idx="366">
                  <c:v>-21.387493173761388</c:v>
                </c:pt>
                <c:pt idx="367">
                  <c:v>-21.629476810347814</c:v>
                </c:pt>
                <c:pt idx="368">
                  <c:v>-21.870009126461511</c:v>
                </c:pt>
                <c:pt idx="369">
                  <c:v>-22.1091264098295</c:v>
                </c:pt>
                <c:pt idx="370">
                  <c:v>-22.346865166500042</c:v>
                </c:pt>
                <c:pt idx="371">
                  <c:v>-22.583262030377917</c:v>
                </c:pt>
                <c:pt idx="372">
                  <c:v>-22.818353677957642</c:v>
                </c:pt>
                <c:pt idx="373">
                  <c:v>-23.052176748358239</c:v>
                </c:pt>
                <c:pt idx="374">
                  <c:v>-23.284767768727761</c:v>
                </c:pt>
                <c:pt idx="375">
                  <c:v>-23.516163085040208</c:v>
                </c:pt>
                <c:pt idx="376">
                  <c:v>-23.746398798276914</c:v>
                </c:pt>
                <c:pt idx="377">
                  <c:v>-23.975510705946665</c:v>
                </c:pt>
                <c:pt idx="378">
                  <c:v>-24.203534248873943</c:v>
                </c:pt>
                <c:pt idx="379">
                  <c:v>-24.430504463156282</c:v>
                </c:pt>
                <c:pt idx="380">
                  <c:v>-24.65645593717278</c:v>
                </c:pt>
                <c:pt idx="381">
                  <c:v>-24.881422773502418</c:v>
                </c:pt>
                <c:pt idx="382">
                  <c:v>-25.10543855559974</c:v>
                </c:pt>
                <c:pt idx="383">
                  <c:v>-25.328536319061939</c:v>
                </c:pt>
                <c:pt idx="384">
                  <c:v>-25.550748527309484</c:v>
                </c:pt>
                <c:pt idx="385">
                  <c:v>-25.772107051499784</c:v>
                </c:pt>
                <c:pt idx="386">
                  <c:v>-25.99264315448481</c:v>
                </c:pt>
                <c:pt idx="387">
                  <c:v>-26.212387478626678</c:v>
                </c:pt>
                <c:pt idx="388">
                  <c:v>-26.431370037279901</c:v>
                </c:pt>
                <c:pt idx="389">
                  <c:v>-26.649620209754676</c:v>
                </c:pt>
                <c:pt idx="390">
                  <c:v>-26.867166739580171</c:v>
                </c:pt>
                <c:pt idx="391">
                  <c:v>-27.084037735887946</c:v>
                </c:pt>
                <c:pt idx="392">
                  <c:v>-27.300260677744475</c:v>
                </c:pt>
                <c:pt idx="393">
                  <c:v>-27.515862421271603</c:v>
                </c:pt>
                <c:pt idx="394">
                  <c:v>-27.730869209396374</c:v>
                </c:pt>
                <c:pt idx="395">
                  <c:v>-27.945306684086809</c:v>
                </c:pt>
                <c:pt idx="396">
                  <c:v>-28.159199900935548</c:v>
                </c:pt>
                <c:pt idx="397">
                  <c:v>-28.372573345965858</c:v>
                </c:pt>
                <c:pt idx="398">
                  <c:v>-28.585450954543461</c:v>
                </c:pt>
                <c:pt idx="399">
                  <c:v>-28.797856132289038</c:v>
                </c:pt>
                <c:pt idx="400">
                  <c:v>-29.009811777897134</c:v>
                </c:pt>
                <c:pt idx="401">
                  <c:v>-29.22134030777525</c:v>
                </c:pt>
                <c:pt idx="402">
                  <c:v>-29.432463682430242</c:v>
                </c:pt>
                <c:pt idx="403">
                  <c:v>-29.643203434537838</c:v>
                </c:pt>
                <c:pt idx="404">
                  <c:v>-29.85358069863932</c:v>
                </c:pt>
                <c:pt idx="405">
                  <c:v>-30.063616242421872</c:v>
                </c:pt>
                <c:pt idx="406">
                  <c:v>-30.273330499542041</c:v>
                </c:pt>
                <c:pt idx="407">
                  <c:v>-30.482743603967176</c:v>
                </c:pt>
                <c:pt idx="408">
                  <c:v>-30.691875425809645</c:v>
                </c:pt>
                <c:pt idx="409">
                  <c:v>-30.900745608638562</c:v>
                </c:pt>
                <c:pt idx="410">
                  <c:v>-31.109373608259983</c:v>
                </c:pt>
                <c:pt idx="411">
                  <c:v>-31.317778732955929</c:v>
                </c:pt>
                <c:pt idx="412">
                  <c:v>-31.525980185182867</c:v>
                </c:pt>
                <c:pt idx="413">
                  <c:v>-31.73399710472583</c:v>
                </c:pt>
                <c:pt idx="414">
                  <c:v>-31.94184861330713</c:v>
                </c:pt>
                <c:pt idx="415">
                  <c:v>-32.149553860650485</c:v>
                </c:pt>
                <c:pt idx="416">
                  <c:v>-32.357132071994023</c:v>
                </c:pt>
                <c:pt idx="417">
                  <c:v>-32.564602597044995</c:v>
                </c:pt>
                <c:pt idx="418">
                  <c:v>-32.771984960362495</c:v>
                </c:pt>
                <c:pt idx="419">
                  <c:v>-32.979298913144916</c:v>
                </c:pt>
                <c:pt idx="420">
                  <c:v>-33.186564486392207</c:v>
                </c:pt>
                <c:pt idx="421">
                  <c:v>-33.393802045398189</c:v>
                </c:pt>
                <c:pt idx="422">
                  <c:v>-33.601032345515279</c:v>
                </c:pt>
                <c:pt idx="423">
                  <c:v>-33.808276589117561</c:v>
                </c:pt>
                <c:pt idx="424">
                  <c:v>-34.015556483670352</c:v>
                </c:pt>
                <c:pt idx="425">
                  <c:v>-34.2228943007905</c:v>
                </c:pt>
                <c:pt idx="426">
                  <c:v>-34.43031293616108</c:v>
                </c:pt>
                <c:pt idx="427">
                  <c:v>-34.637835970137644</c:v>
                </c:pt>
                <c:pt idx="428">
                  <c:v>-34.845487728852014</c:v>
                </c:pt>
                <c:pt idx="429">
                  <c:v>-35.053293345594902</c:v>
                </c:pt>
                <c:pt idx="430">
                  <c:v>-35.261278822218912</c:v>
                </c:pt>
                <c:pt idx="431">
                  <c:v>-35.469471090276301</c:v>
                </c:pt>
                <c:pt idx="432">
                  <c:v>-35.67789807156317</c:v>
                </c:pt>
                <c:pt idx="433">
                  <c:v>-35.886588737709872</c:v>
                </c:pt>
                <c:pt idx="434">
                  <c:v>-36.095573168415577</c:v>
                </c:pt>
                <c:pt idx="435">
                  <c:v>-36.304882607886995</c:v>
                </c:pt>
                <c:pt idx="436">
                  <c:v>-36.514549519004987</c:v>
                </c:pt>
                <c:pt idx="437">
                  <c:v>-36.724607634701869</c:v>
                </c:pt>
                <c:pt idx="438">
                  <c:v>-36.935092005997909</c:v>
                </c:pt>
                <c:pt idx="439">
                  <c:v>-37.146039046111113</c:v>
                </c:pt>
                <c:pt idx="440">
                  <c:v>-37.357486570024541</c:v>
                </c:pt>
                <c:pt idx="441">
                  <c:v>-37.569473828865874</c:v>
                </c:pt>
                <c:pt idx="442">
                  <c:v>-37.782041538436154</c:v>
                </c:pt>
                <c:pt idx="443">
                  <c:v>-37.995231901206068</c:v>
                </c:pt>
                <c:pt idx="444">
                  <c:v>-38.209088621089521</c:v>
                </c:pt>
                <c:pt idx="445">
                  <c:v>-38.423656910305837</c:v>
                </c:pt>
                <c:pt idx="446">
                  <c:v>-38.638983487647337</c:v>
                </c:pt>
                <c:pt idx="447">
                  <c:v>-38.855116567487634</c:v>
                </c:pt>
                <c:pt idx="448">
                  <c:v>-39.072105838898352</c:v>
                </c:pt>
                <c:pt idx="449">
                  <c:v>-39.290002434274903</c:v>
                </c:pt>
                <c:pt idx="450">
                  <c:v>-39.508858886932259</c:v>
                </c:pt>
                <c:pt idx="451">
                  <c:v>-39.728729077187538</c:v>
                </c:pt>
                <c:pt idx="452">
                  <c:v>-39.949668166529264</c:v>
                </c:pt>
                <c:pt idx="453">
                  <c:v>-40.171732519559995</c:v>
                </c:pt>
                <c:pt idx="454">
                  <c:v>-40.394979613495792</c:v>
                </c:pt>
                <c:pt idx="455">
                  <c:v>-40.619467935124916</c:v>
                </c:pt>
                <c:pt idx="456">
                  <c:v>-40.845256865242511</c:v>
                </c:pt>
                <c:pt idx="457">
                  <c:v>-41.072406550716551</c:v>
                </c:pt>
                <c:pt idx="458">
                  <c:v>-41.300977764473316</c:v>
                </c:pt>
                <c:pt idx="459">
                  <c:v>-41.531031753837901</c:v>
                </c:pt>
                <c:pt idx="460">
                  <c:v>-41.762630077811494</c:v>
                </c:pt>
                <c:pt idx="461">
                  <c:v>-41.995834434018171</c:v>
                </c:pt>
                <c:pt idx="462">
                  <c:v>-42.23070647620132</c:v>
                </c:pt>
                <c:pt idx="463">
                  <c:v>-42.46730762329075</c:v>
                </c:pt>
                <c:pt idx="464">
                  <c:v>-42.705698861205967</c:v>
                </c:pt>
                <c:pt idx="465">
                  <c:v>-42.945940538680539</c:v>
                </c:pt>
                <c:pt idx="466">
                  <c:v>-43.188092158518344</c:v>
                </c:pt>
                <c:pt idx="467">
                  <c:v>-43.432212165784271</c:v>
                </c:pt>
                <c:pt idx="468">
                  <c:v>-43.678357734525633</c:v>
                </c:pt>
                <c:pt idx="469">
                  <c:v>-43.926584554681092</c:v>
                </c:pt>
                <c:pt idx="470">
                  <c:v>-44.176946620879875</c:v>
                </c:pt>
                <c:pt idx="471">
                  <c:v>-44.429496024859468</c:v>
                </c:pt>
                <c:pt idx="472">
                  <c:v>-44.684282753225929</c:v>
                </c:pt>
                <c:pt idx="473">
                  <c:v>-44.941354492260416</c:v>
                </c:pt>
                <c:pt idx="474">
                  <c:v>-45.20075644142662</c:v>
                </c:pt>
                <c:pt idx="475">
                  <c:v>-45.462531137162408</c:v>
                </c:pt>
                <c:pt idx="476">
                  <c:v>-45.726718288446889</c:v>
                </c:pt>
                <c:pt idx="477">
                  <c:v>-45.993354625520638</c:v>
                </c:pt>
                <c:pt idx="478">
                  <c:v>-46.262473763001296</c:v>
                </c:pt>
                <c:pt idx="479">
                  <c:v>-46.534106078491384</c:v>
                </c:pt>
                <c:pt idx="480">
                  <c:v>-46.808278607606979</c:v>
                </c:pt>
                <c:pt idx="481">
                  <c:v>-47.085014956183038</c:v>
                </c:pt>
                <c:pt idx="482">
                  <c:v>-47.364335230228825</c:v>
                </c:pt>
                <c:pt idx="483">
                  <c:v>-47.64625598401382</c:v>
                </c:pt>
                <c:pt idx="484">
                  <c:v>-47.930790186480195</c:v>
                </c:pt>
                <c:pt idx="485">
                  <c:v>-48.217947205984146</c:v>
                </c:pt>
                <c:pt idx="486">
                  <c:v>-48.507732813183786</c:v>
                </c:pt>
                <c:pt idx="487">
                  <c:v>-48.800149201718092</c:v>
                </c:pt>
                <c:pt idx="488">
                  <c:v>-49.095195026145177</c:v>
                </c:pt>
                <c:pt idx="489">
                  <c:v>-49.392865456463682</c:v>
                </c:pt>
                <c:pt idx="490">
                  <c:v>-49.693152248388543</c:v>
                </c:pt>
                <c:pt idx="491">
                  <c:v>-49.996043828433784</c:v>
                </c:pt>
                <c:pt idx="492">
                  <c:v>-50.301525392745141</c:v>
                </c:pt>
                <c:pt idx="493">
                  <c:v>-50.609579018532102</c:v>
                </c:pt>
                <c:pt idx="494">
                  <c:v>-50.920183786880798</c:v>
                </c:pt>
                <c:pt idx="495">
                  <c:v>-51.23331591567257</c:v>
                </c:pt>
                <c:pt idx="496">
                  <c:v>-51.548948901298637</c:v>
                </c:pt>
                <c:pt idx="497">
                  <c:v>-51.86705366784463</c:v>
                </c:pt>
                <c:pt idx="498">
                  <c:v>-52.18759872241769</c:v>
                </c:pt>
                <c:pt idx="499">
                  <c:v>-52.51055031530116</c:v>
                </c:pt>
                <c:pt idx="500">
                  <c:v>-52.835872603658345</c:v>
                </c:pt>
                <c:pt idx="501">
                  <c:v>-53.163527817540725</c:v>
                </c:pt>
                <c:pt idx="502">
                  <c:v>-53.493476427015935</c:v>
                </c:pt>
                <c:pt idx="503">
                  <c:v>-53.825677309293347</c:v>
                </c:pt>
                <c:pt idx="504">
                  <c:v>-54.16008791479544</c:v>
                </c:pt>
                <c:pt idx="505">
                  <c:v>-54.496664431202085</c:v>
                </c:pt>
                <c:pt idx="506">
                  <c:v>-54.835361944578736</c:v>
                </c:pt>
                <c:pt idx="507">
                  <c:v>-55.176134596785161</c:v>
                </c:pt>
                <c:pt idx="508">
                  <c:v>-55.518935738448015</c:v>
                </c:pt>
                <c:pt idx="509">
                  <c:v>-55.863718076872139</c:v>
                </c:pt>
                <c:pt idx="510">
                  <c:v>-56.210433818349557</c:v>
                </c:pt>
                <c:pt idx="511">
                  <c:v>-56.559034804413891</c:v>
                </c:pt>
                <c:pt idx="512">
                  <c:v>-56.909472641668692</c:v>
                </c:pt>
                <c:pt idx="513">
                  <c:v>-57.261698824899341</c:v>
                </c:pt>
                <c:pt idx="514">
                  <c:v>-57.615664853251559</c:v>
                </c:pt>
                <c:pt idx="515">
                  <c:v>-57.97132233933177</c:v>
                </c:pt>
                <c:pt idx="516">
                  <c:v>-58.328623111147323</c:v>
                </c:pt>
                <c:pt idx="517">
                  <c:v>-58.687519306867983</c:v>
                </c:pt>
                <c:pt idx="518">
                  <c:v>-59.047963462439782</c:v>
                </c:pt>
                <c:pt idx="519">
                  <c:v>-59.409908592134869</c:v>
                </c:pt>
                <c:pt idx="520">
                  <c:v>-59.773308262162118</c:v>
                </c:pt>
                <c:pt idx="521">
                  <c:v>-60.138116657501293</c:v>
                </c:pt>
                <c:pt idx="522">
                  <c:v>-60.504288642154847</c:v>
                </c:pt>
                <c:pt idx="523">
                  <c:v>-60.871779813041584</c:v>
                </c:pt>
                <c:pt idx="524">
                  <c:v>-61.240546547775409</c:v>
                </c:pt>
                <c:pt idx="525">
                  <c:v>-61.610546046592532</c:v>
                </c:pt>
                <c:pt idx="526">
                  <c:v>-61.981736368703373</c:v>
                </c:pt>
                <c:pt idx="527">
                  <c:v>-62.354076463356698</c:v>
                </c:pt>
                <c:pt idx="528">
                  <c:v>-62.727526195907977</c:v>
                </c:pt>
                <c:pt idx="529">
                  <c:v>-63.102046369190774</c:v>
                </c:pt>
                <c:pt idx="530">
                  <c:v>-63.477598740485554</c:v>
                </c:pt>
                <c:pt idx="531">
                  <c:v>-63.854146034383852</c:v>
                </c:pt>
                <c:pt idx="532">
                  <c:v>-64.231651951838501</c:v>
                </c:pt>
                <c:pt idx="533">
                  <c:v>-64.610081175685394</c:v>
                </c:pt>
                <c:pt idx="534">
                  <c:v>-64.989399372916196</c:v>
                </c:pt>
                <c:pt idx="535">
                  <c:v>-65.369573193970382</c:v>
                </c:pt>
                <c:pt idx="536">
                  <c:v>-65.750570269307602</c:v>
                </c:pt>
                <c:pt idx="537">
                  <c:v>-66.132359203510248</c:v>
                </c:pt>
                <c:pt idx="538">
                  <c:v>-66.514909567153467</c:v>
                </c:pt>
                <c:pt idx="539">
                  <c:v>-66.898191886669778</c:v>
                </c:pt>
                <c:pt idx="540">
                  <c:v>-67.282177632423711</c:v>
                </c:pt>
                <c:pt idx="541">
                  <c:v>-67.666839205198571</c:v>
                </c:pt>
              </c:numCache>
            </c:numRef>
          </c:yVal>
          <c:smooth val="1"/>
          <c:extLst>
            <c:ext xmlns:c16="http://schemas.microsoft.com/office/drawing/2014/chart" uri="{C3380CC4-5D6E-409C-BE32-E72D297353CC}">
              <c16:uniqueId val="{00000000-2366-45D5-89AB-25312676E0B6}"/>
            </c:ext>
          </c:extLst>
        </c:ser>
        <c:ser>
          <c:idx val="2"/>
          <c:order val="2"/>
          <c:tx>
            <c:v>f_LP</c:v>
          </c:tx>
          <c:spPr>
            <a:ln w="38100" cmpd="sng"/>
          </c:spPr>
          <c:marker>
            <c:symbol val="x"/>
            <c:size val="7"/>
            <c:spPr>
              <a:noFill/>
            </c:spPr>
          </c:marker>
          <c:dPt>
            <c:idx val="0"/>
            <c:marker>
              <c:spPr>
                <a:noFill/>
                <a:ln w="19050">
                  <a:solidFill>
                    <a:schemeClr val="tx1"/>
                  </a:solidFill>
                </a:ln>
              </c:spPr>
            </c:marker>
            <c:bubble3D val="0"/>
            <c:extLst>
              <c:ext xmlns:c16="http://schemas.microsoft.com/office/drawing/2014/chart" uri="{C3380CC4-5D6E-409C-BE32-E72D297353CC}">
                <c16:uniqueId val="{00000001-2366-45D5-89AB-25312676E0B6}"/>
              </c:ext>
            </c:extLst>
          </c:dPt>
          <c:dLbls>
            <c:dLbl>
              <c:idx val="0"/>
              <c:tx>
                <c:rich>
                  <a:bodyPr/>
                  <a:lstStyle/>
                  <a:p>
                    <a:r>
                      <a:rPr lang="en-US" sz="1100" b="1"/>
                      <a:t>f</a:t>
                    </a:r>
                    <a:r>
                      <a:rPr lang="en-US" sz="1100" b="1" baseline="-25000"/>
                      <a:t>LP</a:t>
                    </a:r>
                    <a:endParaRPr lang="en-US" b="1" baseline="-25000"/>
                  </a:p>
                </c:rich>
              </c:tx>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2366-45D5-89AB-25312676E0B6}"/>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CCM_Loop_Modeling_Isolated!$O$11</c:f>
              <c:numCache>
                <c:formatCode>0</c:formatCode>
                <c:ptCount val="1"/>
                <c:pt idx="0">
                  <c:v>8.2986857634056488</c:v>
                </c:pt>
              </c:numCache>
            </c:numRef>
          </c:xVal>
          <c:yVal>
            <c:numRef>
              <c:f>CCM_Loop_Modeling_Isolated!$AW$11</c:f>
              <c:numCache>
                <c:formatCode>0.000</c:formatCode>
                <c:ptCount val="1"/>
                <c:pt idx="0">
                  <c:v>93.839392277623915</c:v>
                </c:pt>
              </c:numCache>
            </c:numRef>
          </c:yVal>
          <c:smooth val="0"/>
          <c:extLst>
            <c:ext xmlns:c16="http://schemas.microsoft.com/office/drawing/2014/chart" uri="{C3380CC4-5D6E-409C-BE32-E72D297353CC}">
              <c16:uniqueId val="{00000002-2366-45D5-89AB-25312676E0B6}"/>
            </c:ext>
          </c:extLst>
        </c:ser>
        <c:ser>
          <c:idx val="3"/>
          <c:order val="3"/>
          <c:tx>
            <c:v>fz_rhp</c:v>
          </c:tx>
          <c:spPr>
            <a:ln>
              <a:solidFill>
                <a:schemeClr val="tx1"/>
              </a:solidFill>
            </a:ln>
          </c:spPr>
          <c:marker>
            <c:symbol val="circle"/>
            <c:size val="7"/>
            <c:spPr>
              <a:noFill/>
              <a:ln w="19050">
                <a:solidFill>
                  <a:schemeClr val="tx1"/>
                </a:solidFill>
              </a:ln>
            </c:spPr>
          </c:marker>
          <c:dLbls>
            <c:dLbl>
              <c:idx val="0"/>
              <c:layout>
                <c:manualLayout>
                  <c:x val="8.0501209561423519E-3"/>
                  <c:y val="-1.549366727850418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2366-45D5-89AB-25312676E0B6}"/>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CCM_Loop_Modeling_Isolated!$O$9</c:f>
              <c:numCache>
                <c:formatCode>0</c:formatCode>
                <c:ptCount val="1"/>
                <c:pt idx="0">
                  <c:v>25255.893088990939</c:v>
                </c:pt>
              </c:numCache>
            </c:numRef>
          </c:xVal>
          <c:yVal>
            <c:numRef>
              <c:f>CCM_Loop_Modeling_Isolated!$AW$9</c:f>
              <c:numCache>
                <c:formatCode>0.000</c:formatCode>
                <c:ptCount val="1"/>
                <c:pt idx="0">
                  <c:v>-14.266398401258639</c:v>
                </c:pt>
              </c:numCache>
            </c:numRef>
          </c:yVal>
          <c:smooth val="1"/>
          <c:extLst>
            <c:ext xmlns:c16="http://schemas.microsoft.com/office/drawing/2014/chart" uri="{C3380CC4-5D6E-409C-BE32-E72D297353CC}">
              <c16:uniqueId val="{00000004-2366-45D5-89AB-25312676E0B6}"/>
            </c:ext>
          </c:extLst>
        </c:ser>
        <c:ser>
          <c:idx val="4"/>
          <c:order val="4"/>
          <c:tx>
            <c:v>f_esr</c:v>
          </c:tx>
          <c:spPr>
            <a:ln>
              <a:noFill/>
            </a:ln>
          </c:spPr>
          <c:marker>
            <c:symbol val="circle"/>
            <c:size val="5"/>
            <c:spPr>
              <a:noFill/>
              <a:ln w="19050">
                <a:solidFill>
                  <a:schemeClr val="tx1"/>
                </a:solidFill>
              </a:ln>
            </c:spPr>
          </c:marker>
          <c:dPt>
            <c:idx val="0"/>
            <c:marker>
              <c:symbol val="circle"/>
              <c:size val="7"/>
            </c:marker>
            <c:bubble3D val="0"/>
            <c:extLst>
              <c:ext xmlns:c16="http://schemas.microsoft.com/office/drawing/2014/chart" uri="{C3380CC4-5D6E-409C-BE32-E72D297353CC}">
                <c16:uniqueId val="{00000005-2366-45D5-89AB-25312676E0B6}"/>
              </c:ext>
            </c:extLst>
          </c:dPt>
          <c:dLbls>
            <c:dLbl>
              <c:idx val="0"/>
              <c:layout>
                <c:manualLayout>
                  <c:x val="-5.990474489899654E-2"/>
                  <c:y val="-1.245719349008710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2366-45D5-89AB-25312676E0B6}"/>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CCM_Loop_Modeling_Isolated!$O$10</c:f>
              <c:numCache>
                <c:formatCode>0</c:formatCode>
                <c:ptCount val="1"/>
                <c:pt idx="0">
                  <c:v>438574.84528380865</c:v>
                </c:pt>
              </c:numCache>
            </c:numRef>
          </c:xVal>
          <c:yVal>
            <c:numRef>
              <c:f>CCM_Loop_Modeling_Isolated!$AW$10</c:f>
              <c:numCache>
                <c:formatCode>0.000</c:formatCode>
                <c:ptCount val="1"/>
                <c:pt idx="0">
                  <c:v>-42.515880571377039</c:v>
                </c:pt>
              </c:numCache>
            </c:numRef>
          </c:yVal>
          <c:smooth val="1"/>
          <c:extLst>
            <c:ext xmlns:c16="http://schemas.microsoft.com/office/drawing/2014/chart" uri="{C3380CC4-5D6E-409C-BE32-E72D297353CC}">
              <c16:uniqueId val="{00000006-2366-45D5-89AB-25312676E0B6}"/>
            </c:ext>
          </c:extLst>
        </c:ser>
        <c:ser>
          <c:idx val="5"/>
          <c:order val="5"/>
          <c:tx>
            <c:v>fz_ea</c:v>
          </c:tx>
          <c:marker>
            <c:symbol val="circle"/>
            <c:size val="8"/>
            <c:spPr>
              <a:noFill/>
              <a:ln w="25400">
                <a:solidFill>
                  <a:srgbClr val="00B0F0"/>
                </a:solidFill>
              </a:ln>
            </c:spPr>
          </c:marker>
          <c:dLbls>
            <c:dLbl>
              <c:idx val="0"/>
              <c:spPr/>
              <c:txPr>
                <a:bodyPr/>
                <a:lstStyle/>
                <a:p>
                  <a:pPr>
                    <a:defRPr b="1"/>
                  </a:pPr>
                  <a:endParaRPr lang="en-US"/>
                </a:p>
              </c:txPr>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2366-45D5-89AB-25312676E0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CCM_Loop_Modeling_Isolated!$O$12</c:f>
              <c:numCache>
                <c:formatCode>General</c:formatCode>
                <c:ptCount val="1"/>
                <c:pt idx="0">
                  <c:v>340.07466472627209</c:v>
                </c:pt>
              </c:numCache>
            </c:numRef>
          </c:xVal>
          <c:yVal>
            <c:numRef>
              <c:f>CCM_Loop_Modeling_Isolated!$AW$12</c:f>
              <c:numCache>
                <c:formatCode>0.000</c:formatCode>
                <c:ptCount val="1"/>
                <c:pt idx="0">
                  <c:v>36.179980725304347</c:v>
                </c:pt>
              </c:numCache>
            </c:numRef>
          </c:yVal>
          <c:smooth val="1"/>
          <c:extLst>
            <c:ext xmlns:c16="http://schemas.microsoft.com/office/drawing/2014/chart" uri="{C3380CC4-5D6E-409C-BE32-E72D297353CC}">
              <c16:uniqueId val="{00000008-2366-45D5-89AB-25312676E0B6}"/>
            </c:ext>
          </c:extLst>
        </c:ser>
        <c:dLbls>
          <c:showLegendKey val="0"/>
          <c:showVal val="0"/>
          <c:showCatName val="0"/>
          <c:showSerName val="0"/>
          <c:showPercent val="0"/>
          <c:showBubbleSize val="0"/>
        </c:dLbls>
        <c:axId val="589404800"/>
        <c:axId val="589419264"/>
      </c:scatterChart>
      <c:scatterChart>
        <c:scatterStyle val="smoothMarker"/>
        <c:varyColors val="0"/>
        <c:ser>
          <c:idx val="1"/>
          <c:order val="1"/>
          <c:tx>
            <c:v>Phase (deg)</c:v>
          </c:tx>
          <c:spPr>
            <a:ln w="28575">
              <a:solidFill>
                <a:schemeClr val="tx1">
                  <a:lumMod val="95000"/>
                  <a:lumOff val="5000"/>
                </a:schemeClr>
              </a:solidFill>
              <a:prstDash val="sysDash"/>
            </a:ln>
          </c:spPr>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CCM_Loop_Modeling_Isolated!$AX$19:$AX$560</c:f>
              <c:numCache>
                <c:formatCode>General</c:formatCode>
                <c:ptCount val="542"/>
                <c:pt idx="0">
                  <c:v>40.969603230897349</c:v>
                </c:pt>
                <c:pt idx="1">
                  <c:v>40.370636601000335</c:v>
                </c:pt>
                <c:pt idx="2">
                  <c:v>39.776089238530503</c:v>
                </c:pt>
                <c:pt idx="3">
                  <c:v>39.186285786241235</c:v>
                </c:pt>
                <c:pt idx="4">
                  <c:v>38.601542419982728</c:v>
                </c:pt>
                <c:pt idx="5">
                  <c:v>38.02216628691572</c:v>
                </c:pt>
                <c:pt idx="6">
                  <c:v>37.448454997760109</c:v>
                </c:pt>
                <c:pt idx="7">
                  <c:v>36.880696174626713</c:v>
                </c:pt>
                <c:pt idx="8">
                  <c:v>36.319167055428132</c:v>
                </c:pt>
                <c:pt idx="9">
                  <c:v>35.764134155363713</c:v>
                </c:pt>
                <c:pt idx="10">
                  <c:v>35.215852985457147</c:v>
                </c:pt>
                <c:pt idx="11">
                  <c:v>34.674567827675034</c:v>
                </c:pt>
                <c:pt idx="12">
                  <c:v>34.140511565678665</c:v>
                </c:pt>
                <c:pt idx="13">
                  <c:v>33.613905569882959</c:v>
                </c:pt>
                <c:pt idx="14">
                  <c:v>33.094959635099123</c:v>
                </c:pt>
                <c:pt idx="15">
                  <c:v>32.58387196872178</c:v>
                </c:pt>
                <c:pt idx="16">
                  <c:v>32.080829227125676</c:v>
                </c:pt>
                <c:pt idx="17">
                  <c:v>31.586006597693565</c:v>
                </c:pt>
                <c:pt idx="18">
                  <c:v>31.099567923687491</c:v>
                </c:pt>
                <c:pt idx="19">
                  <c:v>30.621665869032189</c:v>
                </c:pt>
                <c:pt idx="20">
                  <c:v>30.152442119938247</c:v>
                </c:pt>
                <c:pt idx="21">
                  <c:v>29.692027620233592</c:v>
                </c:pt>
                <c:pt idx="22">
                  <c:v>29.240542837218122</c:v>
                </c:pt>
                <c:pt idx="23">
                  <c:v>28.798098054850669</c:v>
                </c:pt>
                <c:pt idx="24">
                  <c:v>28.364793691109178</c:v>
                </c:pt>
                <c:pt idx="25">
                  <c:v>27.940720636403462</c:v>
                </c:pt>
                <c:pt idx="26">
                  <c:v>27.525960610010149</c:v>
                </c:pt>
                <c:pt idx="27">
                  <c:v>27.120586531594842</c:v>
                </c:pt>
                <c:pt idx="28">
                  <c:v>26.724662904993785</c:v>
                </c:pt>
                <c:pt idx="29">
                  <c:v>26.338246211578365</c:v>
                </c:pt>
                <c:pt idx="30">
                  <c:v>25.961385310654276</c:v>
                </c:pt>
                <c:pt idx="31">
                  <c:v>25.594121844507281</c:v>
                </c:pt>
                <c:pt idx="32">
                  <c:v>25.236490645868827</c:v>
                </c:pt>
                <c:pt idx="33">
                  <c:v>24.888520145732965</c:v>
                </c:pt>
                <c:pt idx="34">
                  <c:v>24.55023277962826</c:v>
                </c:pt>
                <c:pt idx="35">
                  <c:v>24.221645390605879</c:v>
                </c:pt>
                <c:pt idx="36">
                  <c:v>23.90276962737444</c:v>
                </c:pt>
                <c:pt idx="37">
                  <c:v>23.593612336163886</c:v>
                </c:pt>
                <c:pt idx="38">
                  <c:v>23.294175945060655</c:v>
                </c:pt>
                <c:pt idx="39">
                  <c:v>23.0044588396987</c:v>
                </c:pt>
                <c:pt idx="40">
                  <c:v>22.724455729333684</c:v>
                </c:pt>
                <c:pt idx="41">
                  <c:v>22.454158002458595</c:v>
                </c:pt>
                <c:pt idx="42">
                  <c:v>22.19355407124241</c:v>
                </c:pt>
                <c:pt idx="43">
                  <c:v>21.94262970419399</c:v>
                </c:pt>
                <c:pt idx="44">
                  <c:v>21.70136834655051</c:v>
                </c:pt>
                <c:pt idx="45">
                  <c:v>21.469751427994645</c:v>
                </c:pt>
                <c:pt idx="46">
                  <c:v>21.247758657393753</c:v>
                </c:pt>
                <c:pt idx="47">
                  <c:v>21.035368304326393</c:v>
                </c:pt>
                <c:pt idx="48">
                  <c:v>20.83255746724463</c:v>
                </c:pt>
                <c:pt idx="49">
                  <c:v>20.639302328171649</c:v>
                </c:pt>
                <c:pt idx="50">
                  <c:v>20.455578393899462</c:v>
                </c:pt>
                <c:pt idx="51">
                  <c:v>20.281360723692945</c:v>
                </c:pt>
                <c:pt idx="52">
                  <c:v>20.116624143549419</c:v>
                </c:pt>
                <c:pt idx="53">
                  <c:v>19.961343447096226</c:v>
                </c:pt>
                <c:pt idx="54">
                  <c:v>19.815493583237892</c:v>
                </c:pt>
                <c:pt idx="55">
                  <c:v>19.679049830681759</c:v>
                </c:pt>
                <c:pt idx="56">
                  <c:v>19.551987959492944</c:v>
                </c:pt>
                <c:pt idx="57">
                  <c:v>19.434284379836196</c:v>
                </c:pt>
                <c:pt idx="58">
                  <c:v>19.325916278070011</c:v>
                </c:pt>
                <c:pt idx="59">
                  <c:v>19.226861740363642</c:v>
                </c:pt>
                <c:pt idx="60">
                  <c:v>19.137099863999101</c:v>
                </c:pt>
                <c:pt idx="61">
                  <c:v>19.056610856527133</c:v>
                </c:pt>
                <c:pt idx="62">
                  <c:v>18.985376122925079</c:v>
                </c:pt>
                <c:pt idx="63">
                  <c:v>18.923378340904982</c:v>
                </c:pt>
                <c:pt idx="64">
                  <c:v>18.870601524502568</c:v>
                </c:pt>
                <c:pt idx="65">
                  <c:v>18.827031076063211</c:v>
                </c:pt>
                <c:pt idx="66">
                  <c:v>18.792653826727172</c:v>
                </c:pt>
                <c:pt idx="67">
                  <c:v>18.767458065497458</c:v>
                </c:pt>
                <c:pt idx="68">
                  <c:v>18.751433556952467</c:v>
                </c:pt>
                <c:pt idx="69">
                  <c:v>18.744571547653337</c:v>
                </c:pt>
                <c:pt idx="70">
                  <c:v>18.746864761267179</c:v>
                </c:pt>
                <c:pt idx="71">
                  <c:v>18.758307382416017</c:v>
                </c:pt>
                <c:pt idx="72">
                  <c:v>18.778895029233041</c:v>
                </c:pt>
                <c:pt idx="73">
                  <c:v>18.808624714596082</c:v>
                </c:pt>
                <c:pt idx="74">
                  <c:v>18.847494795984037</c:v>
                </c:pt>
                <c:pt idx="75">
                  <c:v>18.895504913885638</c:v>
                </c:pt>
                <c:pt idx="76">
                  <c:v>18.952655918673916</c:v>
                </c:pt>
                <c:pt idx="77">
                  <c:v>19.018949785843592</c:v>
                </c:pt>
                <c:pt idx="78">
                  <c:v>19.094389519495316</c:v>
                </c:pt>
                <c:pt idx="79">
                  <c:v>19.17897904394037</c:v>
                </c:pt>
                <c:pt idx="80">
                  <c:v>19.272723083288422</c:v>
                </c:pt>
                <c:pt idx="81">
                  <c:v>19.37562702887837</c:v>
                </c:pt>
                <c:pt idx="82">
                  <c:v>19.487696794405046</c:v>
                </c:pt>
                <c:pt idx="83">
                  <c:v>19.608938658597665</c:v>
                </c:pt>
                <c:pt idx="84">
                  <c:v>19.739359095314033</c:v>
                </c:pt>
                <c:pt idx="85">
                  <c:v>19.87896459091256</c:v>
                </c:pt>
                <c:pt idx="86">
                  <c:v>20.027761448790002</c:v>
                </c:pt>
                <c:pt idx="87">
                  <c:v>20.185755580982278</c:v>
                </c:pt>
                <c:pt idx="88">
                  <c:v>20.35295228675453</c:v>
                </c:pt>
                <c:pt idx="89">
                  <c:v>20.5293560181338</c:v>
                </c:pt>
                <c:pt idx="90">
                  <c:v>20.714970132373274</c:v>
                </c:pt>
                <c:pt idx="91">
                  <c:v>20.909796631382974</c:v>
                </c:pt>
                <c:pt idx="92">
                  <c:v>21.113835888207515</c:v>
                </c:pt>
                <c:pt idx="93">
                  <c:v>21.327086360688067</c:v>
                </c:pt>
                <c:pt idx="94">
                  <c:v>21.549544292516106</c:v>
                </c:pt>
                <c:pt idx="95">
                  <c:v>21.781203401950361</c:v>
                </c:pt>
                <c:pt idx="96">
                  <c:v>22.02205455855383</c:v>
                </c:pt>
                <c:pt idx="97">
                  <c:v>22.272085448395149</c:v>
                </c:pt>
                <c:pt idx="98">
                  <c:v>22.531280228255973</c:v>
                </c:pt>
                <c:pt idx="99">
                  <c:v>22.79961916948637</c:v>
                </c:pt>
                <c:pt idx="100">
                  <c:v>23.077078292269654</c:v>
                </c:pt>
                <c:pt idx="101">
                  <c:v>23.363628991170483</c:v>
                </c:pt>
                <c:pt idx="102">
                  <c:v>23.659237652974014</c:v>
                </c:pt>
                <c:pt idx="103">
                  <c:v>23.963865267953274</c:v>
                </c:pt>
                <c:pt idx="104">
                  <c:v>24.277467035840921</c:v>
                </c:pt>
                <c:pt idx="105">
                  <c:v>24.599991967929729</c:v>
                </c:pt>
                <c:pt idx="106">
                  <c:v>24.931382486868067</c:v>
                </c:pt>
                <c:pt idx="107">
                  <c:v>25.271574025869167</c:v>
                </c:pt>
                <c:pt idx="108">
                  <c:v>25.620494629203787</c:v>
                </c:pt>
                <c:pt idx="109">
                  <c:v>25.978064555990393</c:v>
                </c:pt>
                <c:pt idx="110">
                  <c:v>26.344195889445139</c:v>
                </c:pt>
                <c:pt idx="111">
                  <c:v>26.718792153894864</c:v>
                </c:pt>
                <c:pt idx="112">
                  <c:v>27.101747941982378</c:v>
                </c:pt>
                <c:pt idx="113">
                  <c:v>27.492948554617996</c:v>
                </c:pt>
                <c:pt idx="114">
                  <c:v>27.892269656337721</c:v>
                </c:pt>
                <c:pt idx="115">
                  <c:v>28.299576948820324</c:v>
                </c:pt>
                <c:pt idx="116">
                  <c:v>28.714725865383926</c:v>
                </c:pt>
                <c:pt idx="117">
                  <c:v>29.137561289335295</c:v>
                </c:pt>
                <c:pt idx="118">
                  <c:v>29.567917299073244</c:v>
                </c:pt>
                <c:pt idx="119">
                  <c:v>30.005616942835783</c:v>
                </c:pt>
                <c:pt idx="120">
                  <c:v>30.450472045958115</c:v>
                </c:pt>
                <c:pt idx="121">
                  <c:v>30.902283053437191</c:v>
                </c:pt>
                <c:pt idx="122">
                  <c:v>31.36083891049924</c:v>
                </c:pt>
                <c:pt idx="123">
                  <c:v>31.825916983739564</c:v>
                </c:pt>
                <c:pt idx="124">
                  <c:v>32.297283025214419</c:v>
                </c:pt>
                <c:pt idx="125">
                  <c:v>32.774691181678016</c:v>
                </c:pt>
                <c:pt idx="126">
                  <c:v>33.257884050894816</c:v>
                </c:pt>
                <c:pt idx="127">
                  <c:v>33.746592786673659</c:v>
                </c:pt>
                <c:pt idx="128">
                  <c:v>34.240537253967453</c:v>
                </c:pt>
                <c:pt idx="129">
                  <c:v>34.739426235019117</c:v>
                </c:pt>
                <c:pt idx="130">
                  <c:v>35.242957687151154</c:v>
                </c:pt>
                <c:pt idx="131">
                  <c:v>35.750819052411906</c:v>
                </c:pt>
                <c:pt idx="132">
                  <c:v>36.262687618831855</c:v>
                </c:pt>
                <c:pt idx="133">
                  <c:v>36.778230932640611</c:v>
                </c:pt>
                <c:pt idx="134">
                  <c:v>37.297107260297928</c:v>
                </c:pt>
                <c:pt idx="135">
                  <c:v>37.818966098774801</c:v>
                </c:pt>
                <c:pt idx="136">
                  <c:v>38.343448732034595</c:v>
                </c:pt>
                <c:pt idx="137">
                  <c:v>38.870188831234003</c:v>
                </c:pt>
                <c:pt idx="138">
                  <c:v>39.398813095724982</c:v>
                </c:pt>
                <c:pt idx="139">
                  <c:v>39.928941931534133</c:v>
                </c:pt>
                <c:pt idx="140">
                  <c:v>40.460190163608701</c:v>
                </c:pt>
                <c:pt idx="141">
                  <c:v>40.99216777778409</c:v>
                </c:pt>
                <c:pt idx="142">
                  <c:v>41.52448068810709</c:v>
                </c:pt>
                <c:pt idx="143">
                  <c:v>42.056731524905629</c:v>
                </c:pt>
                <c:pt idx="144">
                  <c:v>42.588520438777351</c:v>
                </c:pt>
                <c:pt idx="145">
                  <c:v>43.119445915509161</c:v>
                </c:pt>
                <c:pt idx="146">
                  <c:v>43.649105596849239</c:v>
                </c:pt>
                <c:pt idx="147">
                  <c:v>44.177097101997759</c:v>
                </c:pt>
                <c:pt idx="148">
                  <c:v>44.70301884469707</c:v>
                </c:pt>
                <c:pt idx="149">
                  <c:v>45.226470840877475</c:v>
                </c:pt>
                <c:pt idx="150">
                  <c:v>45.747055501924052</c:v>
                </c:pt>
                <c:pt idx="151">
                  <c:v>46.264378408823603</c:v>
                </c:pt>
                <c:pt idx="152">
                  <c:v>46.778049062655512</c:v>
                </c:pt>
                <c:pt idx="153">
                  <c:v>47.287681607175323</c:v>
                </c:pt>
                <c:pt idx="154">
                  <c:v>47.792895519535818</c:v>
                </c:pt>
                <c:pt idx="155">
                  <c:v>48.293316265548391</c:v>
                </c:pt>
                <c:pt idx="156">
                  <c:v>48.788575916241797</c:v>
                </c:pt>
                <c:pt idx="157">
                  <c:v>49.278313722888115</c:v>
                </c:pt>
                <c:pt idx="158">
                  <c:v>49.762176648066173</c:v>
                </c:pt>
                <c:pt idx="159">
                  <c:v>50.239819850760654</c:v>
                </c:pt>
                <c:pt idx="160">
                  <c:v>50.710907123925509</c:v>
                </c:pt>
                <c:pt idx="161">
                  <c:v>51.175111283366327</c:v>
                </c:pt>
                <c:pt idx="162">
                  <c:v>51.632114507212677</c:v>
                </c:pt>
                <c:pt idx="163">
                  <c:v>52.081608625678115</c:v>
                </c:pt>
                <c:pt idx="164">
                  <c:v>52.52329536117999</c:v>
                </c:pt>
                <c:pt idx="165">
                  <c:v>52.956886519287011</c:v>
                </c:pt>
                <c:pt idx="166">
                  <c:v>53.382104131305127</c:v>
                </c:pt>
                <c:pt idx="167">
                  <c:v>53.798680549639698</c:v>
                </c:pt>
                <c:pt idx="168">
                  <c:v>54.206358497380322</c:v>
                </c:pt>
                <c:pt idx="169">
                  <c:v>54.604891073812936</c:v>
                </c:pt>
                <c:pt idx="170">
                  <c:v>54.994041717815016</c:v>
                </c:pt>
                <c:pt idx="171">
                  <c:v>55.373584131288091</c:v>
                </c:pt>
                <c:pt idx="172">
                  <c:v>55.743302164958578</c:v>
                </c:pt>
                <c:pt idx="173">
                  <c:v>56.102989669035729</c:v>
                </c:pt>
                <c:pt idx="174">
                  <c:v>56.452450311301092</c:v>
                </c:pt>
                <c:pt idx="175">
                  <c:v>56.791497365325455</c:v>
                </c:pt>
                <c:pt idx="176">
                  <c:v>57.119953471530792</c:v>
                </c:pt>
                <c:pt idx="177">
                  <c:v>57.437650373866376</c:v>
                </c:pt>
                <c:pt idx="178">
                  <c:v>57.744428634865585</c:v>
                </c:pt>
                <c:pt idx="179">
                  <c:v>58.040137331830536</c:v>
                </c:pt>
                <c:pt idx="180">
                  <c:v>58.324633736859127</c:v>
                </c:pt>
                <c:pt idx="181">
                  <c:v>58.597782983367779</c:v>
                </c:pt>
                <c:pt idx="182">
                  <c:v>58.859457721694952</c:v>
                </c:pt>
                <c:pt idx="183">
                  <c:v>59.109537766280212</c:v>
                </c:pt>
                <c:pt idx="184">
                  <c:v>59.347909736823645</c:v>
                </c:pt>
                <c:pt idx="185">
                  <c:v>59.57446669571528</c:v>
                </c:pt>
                <c:pt idx="186">
                  <c:v>59.789107783918745</c:v>
                </c:pt>
                <c:pt idx="187">
                  <c:v>59.991737857366914</c:v>
                </c:pt>
                <c:pt idx="188">
                  <c:v>60.182267125813183</c:v>
                </c:pt>
                <c:pt idx="189">
                  <c:v>60.360610795950734</c:v>
                </c:pt>
                <c:pt idx="190">
                  <c:v>60.526688720490256</c:v>
                </c:pt>
                <c:pt idx="191">
                  <c:v>60.680425054764704</c:v>
                </c:pt>
                <c:pt idx="192">
                  <c:v>60.821747922308361</c:v>
                </c:pt>
                <c:pt idx="193">
                  <c:v>60.950589090736656</c:v>
                </c:pt>
                <c:pt idx="194">
                  <c:v>61.06688365914227</c:v>
                </c:pt>
                <c:pt idx="195">
                  <c:v>61.170569758112492</c:v>
                </c:pt>
                <c:pt idx="196">
                  <c:v>61.261588263374065</c:v>
                </c:pt>
                <c:pt idx="197">
                  <c:v>61.33988252396157</c:v>
                </c:pt>
                <c:pt idx="198">
                  <c:v>61.40539810573204</c:v>
                </c:pt>
                <c:pt idx="199">
                  <c:v>61.458082550944006</c:v>
                </c:pt>
                <c:pt idx="200">
                  <c:v>61.497885154551625</c:v>
                </c:pt>
                <c:pt idx="201">
                  <c:v>61.524756757790144</c:v>
                </c:pt>
                <c:pt idx="202">
                  <c:v>61.538649559552013</c:v>
                </c:pt>
                <c:pt idx="203">
                  <c:v>61.539516946006039</c:v>
                </c:pt>
                <c:pt idx="204">
                  <c:v>61.527313338839072</c:v>
                </c:pt>
                <c:pt idx="205">
                  <c:v>61.501994062462835</c:v>
                </c:pt>
                <c:pt idx="206">
                  <c:v>61.463515230467586</c:v>
                </c:pt>
                <c:pt idx="207">
                  <c:v>61.411833651573943</c:v>
                </c:pt>
                <c:pt idx="208">
                  <c:v>61.346906755279306</c:v>
                </c:pt>
                <c:pt idx="209">
                  <c:v>61.268692537372942</c:v>
                </c:pt>
                <c:pt idx="210">
                  <c:v>61.177149525443838</c:v>
                </c:pt>
                <c:pt idx="211">
                  <c:v>61.072236764482227</c:v>
                </c:pt>
                <c:pt idx="212">
                  <c:v>60.95391382263378</c:v>
                </c:pt>
                <c:pt idx="213">
                  <c:v>60.822140817137544</c:v>
                </c:pt>
                <c:pt idx="214">
                  <c:v>60.676878460438189</c:v>
                </c:pt>
                <c:pt idx="215">
                  <c:v>60.518088126433675</c:v>
                </c:pt>
                <c:pt idx="216">
                  <c:v>60.345731936771912</c:v>
                </c:pt>
                <c:pt idx="217">
                  <c:v>60.159772867078388</c:v>
                </c:pt>
                <c:pt idx="218">
                  <c:v>59.96017487294192</c:v>
                </c:pt>
                <c:pt idx="219">
                  <c:v>59.746903035443346</c:v>
                </c:pt>
                <c:pt idx="220">
                  <c:v>59.51992372595074</c:v>
                </c:pt>
                <c:pt idx="221">
                  <c:v>59.279204789851249</c:v>
                </c:pt>
                <c:pt idx="222">
                  <c:v>59.024715748815339</c:v>
                </c:pt>
                <c:pt idx="223">
                  <c:v>58.756428021120058</c:v>
                </c:pt>
                <c:pt idx="224">
                  <c:v>58.474315159479175</c:v>
                </c:pt>
                <c:pt idx="225">
                  <c:v>58.178353105732882</c:v>
                </c:pt>
                <c:pt idx="226">
                  <c:v>57.868520461660644</c:v>
                </c:pt>
                <c:pt idx="227">
                  <c:v>57.544798775074149</c:v>
                </c:pt>
                <c:pt idx="228">
                  <c:v>57.207172840233298</c:v>
                </c:pt>
                <c:pt idx="229">
                  <c:v>56.855631011513388</c:v>
                </c:pt>
                <c:pt idx="230">
                  <c:v>56.490165529120105</c:v>
                </c:pt>
                <c:pt idx="231">
                  <c:v>56.110772855517638</c:v>
                </c:pt>
                <c:pt idx="232">
                  <c:v>55.717454021094341</c:v>
                </c:pt>
                <c:pt idx="233">
                  <c:v>55.310214977443877</c:v>
                </c:pt>
                <c:pt idx="234">
                  <c:v>54.889066956490609</c:v>
                </c:pt>
                <c:pt idx="235">
                  <c:v>54.454026833537348</c:v>
                </c:pt>
                <c:pt idx="236">
                  <c:v>54.005117492154554</c:v>
                </c:pt>
                <c:pt idx="237">
                  <c:v>53.542368188680655</c:v>
                </c:pt>
                <c:pt idx="238">
                  <c:v>53.065814913953936</c:v>
                </c:pt>
                <c:pt idx="239">
                  <c:v>52.575500749745309</c:v>
                </c:pt>
                <c:pt idx="240">
                  <c:v>52.07147621722828</c:v>
                </c:pt>
                <c:pt idx="241">
                  <c:v>51.553799614693091</c:v>
                </c:pt>
                <c:pt idx="242">
                  <c:v>51.022537341598408</c:v>
                </c:pt>
                <c:pt idx="243">
                  <c:v>50.477764205958621</c:v>
                </c:pt>
                <c:pt idx="244">
                  <c:v>49.919563711981553</c:v>
                </c:pt>
                <c:pt idx="245">
                  <c:v>49.348028324825492</c:v>
                </c:pt>
                <c:pt idx="246">
                  <c:v>48.763259709314255</c:v>
                </c:pt>
                <c:pt idx="247">
                  <c:v>48.165368939445877</c:v>
                </c:pt>
                <c:pt idx="248">
                  <c:v>47.554476675573298</c:v>
                </c:pt>
                <c:pt idx="249">
                  <c:v>46.930713306206819</c:v>
                </c:pt>
                <c:pt idx="250">
                  <c:v>46.294219051490053</c:v>
                </c:pt>
                <c:pt idx="251">
                  <c:v>45.645144025559041</c:v>
                </c:pt>
                <c:pt idx="252">
                  <c:v>44.983648255185564</c:v>
                </c:pt>
                <c:pt idx="253">
                  <c:v>44.309901652335732</c:v>
                </c:pt>
                <c:pt idx="254">
                  <c:v>43.624083938560666</c:v>
                </c:pt>
                <c:pt idx="255">
                  <c:v>42.926384519453833</c:v>
                </c:pt>
                <c:pt idx="256">
                  <c:v>42.217002307776013</c:v>
                </c:pt>
                <c:pt idx="257">
                  <c:v>41.49614549425074</c:v>
                </c:pt>
                <c:pt idx="258">
                  <c:v>40.764031265471708</c:v>
                </c:pt>
                <c:pt idx="259">
                  <c:v>40.020885468842103</c:v>
                </c:pt>
                <c:pt idx="260">
                  <c:v>39.266942224958449</c:v>
                </c:pt>
                <c:pt idx="261">
                  <c:v>38.502443488382383</c:v>
                </c:pt>
                <c:pt idx="262">
                  <c:v>37.727638558275018</c:v>
                </c:pt>
                <c:pt idx="263">
                  <c:v>36.9427835409167</c:v>
                </c:pt>
                <c:pt idx="264">
                  <c:v>36.148140766687568</c:v>
                </c:pt>
                <c:pt idx="265">
                  <c:v>35.343978164615663</c:v>
                </c:pt>
                <c:pt idx="266">
                  <c:v>34.530568598127118</c:v>
                </c:pt>
                <c:pt idx="267">
                  <c:v>33.708189166131262</c:v>
                </c:pt>
                <c:pt idx="268">
                  <c:v>32.877120474038207</c:v>
                </c:pt>
                <c:pt idx="269">
                  <c:v>32.037645879732054</c:v>
                </c:pt>
                <c:pt idx="270">
                  <c:v>31.190050719895513</c:v>
                </c:pt>
                <c:pt idx="271">
                  <c:v>30.334621522404593</c:v>
                </c:pt>
                <c:pt idx="272">
                  <c:v>29.471645210773072</c:v>
                </c:pt>
                <c:pt idx="273">
                  <c:v>28.601408306807308</c:v>
                </c:pt>
                <c:pt idx="274">
                  <c:v>27.724196137764764</c:v>
                </c:pt>
                <c:pt idx="275">
                  <c:v>26.840292054356205</c:v>
                </c:pt>
                <c:pt idx="276">
                  <c:v>25.949976665891512</c:v>
                </c:pt>
                <c:pt idx="277">
                  <c:v>25.053527098795566</c:v>
                </c:pt>
                <c:pt idx="278">
                  <c:v>24.151216284518405</c:v>
                </c:pt>
                <c:pt idx="279">
                  <c:v>23.243312282648148</c:v>
                </c:pt>
                <c:pt idx="280">
                  <c:v>22.330077644703607</c:v>
                </c:pt>
                <c:pt idx="281">
                  <c:v>21.411768823740363</c:v>
                </c:pt>
                <c:pt idx="282">
                  <c:v>20.488635634455242</c:v>
                </c:pt>
                <c:pt idx="283">
                  <c:v>19.560920768021738</c:v>
                </c:pt>
                <c:pt idx="284">
                  <c:v>18.628859365373309</c:v>
                </c:pt>
                <c:pt idx="285">
                  <c:v>17.692678652098703</c:v>
                </c:pt>
                <c:pt idx="286">
                  <c:v>16.752597637562765</c:v>
                </c:pt>
                <c:pt idx="287">
                  <c:v>15.808826880258431</c:v>
                </c:pt>
                <c:pt idx="288">
                  <c:v>14.861568320824869</c:v>
                </c:pt>
                <c:pt idx="289">
                  <c:v>13.911015183552539</c:v>
                </c:pt>
                <c:pt idx="290">
                  <c:v>12.957351946616184</c:v>
                </c:pt>
                <c:pt idx="291">
                  <c:v>12.000754380701283</c:v>
                </c:pt>
                <c:pt idx="292">
                  <c:v>11.041389655112416</c:v>
                </c:pt>
                <c:pt idx="293">
                  <c:v>10.07941650994532</c:v>
                </c:pt>
                <c:pt idx="294">
                  <c:v>9.1149854923566007</c:v>
                </c:pt>
                <c:pt idx="295">
                  <c:v>8.1482392545192877</c:v>
                </c:pt>
                <c:pt idx="296">
                  <c:v>7.1793129103775355</c:v>
                </c:pt>
                <c:pt idx="297">
                  <c:v>6.2083344479216303</c:v>
                </c:pt>
                <c:pt idx="298">
                  <c:v>5.2354251933090721</c:v>
                </c:pt>
                <c:pt idx="299">
                  <c:v>4.2607003228336531</c:v>
                </c:pt>
                <c:pt idx="300">
                  <c:v>3.284269418421653</c:v>
                </c:pt>
                <c:pt idx="301">
                  <c:v>2.3062370620861965</c:v>
                </c:pt>
                <c:pt idx="302">
                  <c:v>1.3267034645122306</c:v>
                </c:pt>
                <c:pt idx="303">
                  <c:v>0.34576512277073379</c:v>
                </c:pt>
                <c:pt idx="304">
                  <c:v>-0.63648449802588503</c:v>
                </c:pt>
                <c:pt idx="305">
                  <c:v>-1.619954264436875</c:v>
                </c:pt>
                <c:pt idx="306">
                  <c:v>-2.6045546611937036</c:v>
                </c:pt>
                <c:pt idx="307">
                  <c:v>-3.5901970699747916</c:v>
                </c:pt>
                <c:pt idx="308">
                  <c:v>-4.576793045987178</c:v>
                </c:pt>
                <c:pt idx="309">
                  <c:v>-5.5642535978997403</c:v>
                </c:pt>
                <c:pt idx="310">
                  <c:v>-6.5524884766544602</c:v>
                </c:pt>
                <c:pt idx="311">
                  <c:v>-7.5414054786406979</c:v>
                </c:pt>
                <c:pt idx="312">
                  <c:v>-8.5309097686398641</c:v>
                </c:pt>
                <c:pt idx="313">
                  <c:v>-9.520903227838259</c:v>
                </c:pt>
                <c:pt idx="314">
                  <c:v>-10.511283832077634</c:v>
                </c:pt>
                <c:pt idx="315">
                  <c:v>-11.501945065332229</c:v>
                </c:pt>
                <c:pt idx="316">
                  <c:v>-12.492775373208897</c:v>
                </c:pt>
                <c:pt idx="317">
                  <c:v>-13.483657661021125</c:v>
                </c:pt>
                <c:pt idx="318">
                  <c:v>-14.474468840719192</c:v>
                </c:pt>
                <c:pt idx="319">
                  <c:v>-15.465079430647927</c:v>
                </c:pt>
                <c:pt idx="320">
                  <c:v>-16.455353211763978</c:v>
                </c:pt>
                <c:pt idx="321">
                  <c:v>-17.445146943553819</c:v>
                </c:pt>
                <c:pt idx="322">
                  <c:v>-18.434310142484236</c:v>
                </c:pt>
                <c:pt idx="323">
                  <c:v>-19.422684925366102</c:v>
                </c:pt>
                <c:pt idx="324">
                  <c:v>-20.410105919522291</c:v>
                </c:pt>
                <c:pt idx="325">
                  <c:v>-21.396400241144413</c:v>
                </c:pt>
                <c:pt idx="326">
                  <c:v>-22.381387542673227</c:v>
                </c:pt>
                <c:pt idx="327">
                  <c:v>-23.364880129490853</c:v>
                </c:pt>
                <c:pt idx="328">
                  <c:v>-24.346683145614573</c:v>
                </c:pt>
                <c:pt idx="329">
                  <c:v>-25.326594827509197</c:v>
                </c:pt>
                <c:pt idx="330">
                  <c:v>-26.304406824521358</c:v>
                </c:pt>
                <c:pt idx="331">
                  <c:v>-27.279904583865921</c:v>
                </c:pt>
                <c:pt idx="332">
                  <c:v>-28.252867797488694</c:v>
                </c:pt>
                <c:pt idx="333">
                  <c:v>-29.223070907584578</c:v>
                </c:pt>
                <c:pt idx="334">
                  <c:v>-30.190283666991348</c:v>
                </c:pt>
                <c:pt idx="335">
                  <c:v>-31.154271750184478</c:v>
                </c:pt>
                <c:pt idx="336">
                  <c:v>-32.114797410120353</c:v>
                </c:pt>
                <c:pt idx="337">
                  <c:v>-33.071620175775131</c:v>
                </c:pt>
                <c:pt idx="338">
                  <c:v>-34.024497584840006</c:v>
                </c:pt>
                <c:pt idx="339">
                  <c:v>-34.973185945754004</c:v>
                </c:pt>
                <c:pt idx="340">
                  <c:v>-35.917441123004195</c:v>
                </c:pt>
                <c:pt idx="341">
                  <c:v>-36.857019339473432</c:v>
                </c:pt>
                <c:pt idx="342">
                  <c:v>-37.791677989502645</c:v>
                </c:pt>
                <c:pt idx="343">
                  <c:v>-38.721176456334931</c:v>
                </c:pt>
                <c:pt idx="344">
                  <c:v>-39.645276927655637</c:v>
                </c:pt>
                <c:pt idx="345">
                  <c:v>-40.563745203069956</c:v>
                </c:pt>
                <c:pt idx="346">
                  <c:v>-41.476351487560692</c:v>
                </c:pt>
                <c:pt idx="347">
                  <c:v>-42.382871165223904</c:v>
                </c:pt>
                <c:pt idx="348">
                  <c:v>-43.283085547928998</c:v>
                </c:pt>
                <c:pt idx="349">
                  <c:v>-44.176782593893904</c:v>
                </c:pt>
                <c:pt idx="350">
                  <c:v>-45.063757591626199</c:v>
                </c:pt>
                <c:pt idx="351">
                  <c:v>-45.943813805131533</c:v>
                </c:pt>
                <c:pt idx="352">
                  <c:v>-46.816763076796278</c:v>
                </c:pt>
                <c:pt idx="353">
                  <c:v>-47.68242638487213</c:v>
                </c:pt>
                <c:pt idx="354">
                  <c:v>-48.540634353035692</c:v>
                </c:pt>
                <c:pt idx="355">
                  <c:v>-49.391227710030343</c:v>
                </c:pt>
                <c:pt idx="356">
                  <c:v>-50.234057697956594</c:v>
                </c:pt>
                <c:pt idx="357">
                  <c:v>-51.068986428294409</c:v>
                </c:pt>
                <c:pt idx="358">
                  <c:v>-51.895887185275207</c:v>
                </c:pt>
                <c:pt idx="359">
                  <c:v>-52.714644676704353</c:v>
                </c:pt>
                <c:pt idx="360">
                  <c:v>-53.52515523280821</c:v>
                </c:pt>
                <c:pt idx="361">
                  <c:v>-54.32732695411184</c:v>
                </c:pt>
                <c:pt idx="362">
                  <c:v>-55.121079809746071</c:v>
                </c:pt>
                <c:pt idx="363">
                  <c:v>-55.906345687945446</c:v>
                </c:pt>
                <c:pt idx="364">
                  <c:v>-56.683068400805439</c:v>
                </c:pt>
                <c:pt idx="365">
                  <c:v>-57.451203645638444</c:v>
                </c:pt>
                <c:pt idx="366">
                  <c:v>-58.210718925504409</c:v>
                </c:pt>
                <c:pt idx="367">
                  <c:v>-58.961593431655082</c:v>
                </c:pt>
                <c:pt idx="368">
                  <c:v>-59.703817890796323</c:v>
                </c:pt>
                <c:pt idx="369">
                  <c:v>-60.437394380152369</c:v>
                </c:pt>
                <c:pt idx="370">
                  <c:v>-61.162336113386523</c:v>
                </c:pt>
                <c:pt idx="371">
                  <c:v>-61.878667200463497</c:v>
                </c:pt>
                <c:pt idx="372">
                  <c:v>-62.586422384519089</c:v>
                </c:pt>
                <c:pt idx="373">
                  <c:v>-63.285646758775471</c:v>
                </c:pt>
                <c:pt idx="374">
                  <c:v>-63.976395466473058</c:v>
                </c:pt>
                <c:pt idx="375">
                  <c:v>-64.658733386702366</c:v>
                </c:pt>
                <c:pt idx="376">
                  <c:v>-65.332734808913003</c:v>
                </c:pt>
                <c:pt idx="377">
                  <c:v>-65.998483098750526</c:v>
                </c:pt>
                <c:pt idx="378">
                  <c:v>-66.656070357737889</c:v>
                </c:pt>
                <c:pt idx="379">
                  <c:v>-67.305597079165608</c:v>
                </c:pt>
                <c:pt idx="380">
                  <c:v>-67.94717180240005</c:v>
                </c:pt>
                <c:pt idx="381">
                  <c:v>-68.580910767655851</c:v>
                </c:pt>
                <c:pt idx="382">
                  <c:v>-69.206937573117855</c:v>
                </c:pt>
                <c:pt idx="383">
                  <c:v>-69.825382836122856</c:v>
                </c:pt>
                <c:pt idx="384">
                  <c:v>-70.436383859956919</c:v>
                </c:pt>
                <c:pt idx="385">
                  <c:v>-71.040084307649423</c:v>
                </c:pt>
                <c:pt idx="386">
                  <c:v>-71.636633883995827</c:v>
                </c:pt>
                <c:pt idx="387">
                  <c:v>-72.226188026881388</c:v>
                </c:pt>
                <c:pt idx="388">
                  <c:v>-72.808907608825933</c:v>
                </c:pt>
                <c:pt idx="389">
                  <c:v>-73.384958649535221</c:v>
                </c:pt>
                <c:pt idx="390">
                  <c:v>-73.954512040099246</c:v>
                </c:pt>
                <c:pt idx="391">
                  <c:v>-74.517743279355287</c:v>
                </c:pt>
                <c:pt idx="392">
                  <c:v>-75.074832222809519</c:v>
                </c:pt>
                <c:pt idx="393">
                  <c:v>-75.625962844391807</c:v>
                </c:pt>
                <c:pt idx="394">
                  <c:v>-76.171323011218632</c:v>
                </c:pt>
                <c:pt idx="395">
                  <c:v>-76.711104271429789</c:v>
                </c:pt>
                <c:pt idx="396">
                  <c:v>-77.245501655075543</c:v>
                </c:pt>
                <c:pt idx="397">
                  <c:v>-77.774713487937859</c:v>
                </c:pt>
                <c:pt idx="398">
                  <c:v>-78.298941218089055</c:v>
                </c:pt>
                <c:pt idx="399">
                  <c:v>-78.818389254910585</c:v>
                </c:pt>
                <c:pt idx="400">
                  <c:v>-79.333264820222851</c:v>
                </c:pt>
                <c:pt idx="401">
                  <c:v>-79.843777811105539</c:v>
                </c:pt>
                <c:pt idx="402">
                  <c:v>-80.350140673921786</c:v>
                </c:pt>
                <c:pt idx="403">
                  <c:v>-80.852568288995073</c:v>
                </c:pt>
                <c:pt idx="404">
                  <c:v>-81.351277865327177</c:v>
                </c:pt>
                <c:pt idx="405">
                  <c:v>-81.846488844683194</c:v>
                </c:pt>
                <c:pt idx="406">
                  <c:v>-82.338422814312892</c:v>
                </c:pt>
                <c:pt idx="407">
                  <c:v>-82.827303427515702</c:v>
                </c:pt>
                <c:pt idx="408">
                  <c:v>-83.313356331201533</c:v>
                </c:pt>
                <c:pt idx="409">
                  <c:v>-83.79680909953926</c:v>
                </c:pt>
                <c:pt idx="410">
                  <c:v>-84.277891172720786</c:v>
                </c:pt>
                <c:pt idx="411">
                  <c:v>-84.756833799815979</c:v>
                </c:pt>
                <c:pt idx="412">
                  <c:v>-85.233869984627333</c:v>
                </c:pt>
                <c:pt idx="413">
                  <c:v>-85.709234433385731</c:v>
                </c:pt>
                <c:pt idx="414">
                  <c:v>-86.183163503073189</c:v>
                </c:pt>
                <c:pt idx="415">
                  <c:v>-86.655895149087257</c:v>
                </c:pt>
                <c:pt idx="416">
                  <c:v>-87.127668870892876</c:v>
                </c:pt>
                <c:pt idx="417">
                  <c:v>-87.598725654247957</c:v>
                </c:pt>
                <c:pt idx="418">
                  <c:v>-88.069307908512343</c:v>
                </c:pt>
                <c:pt idx="419">
                  <c:v>-88.539659397489388</c:v>
                </c:pt>
                <c:pt idx="420">
                  <c:v>-89.01002516218044</c:v>
                </c:pt>
                <c:pt idx="421">
                  <c:v>-89.480651433771271</c:v>
                </c:pt>
                <c:pt idx="422">
                  <c:v>-89.951785535105358</c:v>
                </c:pt>
                <c:pt idx="423">
                  <c:v>-90.423675768852348</c:v>
                </c:pt>
                <c:pt idx="424">
                  <c:v>-90.896571290519489</c:v>
                </c:pt>
                <c:pt idx="425">
                  <c:v>-91.370721964425613</c:v>
                </c:pt>
                <c:pt idx="426">
                  <c:v>-91.846378200720963</c:v>
                </c:pt>
                <c:pt idx="427">
                  <c:v>-92.323790771511838</c:v>
                </c:pt>
                <c:pt idx="428">
                  <c:v>-92.803210604163056</c:v>
                </c:pt>
                <c:pt idx="429">
                  <c:v>-93.284888549847793</c:v>
                </c:pt>
                <c:pt idx="430">
                  <c:v>-93.769075125452687</c:v>
                </c:pt>
                <c:pt idx="431">
                  <c:v>-94.256020227010197</c:v>
                </c:pt>
                <c:pt idx="432">
                  <c:v>-94.745972812893356</c:v>
                </c:pt>
                <c:pt idx="433">
                  <c:v>-95.239180555136983</c:v>
                </c:pt>
                <c:pt idx="434">
                  <c:v>-95.735889457366483</c:v>
                </c:pt>
                <c:pt idx="435">
                  <c:v>-96.236343438004582</c:v>
                </c:pt>
                <c:pt idx="436">
                  <c:v>-96.740783877619776</c:v>
                </c:pt>
                <c:pt idx="437">
                  <c:v>-97.24944912952914</c:v>
                </c:pt>
                <c:pt idx="438">
                  <c:v>-97.762573993048775</c:v>
                </c:pt>
                <c:pt idx="439">
                  <c:v>-98.280389149104067</c:v>
                </c:pt>
                <c:pt idx="440">
                  <c:v>-98.803120558274571</c:v>
                </c:pt>
                <c:pt idx="441">
                  <c:v>-99.330988821750211</c:v>
                </c:pt>
                <c:pt idx="442">
                  <c:v>-99.86420850610854</c:v>
                </c:pt>
                <c:pt idx="443">
                  <c:v>-100.40298743330465</c:v>
                </c:pt>
                <c:pt idx="444">
                  <c:v>-100.94752593777459</c:v>
                </c:pt>
                <c:pt idx="445">
                  <c:v>-101.49801609308312</c:v>
                </c:pt>
                <c:pt idx="446">
                  <c:v>-102.05464091112269</c:v>
                </c:pt>
                <c:pt idx="447">
                  <c:v>-102.61757351743987</c:v>
                </c:pt>
                <c:pt idx="448">
                  <c:v>-103.18697630686556</c:v>
                </c:pt>
                <c:pt idx="449">
                  <c:v>-103.76300008421434</c:v>
                </c:pt>
                <c:pt idx="450">
                  <c:v>-104.34578319540707</c:v>
                </c:pt>
                <c:pt idx="451">
                  <c:v>-104.93545065493934</c:v>
                </c:pt>
                <c:pt idx="452">
                  <c:v>-105.53211327616172</c:v>
                </c:pt>
                <c:pt idx="453">
                  <c:v>-106.13586681132405</c:v>
                </c:pt>
                <c:pt idx="454">
                  <c:v>-106.74679110880516</c:v>
                </c:pt>
                <c:pt idx="455">
                  <c:v>-107.3649492953062</c:v>
                </c:pt>
                <c:pt idx="456">
                  <c:v>-107.99038699110362</c:v>
                </c:pt>
                <c:pt idx="457">
                  <c:v>-108.62313156667611</c:v>
                </c:pt>
                <c:pt idx="458">
                  <c:v>-109.263191449123</c:v>
                </c:pt>
                <c:pt idx="459">
                  <c:v>-109.91055548681454</c:v>
                </c:pt>
                <c:pt idx="460">
                  <c:v>-110.56519238059691</c:v>
                </c:pt>
                <c:pt idx="461">
                  <c:v>-111.22705018964984</c:v>
                </c:pt>
                <c:pt idx="462">
                  <c:v>-111.89605591973483</c:v>
                </c:pt>
                <c:pt idx="463">
                  <c:v>-112.57211520109608</c:v>
                </c:pt>
                <c:pt idx="464">
                  <c:v>-113.25511206265656</c:v>
                </c:pt>
                <c:pt idx="465">
                  <c:v>-113.9449088084323</c:v>
                </c:pt>
                <c:pt idx="466">
                  <c:v>-114.64134600123344</c:v>
                </c:pt>
                <c:pt idx="467">
                  <c:v>-115.34424255776851</c:v>
                </c:pt>
                <c:pt idx="468">
                  <c:v>-116.05339595823031</c:v>
                </c:pt>
                <c:pt idx="469">
                  <c:v>-116.7685825723085</c:v>
                </c:pt>
                <c:pt idx="470">
                  <c:v>-117.48955810238741</c:v>
                </c:pt>
                <c:pt idx="471">
                  <c:v>-118.21605814346758</c:v>
                </c:pt>
                <c:pt idx="472">
                  <c:v>-118.94779885807201</c:v>
                </c:pt>
                <c:pt idx="473">
                  <c:v>-119.68447776317176</c:v>
                </c:pt>
                <c:pt idx="474">
                  <c:v>-120.42577462490176</c:v>
                </c:pt>
                <c:pt idx="475">
                  <c:v>-121.17135245565156</c:v>
                </c:pt>
                <c:pt idx="476">
                  <c:v>-121.9208586069763</c:v>
                </c:pt>
                <c:pt idx="477">
                  <c:v>-122.67392595073072</c:v>
                </c:pt>
                <c:pt idx="478">
                  <c:v>-123.43017413984222</c:v>
                </c:pt>
                <c:pt idx="479">
                  <c:v>-124.18921093934303</c:v>
                </c:pt>
                <c:pt idx="480">
                  <c:v>-124.95063361752756</c:v>
                </c:pt>
                <c:pt idx="481">
                  <c:v>-125.71403038655889</c:v>
                </c:pt>
                <c:pt idx="482">
                  <c:v>-126.47898188141892</c:v>
                </c:pt>
                <c:pt idx="483">
                  <c:v>-127.24506266581069</c:v>
                </c:pt>
                <c:pt idx="484">
                  <c:v>-128.01184275353731</c:v>
                </c:pt>
                <c:pt idx="485">
                  <c:v>-128.77888913388563</c:v>
                </c:pt>
                <c:pt idx="486">
                  <c:v>-129.54576728975812</c:v>
                </c:pt>
                <c:pt idx="487">
                  <c:v>-130.31204269760434</c:v>
                </c:pt>
                <c:pt idx="488">
                  <c:v>-131.07728229866683</c:v>
                </c:pt>
                <c:pt idx="489">
                  <c:v>-131.84105593165606</c:v>
                </c:pt>
                <c:pt idx="490">
                  <c:v>-132.60293771760917</c:v>
                </c:pt>
                <c:pt idx="491">
                  <c:v>-133.36250738851189</c:v>
                </c:pt>
                <c:pt idx="492">
                  <c:v>-134.11935155207553</c:v>
                </c:pt>
                <c:pt idx="493">
                  <c:v>-134.87306488598526</c:v>
                </c:pt>
                <c:pt idx="494">
                  <c:v>-135.62325125587421</c:v>
                </c:pt>
                <c:pt idx="495">
                  <c:v>-136.36952475225232</c:v>
                </c:pt>
                <c:pt idx="496">
                  <c:v>-137.11151064259295</c:v>
                </c:pt>
                <c:pt idx="497">
                  <c:v>-137.84884623575218</c:v>
                </c:pt>
                <c:pt idx="498">
                  <c:v>-138.58118165683885</c:v>
                </c:pt>
                <c:pt idx="499">
                  <c:v>-139.30818053157114</c:v>
                </c:pt>
                <c:pt idx="500">
                  <c:v>-140.02952058001779</c:v>
                </c:pt>
                <c:pt idx="501">
                  <c:v>-140.74489412043764</c:v>
                </c:pt>
                <c:pt idx="502">
                  <c:v>-141.4540084846779</c:v>
                </c:pt>
                <c:pt idx="503">
                  <c:v>-142.15658634727208</c:v>
                </c:pt>
                <c:pt idx="504">
                  <c:v>-142.85236597098782</c:v>
                </c:pt>
                <c:pt idx="505">
                  <c:v>-143.54110137210427</c:v>
                </c:pt>
                <c:pt idx="506">
                  <c:v>-144.22256240915351</c:v>
                </c:pt>
                <c:pt idx="507">
                  <c:v>-144.89653479924579</c:v>
                </c:pt>
                <c:pt idx="508">
                  <c:v>-145.56282006639262</c:v>
                </c:pt>
                <c:pt idx="509">
                  <c:v>-146.22123542648089</c:v>
                </c:pt>
                <c:pt idx="510">
                  <c:v>-146.87161361371233</c:v>
                </c:pt>
                <c:pt idx="511">
                  <c:v>-147.51380265342434</c:v>
                </c:pt>
                <c:pt idx="512">
                  <c:v>-148.14766558624257</c:v>
                </c:pt>
                <c:pt idx="513">
                  <c:v>-148.77308014851101</c:v>
                </c:pt>
                <c:pt idx="514">
                  <c:v>-149.38993841387193</c:v>
                </c:pt>
                <c:pt idx="515">
                  <c:v>-149.99814640076991</c:v>
                </c:pt>
                <c:pt idx="516">
                  <c:v>-150.59762365051591</c:v>
                </c:pt>
                <c:pt idx="517">
                  <c:v>-151.18830278035836</c:v>
                </c:pt>
                <c:pt idx="518">
                  <c:v>-151.77012901583132</c:v>
                </c:pt>
                <c:pt idx="519">
                  <c:v>-152.34305970640378</c:v>
                </c:pt>
                <c:pt idx="520">
                  <c:v>-152.90706382824405</c:v>
                </c:pt>
                <c:pt idx="521">
                  <c:v>-153.46212147764538</c:v>
                </c:pt>
                <c:pt idx="522">
                  <c:v>-154.00822335841212</c:v>
                </c:pt>
                <c:pt idx="523">
                  <c:v>-154.54537026625297</c:v>
                </c:pt>
                <c:pt idx="524">
                  <c:v>-155.07357257295754</c:v>
                </c:pt>
                <c:pt idx="525">
                  <c:v>-155.59284971288736</c:v>
                </c:pt>
                <c:pt idx="526">
                  <c:v>-156.10322967405185</c:v>
                </c:pt>
                <c:pt idx="527">
                  <c:v>-156.60474849580851</c:v>
                </c:pt>
                <c:pt idx="528">
                  <c:v>-157.0974497749763</c:v>
                </c:pt>
                <c:pt idx="529">
                  <c:v>-157.58138418194773</c:v>
                </c:pt>
                <c:pt idx="530">
                  <c:v>-158.05660898814438</c:v>
                </c:pt>
                <c:pt idx="531">
                  <c:v>-158.52318760599252</c:v>
                </c:pt>
                <c:pt idx="532">
                  <c:v>-158.98118914237642</c:v>
                </c:pt>
                <c:pt idx="533">
                  <c:v>-159.43068796638059</c:v>
                </c:pt>
                <c:pt idx="534">
                  <c:v>-159.87176329194332</c:v>
                </c:pt>
                <c:pt idx="535">
                  <c:v>-160.30449877592181</c:v>
                </c:pt>
                <c:pt idx="536">
                  <c:v>-160.72898213190871</c:v>
                </c:pt>
                <c:pt idx="537">
                  <c:v>-161.14530476003895</c:v>
                </c:pt>
                <c:pt idx="538">
                  <c:v>-161.55356139289904</c:v>
                </c:pt>
                <c:pt idx="539">
                  <c:v>-161.95384975755772</c:v>
                </c:pt>
                <c:pt idx="540">
                  <c:v>-162.34627025365052</c:v>
                </c:pt>
                <c:pt idx="541">
                  <c:v>-162.73092564736979</c:v>
                </c:pt>
              </c:numCache>
            </c:numRef>
          </c:yVal>
          <c:smooth val="1"/>
          <c:extLst>
            <c:ext xmlns:c16="http://schemas.microsoft.com/office/drawing/2014/chart" uri="{C3380CC4-5D6E-409C-BE32-E72D297353CC}">
              <c16:uniqueId val="{00000009-2366-45D5-89AB-25312676E0B6}"/>
            </c:ext>
          </c:extLst>
        </c:ser>
        <c:dLbls>
          <c:showLegendKey val="0"/>
          <c:showVal val="0"/>
          <c:showCatName val="0"/>
          <c:showSerName val="0"/>
          <c:showPercent val="0"/>
          <c:showBubbleSize val="0"/>
        </c:dLbls>
        <c:axId val="589562624"/>
        <c:axId val="589421184"/>
      </c:scatterChart>
      <c:valAx>
        <c:axId val="589404800"/>
        <c:scaling>
          <c:logBase val="10"/>
          <c:orientation val="minMax"/>
          <c:max val="2000000"/>
          <c:min val="10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txPr>
          <a:bodyPr/>
          <a:lstStyle/>
          <a:p>
            <a:pPr>
              <a:defRPr b="1"/>
            </a:pPr>
            <a:endParaRPr lang="en-US"/>
          </a:p>
        </c:txPr>
        <c:crossAx val="589419264"/>
        <c:crosses val="autoZero"/>
        <c:crossBetween val="midCat"/>
      </c:valAx>
      <c:valAx>
        <c:axId val="589419264"/>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b="1">
                <a:solidFill>
                  <a:srgbClr val="FF0000"/>
                </a:solidFill>
              </a:defRPr>
            </a:pPr>
            <a:endParaRPr lang="en-US"/>
          </a:p>
        </c:txPr>
        <c:crossAx val="589404800"/>
        <c:crosses val="autoZero"/>
        <c:crossBetween val="midCat"/>
        <c:majorUnit val="20"/>
        <c:minorUnit val="10"/>
      </c:valAx>
      <c:valAx>
        <c:axId val="589421184"/>
        <c:scaling>
          <c:orientation val="minMax"/>
          <c:max val="180"/>
          <c:min val="-180"/>
        </c:scaling>
        <c:delete val="0"/>
        <c:axPos val="r"/>
        <c:title>
          <c:tx>
            <c:rich>
              <a:bodyPr rot="-5400000" vert="horz"/>
              <a:lstStyle/>
              <a:p>
                <a:pPr>
                  <a:defRPr/>
                </a:pPr>
                <a:r>
                  <a:rPr lang="en-US"/>
                  <a:t>Phase (deg)</a:t>
                </a:r>
              </a:p>
            </c:rich>
          </c:tx>
          <c:overlay val="0"/>
        </c:title>
        <c:numFmt formatCode="General" sourceLinked="1"/>
        <c:majorTickMark val="out"/>
        <c:minorTickMark val="none"/>
        <c:tickLblPos val="nextTo"/>
        <c:txPr>
          <a:bodyPr/>
          <a:lstStyle/>
          <a:p>
            <a:pPr>
              <a:defRPr b="1">
                <a:solidFill>
                  <a:schemeClr val="tx1">
                    <a:lumMod val="95000"/>
                    <a:lumOff val="5000"/>
                  </a:schemeClr>
                </a:solidFill>
              </a:defRPr>
            </a:pPr>
            <a:endParaRPr lang="en-US"/>
          </a:p>
        </c:txPr>
        <c:crossAx val="589562624"/>
        <c:crosses val="max"/>
        <c:crossBetween val="midCat"/>
        <c:majorUnit val="90"/>
        <c:minorUnit val="45"/>
      </c:valAx>
      <c:valAx>
        <c:axId val="589562624"/>
        <c:scaling>
          <c:logBase val="10"/>
          <c:orientation val="minMax"/>
        </c:scaling>
        <c:delete val="1"/>
        <c:axPos val="b"/>
        <c:numFmt formatCode="0.00" sourceLinked="1"/>
        <c:majorTickMark val="out"/>
        <c:minorTickMark val="none"/>
        <c:tickLblPos val="nextTo"/>
        <c:crossAx val="589421184"/>
        <c:crosses val="autoZero"/>
        <c:crossBetween val="midCat"/>
      </c:valAx>
    </c:plotArea>
    <c:legend>
      <c:legendPos val="r"/>
      <c:legendEntry>
        <c:idx val="1"/>
        <c:delete val="1"/>
      </c:legendEntry>
      <c:legendEntry>
        <c:idx val="2"/>
        <c:delete val="1"/>
      </c:legendEntry>
      <c:legendEntry>
        <c:idx val="3"/>
        <c:delete val="1"/>
      </c:legendEntry>
      <c:legendEntry>
        <c:idx val="4"/>
        <c:delete val="1"/>
      </c:legendEntry>
      <c:layout>
        <c:manualLayout>
          <c:xMode val="edge"/>
          <c:yMode val="edge"/>
          <c:x val="0.61392536510371165"/>
          <c:y val="7.0381012799940294E-3"/>
          <c:w val="0.28497500584606611"/>
          <c:h val="7.9643865606846526E-2"/>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Error</a:t>
            </a:r>
            <a:r>
              <a:rPr lang="en-US" baseline="0"/>
              <a:t> Amplifier Transfer</a:t>
            </a:r>
          </a:p>
        </c:rich>
      </c:tx>
      <c:overlay val="0"/>
    </c:title>
    <c:autoTitleDeleted val="0"/>
    <c:plotArea>
      <c:layout/>
      <c:scatterChart>
        <c:scatterStyle val="smoothMarker"/>
        <c:varyColors val="0"/>
        <c:ser>
          <c:idx val="0"/>
          <c:order val="0"/>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CCM_Loop_Modeling_Isolated!$AT$19:$AT$560</c:f>
              <c:numCache>
                <c:formatCode>General</c:formatCode>
                <c:ptCount val="542"/>
                <c:pt idx="0">
                  <c:v>40.269114664534698</c:v>
                </c:pt>
                <c:pt idx="1">
                  <c:v>40.069382759302684</c:v>
                </c:pt>
                <c:pt idx="2">
                  <c:v>39.869663470593238</c:v>
                </c:pt>
                <c:pt idx="3">
                  <c:v>39.669957391232835</c:v>
                </c:pt>
                <c:pt idx="4">
                  <c:v>39.470265141816455</c:v>
                </c:pt>
                <c:pt idx="5">
                  <c:v>39.270587371999909</c:v>
                </c:pt>
                <c:pt idx="6">
                  <c:v>39.070924761851394</c:v>
                </c:pt>
                <c:pt idx="7">
                  <c:v>38.871278023265184</c:v>
                </c:pt>
                <c:pt idx="8">
                  <c:v>38.671647901439869</c:v>
                </c:pt>
                <c:pt idx="9">
                  <c:v>38.472035176424441</c:v>
                </c:pt>
                <c:pt idx="10">
                  <c:v>38.272440664734695</c:v>
                </c:pt>
                <c:pt idx="11">
                  <c:v>38.072865221043457</c:v>
                </c:pt>
                <c:pt idx="12">
                  <c:v>37.873309739947942</c:v>
                </c:pt>
                <c:pt idx="13">
                  <c:v>37.673775157816991</c:v>
                </c:pt>
                <c:pt idx="14">
                  <c:v>37.474262454722563</c:v>
                </c:pt>
                <c:pt idx="15">
                  <c:v>37.274772656458332</c:v>
                </c:pt>
                <c:pt idx="16">
                  <c:v>37.07530683664973</c:v>
                </c:pt>
                <c:pt idx="17">
                  <c:v>36.875866118959024</c:v>
                </c:pt>
                <c:pt idx="18">
                  <c:v>36.676451679389665</c:v>
                </c:pt>
                <c:pt idx="19">
                  <c:v>36.477064748694161</c:v>
                </c:pt>
                <c:pt idx="20">
                  <c:v>36.277706614889638</c:v>
                </c:pt>
                <c:pt idx="21">
                  <c:v>36.078378625885868</c:v>
                </c:pt>
                <c:pt idx="22">
                  <c:v>35.879082192230769</c:v>
                </c:pt>
                <c:pt idx="23">
                  <c:v>35.679818789976785</c:v>
                </c:pt>
                <c:pt idx="24">
                  <c:v>35.480589963676302</c:v>
                </c:pt>
                <c:pt idx="25">
                  <c:v>35.281397329506888</c:v>
                </c:pt>
                <c:pt idx="26">
                  <c:v>35.082242578536025</c:v>
                </c:pt>
                <c:pt idx="27">
                  <c:v>34.883127480128742</c:v>
                </c:pt>
                <c:pt idx="28">
                  <c:v>34.684053885503182</c:v>
                </c:pt>
                <c:pt idx="29">
                  <c:v>34.485023731442674</c:v>
                </c:pt>
                <c:pt idx="30">
                  <c:v>34.286039044167644</c:v>
                </c:pt>
                <c:pt idx="31">
                  <c:v>34.087101943374932</c:v>
                </c:pt>
                <c:pt idx="32">
                  <c:v>33.888214646452113</c:v>
                </c:pt>
                <c:pt idx="33">
                  <c:v>33.689379472870129</c:v>
                </c:pt>
                <c:pt idx="34">
                  <c:v>33.49059884876511</c:v>
                </c:pt>
                <c:pt idx="35">
                  <c:v>33.291875311713255</c:v>
                </c:pt>
                <c:pt idx="36">
                  <c:v>33.093211515707232</c:v>
                </c:pt>
                <c:pt idx="37">
                  <c:v>32.894610236341315</c:v>
                </c:pt>
                <c:pt idx="38">
                  <c:v>32.696074376212422</c:v>
                </c:pt>
                <c:pt idx="39">
                  <c:v>32.49760697054446</c:v>
                </c:pt>
                <c:pt idx="40">
                  <c:v>32.299211193044506</c:v>
                </c:pt>
                <c:pt idx="41">
                  <c:v>32.100890361996932</c:v>
                </c:pt>
                <c:pt idx="42">
                  <c:v>31.902647946605477</c:v>
                </c:pt>
                <c:pt idx="43">
                  <c:v>31.704487573589088</c:v>
                </c:pt>
                <c:pt idx="44">
                  <c:v>31.506413034041024</c:v>
                </c:pt>
                <c:pt idx="45">
                  <c:v>31.308428290558183</c:v>
                </c:pt>
                <c:pt idx="46">
                  <c:v>31.110537484649321</c:v>
                </c:pt>
                <c:pt idx="47">
                  <c:v>30.912744944429477</c:v>
                </c:pt>
                <c:pt idx="48">
                  <c:v>30.715055192608823</c:v>
                </c:pt>
                <c:pt idx="49">
                  <c:v>30.517472954783248</c:v>
                </c:pt>
                <c:pt idx="50">
                  <c:v>30.320003168034585</c:v>
                </c:pt>
                <c:pt idx="51">
                  <c:v>30.122650989847276</c:v>
                </c:pt>
                <c:pt idx="52">
                  <c:v>29.925421807349004</c:v>
                </c:pt>
                <c:pt idx="53">
                  <c:v>29.72832124688086</c:v>
                </c:pt>
                <c:pt idx="54">
                  <c:v>29.531355183904864</c:v>
                </c:pt>
                <c:pt idx="55">
                  <c:v>29.334529753252845</c:v>
                </c:pt>
                <c:pt idx="56">
                  <c:v>29.137851359722827</c:v>
                </c:pt>
                <c:pt idx="57">
                  <c:v>28.941326689026848</c:v>
                </c:pt>
                <c:pt idx="58">
                  <c:v>28.744962719093866</c:v>
                </c:pt>
                <c:pt idx="59">
                  <c:v>28.548766731731043</c:v>
                </c:pt>
                <c:pt idx="60">
                  <c:v>28.352746324643793</c:v>
                </c:pt>
                <c:pt idx="61">
                  <c:v>28.156909423816874</c:v>
                </c:pt>
                <c:pt idx="62">
                  <c:v>27.96126429625383</c:v>
                </c:pt>
                <c:pt idx="63">
                  <c:v>27.765819563074725</c:v>
                </c:pt>
                <c:pt idx="64">
                  <c:v>27.570584212966068</c:v>
                </c:pt>
                <c:pt idx="65">
                  <c:v>27.375567615979698</c:v>
                </c:pt>
                <c:pt idx="66">
                  <c:v>27.180779537670961</c:v>
                </c:pt>
                <c:pt idx="67">
                  <c:v>26.986230153567679</c:v>
                </c:pt>
                <c:pt idx="68">
                  <c:v>26.791930063958041</c:v>
                </c:pt>
                <c:pt idx="69">
                  <c:v>26.597890308981235</c:v>
                </c:pt>
                <c:pt idx="70">
                  <c:v>26.404122384004815</c:v>
                </c:pt>
                <c:pt idx="71">
                  <c:v>26.210638255267511</c:v>
                </c:pt>
                <c:pt idx="72">
                  <c:v>26.01745037576308</c:v>
                </c:pt>
                <c:pt idx="73">
                  <c:v>25.824571701338247</c:v>
                </c:pt>
                <c:pt idx="74">
                  <c:v>25.63201570697273</c:v>
                </c:pt>
                <c:pt idx="75">
                  <c:v>25.439796403205641</c:v>
                </c:pt>
                <c:pt idx="76">
                  <c:v>25.247928352667891</c:v>
                </c:pt>
                <c:pt idx="77">
                  <c:v>25.056426686675763</c:v>
                </c:pt>
                <c:pt idx="78">
                  <c:v>24.865307121834949</c:v>
                </c:pt>
                <c:pt idx="79">
                  <c:v>24.674585976599431</c:v>
                </c:pt>
                <c:pt idx="80">
                  <c:v>24.484280187724224</c:v>
                </c:pt>
                <c:pt idx="81">
                  <c:v>24.294407326543379</c:v>
                </c:pt>
                <c:pt idx="82">
                  <c:v>24.104985615000238</c:v>
                </c:pt>
                <c:pt idx="83">
                  <c:v>23.916033941348594</c:v>
                </c:pt>
                <c:pt idx="84">
                  <c:v>23.727571875437576</c:v>
                </c:pt>
                <c:pt idx="85">
                  <c:v>23.539619683485022</c:v>
                </c:pt>
                <c:pt idx="86">
                  <c:v>23.352198342237493</c:v>
                </c:pt>
                <c:pt idx="87">
                  <c:v>23.165329552406938</c:v>
                </c:pt>
                <c:pt idx="88">
                  <c:v>22.979035751265865</c:v>
                </c:pt>
                <c:pt idx="89">
                  <c:v>22.793340124276661</c:v>
                </c:pt>
                <c:pt idx="90">
                  <c:v>22.6082666156207</c:v>
                </c:pt>
                <c:pt idx="91">
                  <c:v>22.423839937486573</c:v>
                </c:pt>
                <c:pt idx="92">
                  <c:v>22.240085577968806</c:v>
                </c:pt>
                <c:pt idx="93">
                  <c:v>22.057029807420733</c:v>
                </c:pt>
                <c:pt idx="94">
                  <c:v>21.874699683097919</c:v>
                </c:pt>
                <c:pt idx="95">
                  <c:v>21.693123051922335</c:v>
                </c:pt>
                <c:pt idx="96">
                  <c:v>21.512328551191612</c:v>
                </c:pt>
                <c:pt idx="97">
                  <c:v>21.332345607050883</c:v>
                </c:pt>
                <c:pt idx="98">
                  <c:v>21.153204430542381</c:v>
                </c:pt>
                <c:pt idx="99">
                  <c:v>20.974936011042654</c:v>
                </c:pt>
                <c:pt idx="100">
                  <c:v>20.797572106895849</c:v>
                </c:pt>
                <c:pt idx="101">
                  <c:v>20.621145233050157</c:v>
                </c:pt>
                <c:pt idx="102">
                  <c:v>20.445688645506827</c:v>
                </c:pt>
                <c:pt idx="103">
                  <c:v>20.271236322389932</c:v>
                </c:pt>
                <c:pt idx="104">
                  <c:v>20.097822941453792</c:v>
                </c:pt>
                <c:pt idx="105">
                  <c:v>19.925483853848384</c:v>
                </c:pt>
                <c:pt idx="106">
                  <c:v>19.754255053973171</c:v>
                </c:pt>
                <c:pt idx="107">
                  <c:v>19.584173145260664</c:v>
                </c:pt>
                <c:pt idx="108">
                  <c:v>19.415275301745389</c:v>
                </c:pt>
                <c:pt idx="109">
                  <c:v>19.247599225290099</c:v>
                </c:pt>
                <c:pt idx="110">
                  <c:v>19.081183098361279</c:v>
                </c:pt>
                <c:pt idx="111">
                  <c:v>18.916065532268284</c:v>
                </c:pt>
                <c:pt idx="112">
                  <c:v>18.752285510806182</c:v>
                </c:pt>
                <c:pt idx="113">
                  <c:v>18.589882329271148</c:v>
                </c:pt>
                <c:pt idx="114">
                  <c:v>18.428895528849022</c:v>
                </c:pt>
                <c:pt idx="115">
                  <c:v>18.269364826411962</c:v>
                </c:pt>
                <c:pt idx="116">
                  <c:v>18.111330039796062</c:v>
                </c:pt>
                <c:pt idx="117">
                  <c:v>17.954831008672024</c:v>
                </c:pt>
                <c:pt idx="118">
                  <c:v>17.799907511163703</c:v>
                </c:pt>
                <c:pt idx="119">
                  <c:v>17.64659917641325</c:v>
                </c:pt>
                <c:pt idx="120">
                  <c:v>17.494945393336788</c:v>
                </c:pt>
                <c:pt idx="121">
                  <c:v>17.344985215861634</c:v>
                </c:pt>
                <c:pt idx="122">
                  <c:v>17.196757264983141</c:v>
                </c:pt>
                <c:pt idx="123">
                  <c:v>17.050299628024668</c:v>
                </c:pt>
                <c:pt idx="124">
                  <c:v>16.905649755532835</c:v>
                </c:pt>
                <c:pt idx="125">
                  <c:v>16.762844356281949</c:v>
                </c:pt>
                <c:pt idx="126">
                  <c:v>16.621919290905137</c:v>
                </c:pt>
                <c:pt idx="127">
                  <c:v>16.482909464709234</c:v>
                </c:pt>
                <c:pt idx="128">
                  <c:v>16.345848720264733</c:v>
                </c:pt>
                <c:pt idx="129">
                  <c:v>16.210769730393064</c:v>
                </c:pt>
                <c:pt idx="130">
                  <c:v>16.077703892200791</c:v>
                </c:pt>
                <c:pt idx="131">
                  <c:v>15.946681222827186</c:v>
                </c:pt>
                <c:pt idx="132">
                  <c:v>15.817730257587236</c:v>
                </c:pt>
                <c:pt idx="133">
                  <c:v>15.69087795119672</c:v>
                </c:pt>
                <c:pt idx="134">
                  <c:v>15.566149582765069</c:v>
                </c:pt>
                <c:pt idx="135">
                  <c:v>15.443568665232894</c:v>
                </c:pt>
                <c:pt idx="136">
                  <c:v>15.323156859913274</c:v>
                </c:pt>
                <c:pt idx="137">
                  <c:v>15.204933896771703</c:v>
                </c:pt>
                <c:pt idx="138">
                  <c:v>15.088917501044875</c:v>
                </c:pt>
                <c:pt idx="139">
                  <c:v>14.975123326761484</c:v>
                </c:pt>
                <c:pt idx="140">
                  <c:v>14.863564897675502</c:v>
                </c:pt>
                <c:pt idx="141">
                  <c:v>14.754253556072896</c:v>
                </c:pt>
                <c:pt idx="142">
                  <c:v>14.647198419848666</c:v>
                </c:pt>
                <c:pt idx="143">
                  <c:v>14.542406348187926</c:v>
                </c:pt>
                <c:pt idx="144">
                  <c:v>14.439881916113915</c:v>
                </c:pt>
                <c:pt idx="145">
                  <c:v>14.339627398091295</c:v>
                </c:pt>
                <c:pt idx="146">
                  <c:v>14.241642760801998</c:v>
                </c:pt>
                <c:pt idx="147">
                  <c:v>14.145925665127759</c:v>
                </c:pt>
                <c:pt idx="148">
                  <c:v>14.052471477303779</c:v>
                </c:pt>
                <c:pt idx="149">
                  <c:v>13.961273289126002</c:v>
                </c:pt>
                <c:pt idx="150">
                  <c:v>13.872321947025474</c:v>
                </c:pt>
                <c:pt idx="151">
                  <c:v>13.785606089749713</c:v>
                </c:pt>
                <c:pt idx="152">
                  <c:v>13.701112194325535</c:v>
                </c:pt>
                <c:pt idx="153">
                  <c:v>13.618824629915583</c:v>
                </c:pt>
                <c:pt idx="154">
                  <c:v>13.538725719124265</c:v>
                </c:pt>
                <c:pt idx="155">
                  <c:v>13.460795806258281</c:v>
                </c:pt>
                <c:pt idx="156">
                  <c:v>13.385013332003975</c:v>
                </c:pt>
                <c:pt idx="157">
                  <c:v>13.311354913945774</c:v>
                </c:pt>
                <c:pt idx="158">
                  <c:v>13.239795432320857</c:v>
                </c:pt>
                <c:pt idx="159">
                  <c:v>13.170308120383609</c:v>
                </c:pt>
                <c:pt idx="160">
                  <c:v>13.102864658736102</c:v>
                </c:pt>
                <c:pt idx="161">
                  <c:v>13.037435272976538</c:v>
                </c:pt>
                <c:pt idx="162">
                  <c:v>12.973988834011159</c:v>
                </c:pt>
                <c:pt idx="163">
                  <c:v>12.912492960386333</c:v>
                </c:pt>
                <c:pt idx="164">
                  <c:v>12.852914122004895</c:v>
                </c:pt>
                <c:pt idx="165">
                  <c:v>12.795217744609291</c:v>
                </c:pt>
                <c:pt idx="166">
                  <c:v>12.739368314437776</c:v>
                </c:pt>
                <c:pt idx="167">
                  <c:v>12.685329482483938</c:v>
                </c:pt>
                <c:pt idx="168">
                  <c:v>12.63306416782385</c:v>
                </c:pt>
                <c:pt idx="169">
                  <c:v>12.582534659506738</c:v>
                </c:pt>
                <c:pt idx="170">
                  <c:v>12.533702716543631</c:v>
                </c:pt>
                <c:pt idx="171">
                  <c:v>12.486529665566856</c:v>
                </c:pt>
                <c:pt idx="172">
                  <c:v>12.440976495772704</c:v>
                </c:pt>
                <c:pt idx="173">
                  <c:v>12.397003950804324</c:v>
                </c:pt>
                <c:pt idx="174">
                  <c:v>12.354572617268254</c:v>
                </c:pt>
                <c:pt idx="175">
                  <c:v>12.31364300962656</c:v>
                </c:pt>
                <c:pt idx="176">
                  <c:v>12.274175651241251</c:v>
                </c:pt>
                <c:pt idx="177">
                  <c:v>12.236131151392136</c:v>
                </c:pt>
                <c:pt idx="178">
                  <c:v>12.199470278126842</c:v>
                </c:pt>
                <c:pt idx="179">
                  <c:v>12.164154026837997</c:v>
                </c:pt>
                <c:pt idx="180">
                  <c:v>12.130143684499322</c:v>
                </c:pt>
                <c:pt idx="181">
                  <c:v>12.097400889525062</c:v>
                </c:pt>
                <c:pt idx="182">
                  <c:v>12.065887687247169</c:v>
                </c:pt>
                <c:pt idx="183">
                  <c:v>12.035566581034169</c:v>
                </c:pt>
                <c:pt idx="184">
                  <c:v>12.006400579101646</c:v>
                </c:pt>
                <c:pt idx="185">
                  <c:v>11.978353237085887</c:v>
                </c:pt>
                <c:pt idx="186">
                  <c:v>11.951388696475666</c:v>
                </c:pt>
                <c:pt idx="187">
                  <c:v>11.925471719012858</c:v>
                </c:pt>
                <c:pt idx="188">
                  <c:v>11.900567717190269</c:v>
                </c:pt>
                <c:pt idx="189">
                  <c:v>11.876642780987428</c:v>
                </c:pt>
                <c:pt idx="190">
                  <c:v>11.853663700996277</c:v>
                </c:pt>
                <c:pt idx="191">
                  <c:v>11.831597988097915</c:v>
                </c:pt>
                <c:pt idx="192">
                  <c:v>11.810413889858731</c:v>
                </c:pt>
                <c:pt idx="193">
                  <c:v>11.79008040381756</c:v>
                </c:pt>
                <c:pt idx="194">
                  <c:v>11.770567287841621</c:v>
                </c:pt>
                <c:pt idx="195">
                  <c:v>11.751845067727139</c:v>
                </c:pt>
                <c:pt idx="196">
                  <c:v>11.73388504222379</c:v>
                </c:pt>
                <c:pt idx="197">
                  <c:v>11.716659285658114</c:v>
                </c:pt>
                <c:pt idx="198">
                  <c:v>11.700140648332209</c:v>
                </c:pt>
                <c:pt idx="199">
                  <c:v>11.684302754866319</c:v>
                </c:pt>
                <c:pt idx="200">
                  <c:v>11.669120000653939</c:v>
                </c:pt>
                <c:pt idx="201">
                  <c:v>11.654567546589544</c:v>
                </c:pt>
                <c:pt idx="202">
                  <c:v>11.640621312227093</c:v>
                </c:pt>
                <c:pt idx="203">
                  <c:v>11.627257967517641</c:v>
                </c:pt>
                <c:pt idx="204">
                  <c:v>11.61445492327063</c:v>
                </c:pt>
                <c:pt idx="205">
                  <c:v>11.602190320476009</c:v>
                </c:pt>
                <c:pt idx="206">
                  <c:v>11.590443018616831</c:v>
                </c:pt>
                <c:pt idx="207">
                  <c:v>11.579192583095296</c:v>
                </c:pt>
                <c:pt idx="208">
                  <c:v>11.568419271888406</c:v>
                </c:pt>
                <c:pt idx="209">
                  <c:v>11.558104021541846</c:v>
                </c:pt>
                <c:pt idx="210">
                  <c:v>11.548228432603082</c:v>
                </c:pt>
                <c:pt idx="211">
                  <c:v>11.538774754590257</c:v>
                </c:pt>
                <c:pt idx="212">
                  <c:v>11.529725870582766</c:v>
                </c:pt>
                <c:pt idx="213">
                  <c:v>11.521065281516327</c:v>
                </c:pt>
                <c:pt idx="214">
                  <c:v>11.512777090257121</c:v>
                </c:pt>
                <c:pt idx="215">
                  <c:v>11.504845985524334</c:v>
                </c:pt>
                <c:pt idx="216">
                  <c:v>11.497257225723187</c:v>
                </c:pt>
                <c:pt idx="217">
                  <c:v>11.48999662274737</c:v>
                </c:pt>
                <c:pt idx="218">
                  <c:v>11.483050525801406</c:v>
                </c:pt>
                <c:pt idx="219">
                  <c:v>11.476405805291792</c:v>
                </c:pt>
                <c:pt idx="220">
                  <c:v>11.470049836826892</c:v>
                </c:pt>
                <c:pt idx="221">
                  <c:v>11.46397048536635</c:v>
                </c:pt>
                <c:pt idx="222">
                  <c:v>11.458156089550915</c:v>
                </c:pt>
                <c:pt idx="223">
                  <c:v>11.452595446243919</c:v>
                </c:pt>
                <c:pt idx="224">
                  <c:v>11.447277795310102</c:v>
                </c:pt>
                <c:pt idx="225">
                  <c:v>11.442192804654079</c:v>
                </c:pt>
                <c:pt idx="226">
                  <c:v>11.437330555538898</c:v>
                </c:pt>
                <c:pt idx="227">
                  <c:v>11.432681528199684</c:v>
                </c:pt>
                <c:pt idx="228">
                  <c:v>11.428236587767305</c:v>
                </c:pt>
                <c:pt idx="229">
                  <c:v>11.423986970514271</c:v>
                </c:pt>
                <c:pt idx="230">
                  <c:v>11.419924270429593</c:v>
                </c:pt>
                <c:pt idx="231">
                  <c:v>11.416040426132582</c:v>
                </c:pt>
                <c:pt idx="232">
                  <c:v>11.412327708128178</c:v>
                </c:pt>
                <c:pt idx="233">
                  <c:v>11.408778706410159</c:v>
                </c:pt>
                <c:pt idx="234">
                  <c:v>11.405386318411175</c:v>
                </c:pt>
                <c:pt idx="235">
                  <c:v>11.402143737303144</c:v>
                </c:pt>
                <c:pt idx="236">
                  <c:v>11.399044440645309</c:v>
                </c:pt>
                <c:pt idx="237">
                  <c:v>11.396082179379661</c:v>
                </c:pt>
                <c:pt idx="238">
                  <c:v>11.393250967169859</c:v>
                </c:pt>
                <c:pt idx="239">
                  <c:v>11.3905450700817</c:v>
                </c:pt>
                <c:pt idx="240">
                  <c:v>11.387958996598917</c:v>
                </c:pt>
                <c:pt idx="241">
                  <c:v>11.385487487971435</c:v>
                </c:pt>
                <c:pt idx="242">
                  <c:v>11.383125508888517</c:v>
                </c:pt>
                <c:pt idx="243">
                  <c:v>11.380868238472797</c:v>
                </c:pt>
                <c:pt idx="244">
                  <c:v>11.378711061587317</c:v>
                </c:pt>
                <c:pt idx="245">
                  <c:v>11.376649560449133</c:v>
                </c:pt>
                <c:pt idx="246">
                  <c:v>11.374679506543391</c:v>
                </c:pt>
                <c:pt idx="247">
                  <c:v>11.3727968528292</c:v>
                </c:pt>
                <c:pt idx="248">
                  <c:v>11.37099772623092</c:v>
                </c:pt>
                <c:pt idx="249">
                  <c:v>11.369278420406408</c:v>
                </c:pt>
                <c:pt idx="250">
                  <c:v>11.367635388785768</c:v>
                </c:pt>
                <c:pt idx="251">
                  <c:v>11.366065237871318</c:v>
                </c:pt>
                <c:pt idx="252">
                  <c:v>11.364564720792938</c:v>
                </c:pt>
                <c:pt idx="253">
                  <c:v>11.363130731108589</c:v>
                </c:pt>
                <c:pt idx="254">
                  <c:v>11.361760296845194</c:v>
                </c:pt>
                <c:pt idx="255">
                  <c:v>11.360450574769352</c:v>
                </c:pt>
                <c:pt idx="256">
                  <c:v>11.359198844882679</c:v>
                </c:pt>
                <c:pt idx="257">
                  <c:v>11.358002505133189</c:v>
                </c:pt>
                <c:pt idx="258">
                  <c:v>11.356859066334941</c:v>
                </c:pt>
                <c:pt idx="259">
                  <c:v>11.355766147289692</c:v>
                </c:pt>
                <c:pt idx="260">
                  <c:v>11.354721470102664</c:v>
                </c:pt>
                <c:pt idx="261">
                  <c:v>11.353722855686371</c:v>
                </c:pt>
                <c:pt idx="262">
                  <c:v>11.352768219444513</c:v>
                </c:pt>
                <c:pt idx="263">
                  <c:v>11.351855567129537</c:v>
                </c:pt>
                <c:pt idx="264">
                  <c:v>11.350982990868832</c:v>
                </c:pt>
                <c:pt idx="265">
                  <c:v>11.350148665350376</c:v>
                </c:pt>
                <c:pt idx="266">
                  <c:v>11.349350844164857</c:v>
                </c:pt>
                <c:pt idx="267">
                  <c:v>11.348587856295886</c:v>
                </c:pt>
                <c:pt idx="268">
                  <c:v>11.347858102752879</c:v>
                </c:pt>
                <c:pt idx="269">
                  <c:v>11.347160053341961</c:v>
                </c:pt>
                <c:pt idx="270">
                  <c:v>11.346492243568768</c:v>
                </c:pt>
                <c:pt idx="271">
                  <c:v>11.345853271666876</c:v>
                </c:pt>
                <c:pt idx="272">
                  <c:v>11.345241795748231</c:v>
                </c:pt>
                <c:pt idx="273">
                  <c:v>11.344656531070152</c:v>
                </c:pt>
                <c:pt idx="274">
                  <c:v>11.344096247412445</c:v>
                </c:pt>
                <c:pt idx="275">
                  <c:v>11.343559766562441</c:v>
                </c:pt>
                <c:pt idx="276">
                  <c:v>11.34304595990185</c:v>
                </c:pt>
                <c:pt idx="277">
                  <c:v>11.342553746090697</c:v>
                </c:pt>
                <c:pt idx="278">
                  <c:v>11.342082088845755</c:v>
                </c:pt>
                <c:pt idx="279">
                  <c:v>11.34162999480753</c:v>
                </c:pt>
                <c:pt idx="280">
                  <c:v>11.341196511492688</c:v>
                </c:pt>
                <c:pt idx="281">
                  <c:v>11.340780725328422</c:v>
                </c:pt>
                <c:pt idx="282">
                  <c:v>11.34038175976443</c:v>
                </c:pt>
                <c:pt idx="283">
                  <c:v>11.339998773458531</c:v>
                </c:pt>
                <c:pt idx="284">
                  <c:v>11.339630958534173</c:v>
                </c:pt>
                <c:pt idx="285">
                  <c:v>11.339277538904023</c:v>
                </c:pt>
                <c:pt idx="286">
                  <c:v>11.33893776865875</c:v>
                </c:pt>
                <c:pt idx="287">
                  <c:v>11.338610930516209</c:v>
                </c:pt>
                <c:pt idx="288">
                  <c:v>11.338296334328827</c:v>
                </c:pt>
                <c:pt idx="289">
                  <c:v>11.337993315646283</c:v>
                </c:pt>
                <c:pt idx="290">
                  <c:v>11.337701234329634</c:v>
                </c:pt>
                <c:pt idx="291">
                  <c:v>11.337419473216126</c:v>
                </c:pt>
                <c:pt idx="292">
                  <c:v>11.337147436829847</c:v>
                </c:pt>
                <c:pt idx="293">
                  <c:v>11.336884550136915</c:v>
                </c:pt>
                <c:pt idx="294">
                  <c:v>11.336630257343066</c:v>
                </c:pt>
                <c:pt idx="295">
                  <c:v>11.336384020729637</c:v>
                </c:pt>
                <c:pt idx="296">
                  <c:v>11.336145319527471</c:v>
                </c:pt>
                <c:pt idx="297">
                  <c:v>11.335913648825045</c:v>
                </c:pt>
                <c:pt idx="298">
                  <c:v>11.335688518509464</c:v>
                </c:pt>
                <c:pt idx="299">
                  <c:v>11.335469452237735</c:v>
                </c:pt>
                <c:pt idx="300">
                  <c:v>11.335255986436657</c:v>
                </c:pt>
                <c:pt idx="301">
                  <c:v>11.335047669328242</c:v>
                </c:pt>
                <c:pt idx="302">
                  <c:v>11.334844059980668</c:v>
                </c:pt>
                <c:pt idx="303">
                  <c:v>11.334644727380603</c:v>
                </c:pt>
                <c:pt idx="304">
                  <c:v>11.334449249526104</c:v>
                </c:pt>
                <c:pt idx="305">
                  <c:v>11.33425721253888</c:v>
                </c:pt>
                <c:pt idx="306">
                  <c:v>11.334068209792367</c:v>
                </c:pt>
                <c:pt idx="307">
                  <c:v>11.333881841055323</c:v>
                </c:pt>
                <c:pt idx="308">
                  <c:v>11.333697711648833</c:v>
                </c:pt>
                <c:pt idx="309">
                  <c:v>11.333515431613959</c:v>
                </c:pt>
                <c:pt idx="310">
                  <c:v>11.333334614890322</c:v>
                </c:pt>
                <c:pt idx="311">
                  <c:v>11.333154878501681</c:v>
                </c:pt>
                <c:pt idx="312">
                  <c:v>11.332975841748489</c:v>
                </c:pt>
                <c:pt idx="313">
                  <c:v>11.332797125405136</c:v>
                </c:pt>
                <c:pt idx="314">
                  <c:v>11.33261835091985</c:v>
                </c:pt>
                <c:pt idx="315">
                  <c:v>11.332439139616371</c:v>
                </c:pt>
                <c:pt idx="316">
                  <c:v>11.332259111895135</c:v>
                </c:pt>
                <c:pt idx="317">
                  <c:v>11.332077886432792</c:v>
                </c:pt>
                <c:pt idx="318">
                  <c:v>11.331895079377601</c:v>
                </c:pt>
                <c:pt idx="319">
                  <c:v>11.331710303540234</c:v>
                </c:pt>
                <c:pt idx="320">
                  <c:v>11.331523167577126</c:v>
                </c:pt>
                <c:pt idx="321">
                  <c:v>11.331333275165502</c:v>
                </c:pt>
                <c:pt idx="322">
                  <c:v>11.331140224167697</c:v>
                </c:pt>
                <c:pt idx="323">
                  <c:v>11.330943605784057</c:v>
                </c:pt>
                <c:pt idx="324">
                  <c:v>11.330743003691424</c:v>
                </c:pt>
                <c:pt idx="325">
                  <c:v>11.330537993166359</c:v>
                </c:pt>
                <c:pt idx="326">
                  <c:v>11.330328140190609</c:v>
                </c:pt>
                <c:pt idx="327">
                  <c:v>11.330113000537935</c:v>
                </c:pt>
                <c:pt idx="328">
                  <c:v>11.329892118838995</c:v>
                </c:pt>
                <c:pt idx="329">
                  <c:v>11.329665027624326</c:v>
                </c:pt>
                <c:pt idx="330">
                  <c:v>11.329431246341073</c:v>
                </c:pt>
                <c:pt idx="331">
                  <c:v>11.329190280343603</c:v>
                </c:pt>
                <c:pt idx="332">
                  <c:v>11.328941619854579</c:v>
                </c:pt>
                <c:pt idx="333">
                  <c:v>11.328684738895356</c:v>
                </c:pt>
                <c:pt idx="334">
                  <c:v>11.328419094182184</c:v>
                </c:pt>
                <c:pt idx="335">
                  <c:v>11.328144123987862</c:v>
                </c:pt>
                <c:pt idx="336">
                  <c:v>11.327859246964447</c:v>
                </c:pt>
                <c:pt idx="337">
                  <c:v>11.32756386092675</c:v>
                </c:pt>
                <c:pt idx="338">
                  <c:v>11.327257341591942</c:v>
                </c:pt>
                <c:pt idx="339">
                  <c:v>11.326939041275265</c:v>
                </c:pt>
                <c:pt idx="340">
                  <c:v>11.326608287536564</c:v>
                </c:pt>
                <c:pt idx="341">
                  <c:v>11.326264381777429</c:v>
                </c:pt>
                <c:pt idx="342">
                  <c:v>11.325906597783975</c:v>
                </c:pt>
                <c:pt idx="343">
                  <c:v>11.325534180214396</c:v>
                </c:pt>
                <c:pt idx="344">
                  <c:v>11.32514634302675</c:v>
                </c:pt>
                <c:pt idx="345">
                  <c:v>11.32474226784443</c:v>
                </c:pt>
                <c:pt idx="346">
                  <c:v>11.324321102256675</c:v>
                </c:pt>
                <c:pt idx="347">
                  <c:v>11.323881958049659</c:v>
                </c:pt>
                <c:pt idx="348">
                  <c:v>11.323423909366273</c:v>
                </c:pt>
                <c:pt idx="349">
                  <c:v>11.322945990789286</c:v>
                </c:pt>
                <c:pt idx="350">
                  <c:v>11.322447195345513</c:v>
                </c:pt>
                <c:pt idx="351">
                  <c:v>11.321926472426885</c:v>
                </c:pt>
                <c:pt idx="352">
                  <c:v>11.321382725624879</c:v>
                </c:pt>
                <c:pt idx="353">
                  <c:v>11.320814810471955</c:v>
                </c:pt>
                <c:pt idx="354">
                  <c:v>11.320221532089949</c:v>
                </c:pt>
                <c:pt idx="355">
                  <c:v>11.319601642737208</c:v>
                </c:pt>
                <c:pt idx="356">
                  <c:v>11.318953839251144</c:v>
                </c:pt>
                <c:pt idx="357">
                  <c:v>11.318276760383695</c:v>
                </c:pt>
                <c:pt idx="358">
                  <c:v>11.317568984020268</c:v>
                </c:pt>
                <c:pt idx="359">
                  <c:v>11.316829024282578</c:v>
                </c:pt>
                <c:pt idx="360">
                  <c:v>11.316055328504962</c:v>
                </c:pt>
                <c:pt idx="361">
                  <c:v>11.315246274083854</c:v>
                </c:pt>
                <c:pt idx="362">
                  <c:v>11.314400165189994</c:v>
                </c:pt>
                <c:pt idx="363">
                  <c:v>11.313515229342009</c:v>
                </c:pt>
                <c:pt idx="364">
                  <c:v>11.312589613832618</c:v>
                </c:pt>
                <c:pt idx="365">
                  <c:v>11.311621382002357</c:v>
                </c:pt>
                <c:pt idx="366">
                  <c:v>11.310608509355122</c:v>
                </c:pt>
                <c:pt idx="367">
                  <c:v>11.309548879508071</c:v>
                </c:pt>
                <c:pt idx="368">
                  <c:v>11.308440279970323</c:v>
                </c:pt>
                <c:pt idx="369">
                  <c:v>11.307280397742655</c:v>
                </c:pt>
                <c:pt idx="370">
                  <c:v>11.306066814732141</c:v>
                </c:pt>
                <c:pt idx="371">
                  <c:v>11.304797002974459</c:v>
                </c:pt>
                <c:pt idx="372">
                  <c:v>11.303468319655599</c:v>
                </c:pt>
                <c:pt idx="373">
                  <c:v>11.302078001927459</c:v>
                </c:pt>
                <c:pt idx="374">
                  <c:v>11.300623161507524</c:v>
                </c:pt>
                <c:pt idx="375">
                  <c:v>11.299100779056694</c:v>
                </c:pt>
                <c:pt idx="376">
                  <c:v>11.29750769832625</c:v>
                </c:pt>
                <c:pt idx="377">
                  <c:v>11.295840620066501</c:v>
                </c:pt>
                <c:pt idx="378">
                  <c:v>11.294096095688978</c:v>
                </c:pt>
                <c:pt idx="379">
                  <c:v>11.292270520674077</c:v>
                </c:pt>
                <c:pt idx="380">
                  <c:v>11.290360127715122</c:v>
                </c:pt>
                <c:pt idx="381">
                  <c:v>11.288360979592069</c:v>
                </c:pt>
                <c:pt idx="382">
                  <c:v>11.286268961765298</c:v>
                </c:pt>
                <c:pt idx="383">
                  <c:v>11.284079774681572</c:v>
                </c:pt>
                <c:pt idx="384">
                  <c:v>11.281788925784355</c:v>
                </c:pt>
                <c:pt idx="385">
                  <c:v>11.279391721219907</c:v>
                </c:pt>
                <c:pt idx="386">
                  <c:v>11.276883257231535</c:v>
                </c:pt>
                <c:pt idx="387">
                  <c:v>11.274258411233944</c:v>
                </c:pt>
                <c:pt idx="388">
                  <c:v>11.271511832560261</c:v>
                </c:pt>
                <c:pt idx="389">
                  <c:v>11.26863793287507</c:v>
                </c:pt>
                <c:pt idx="390">
                  <c:v>11.265630876245478</c:v>
                </c:pt>
                <c:pt idx="391">
                  <c:v>11.262484568864819</c:v>
                </c:pt>
                <c:pt idx="392">
                  <c:v>11.259192648422902</c:v>
                </c:pt>
                <c:pt idx="393">
                  <c:v>11.255748473117109</c:v>
                </c:pt>
                <c:pt idx="394">
                  <c:v>11.252145110300813</c:v>
                </c:pt>
                <c:pt idx="395">
                  <c:v>11.248375324764211</c:v>
                </c:pt>
                <c:pt idx="396">
                  <c:v>11.244431566645833</c:v>
                </c:pt>
                <c:pt idx="397">
                  <c:v>11.240305958972627</c:v>
                </c:pt>
                <c:pt idx="398">
                  <c:v>11.235990284828123</c:v>
                </c:pt>
                <c:pt idx="399">
                  <c:v>11.231475974149944</c:v>
                </c:pt>
                <c:pt idx="400">
                  <c:v>11.22675409015859</c:v>
                </c:pt>
                <c:pt idx="401">
                  <c:v>11.22181531542174</c:v>
                </c:pt>
                <c:pt idx="402">
                  <c:v>11.216649937560724</c:v>
                </c:pt>
                <c:pt idx="403">
                  <c:v>11.211247834606224</c:v>
                </c:pt>
                <c:pt idx="404">
                  <c:v>11.205598460013999</c:v>
                </c:pt>
                <c:pt idx="405">
                  <c:v>11.199690827353553</c:v>
                </c:pt>
                <c:pt idx="406">
                  <c:v>11.193513494685677</c:v>
                </c:pt>
                <c:pt idx="407">
                  <c:v>11.187054548646408</c:v>
                </c:pt>
                <c:pt idx="408">
                  <c:v>11.180301588260523</c:v>
                </c:pt>
                <c:pt idx="409">
                  <c:v>11.173241708509067</c:v>
                </c:pt>
                <c:pt idx="410">
                  <c:v>11.165861483680491</c:v>
                </c:pt>
                <c:pt idx="411">
                  <c:v>11.158146950539376</c:v>
                </c:pt>
                <c:pt idx="412">
                  <c:v>11.15008359134908</c:v>
                </c:pt>
                <c:pt idx="413">
                  <c:v>11.141656316792339</c:v>
                </c:pt>
                <c:pt idx="414">
                  <c:v>11.132849448837522</c:v>
                </c:pt>
                <c:pt idx="415">
                  <c:v>11.123646703602219</c:v>
                </c:pt>
                <c:pt idx="416">
                  <c:v>11.114031174274828</c:v>
                </c:pt>
                <c:pt idx="417">
                  <c:v>11.10398531415866</c:v>
                </c:pt>
                <c:pt idx="418">
                  <c:v>11.09349091990927</c:v>
                </c:pt>
                <c:pt idx="419">
                  <c:v>11.082529115044764</c:v>
                </c:pt>
                <c:pt idx="420">
                  <c:v>11.071080333813438</c:v>
                </c:pt>
                <c:pt idx="421">
                  <c:v>11.059124305512288</c:v>
                </c:pt>
                <c:pt idx="422">
                  <c:v>11.046640039355943</c:v>
                </c:pt>
                <c:pt idx="423">
                  <c:v>11.033605810006343</c:v>
                </c:pt>
                <c:pt idx="424">
                  <c:v>11.019999143877499</c:v>
                </c:pt>
                <c:pt idx="425">
                  <c:v>11.005796806341754</c:v>
                </c:pt>
                <c:pt idx="426">
                  <c:v>10.990974789971261</c:v>
                </c:pt>
                <c:pt idx="427">
                  <c:v>10.975508303954085</c:v>
                </c:pt>
                <c:pt idx="428">
                  <c:v>10.959371764838096</c:v>
                </c:pt>
                <c:pt idx="429">
                  <c:v>10.94253878875926</c:v>
                </c:pt>
                <c:pt idx="430">
                  <c:v>10.924982185320998</c:v>
                </c:pt>
                <c:pt idx="431">
                  <c:v>10.906673953299673</c:v>
                </c:pt>
                <c:pt idx="432">
                  <c:v>10.887585278356982</c:v>
                </c:pt>
                <c:pt idx="433">
                  <c:v>10.867686532947738</c:v>
                </c:pt>
                <c:pt idx="434">
                  <c:v>10.846947278617147</c:v>
                </c:pt>
                <c:pt idx="435">
                  <c:v>10.825336270886867</c:v>
                </c:pt>
                <c:pt idx="436">
                  <c:v>10.802821466932517</c:v>
                </c:pt>
                <c:pt idx="437">
                  <c:v>10.779370036258516</c:v>
                </c:pt>
                <c:pt idx="438">
                  <c:v>10.754948374577275</c:v>
                </c:pt>
                <c:pt idx="439">
                  <c:v>10.729522121099107</c:v>
                </c:pt>
                <c:pt idx="440">
                  <c:v>10.703056179436123</c:v>
                </c:pt>
                <c:pt idx="441">
                  <c:v>10.675514742320944</c:v>
                </c:pt>
                <c:pt idx="442">
                  <c:v>10.64686132033148</c:v>
                </c:pt>
                <c:pt idx="443">
                  <c:v>10.617058774805841</c:v>
                </c:pt>
                <c:pt idx="444">
                  <c:v>10.586069355119122</c:v>
                </c:pt>
                <c:pt idx="445">
                  <c:v>10.553854740476883</c:v>
                </c:pt>
                <c:pt idx="446">
                  <c:v>10.520376086365378</c:v>
                </c:pt>
                <c:pt idx="447">
                  <c:v>10.48559407577428</c:v>
                </c:pt>
                <c:pt idx="448">
                  <c:v>10.449468975284713</c:v>
                </c:pt>
                <c:pt idx="449">
                  <c:v>10.41196069608678</c:v>
                </c:pt>
                <c:pt idx="450">
                  <c:v>10.373028859959899</c:v>
                </c:pt>
                <c:pt idx="451">
                  <c:v>10.332632870213887</c:v>
                </c:pt>
                <c:pt idx="452">
                  <c:v>10.290731987550622</c:v>
                </c:pt>
                <c:pt idx="453">
                  <c:v>10.247285410764455</c:v>
                </c:pt>
                <c:pt idx="454">
                  <c:v>10.202252362157012</c:v>
                </c:pt>
                <c:pt idx="455">
                  <c:v>10.15559217749183</c:v>
                </c:pt>
                <c:pt idx="456">
                  <c:v>10.107264400268877</c:v>
                </c:pt>
                <c:pt idx="457">
                  <c:v>10.057228880045264</c:v>
                </c:pt>
                <c:pt idx="458">
                  <c:v>10.005445874476093</c:v>
                </c:pt>
                <c:pt idx="459">
                  <c:v>9.9518761546985957</c:v>
                </c:pt>
                <c:pt idx="460">
                  <c:v>9.896481113628175</c:v>
                </c:pt>
                <c:pt idx="461">
                  <c:v>9.8392228766825589</c:v>
                </c:pt>
                <c:pt idx="462">
                  <c:v>9.7800644143994404</c:v>
                </c:pt>
                <c:pt idx="463">
                  <c:v>9.7189696563678289</c:v>
                </c:pt>
                <c:pt idx="464">
                  <c:v>9.6559036058434806</c:v>
                </c:pt>
                <c:pt idx="465">
                  <c:v>9.5908324543832215</c:v>
                </c:pt>
                <c:pt idx="466">
                  <c:v>9.5237236957934908</c:v>
                </c:pt>
                <c:pt idx="467">
                  <c:v>9.4545462386630508</c:v>
                </c:pt>
                <c:pt idx="468">
                  <c:v>9.383270516723039</c:v>
                </c:pt>
                <c:pt idx="469">
                  <c:v>9.3098685962663659</c:v>
                </c:pt>
                <c:pt idx="470">
                  <c:v>9.2343142798504232</c:v>
                </c:pt>
                <c:pt idx="471">
                  <c:v>9.1565832055077259</c:v>
                </c:pt>
                <c:pt idx="472">
                  <c:v>9.0766529407046406</c:v>
                </c:pt>
                <c:pt idx="473">
                  <c:v>8.9945030703048783</c:v>
                </c:pt>
                <c:pt idx="474">
                  <c:v>8.9101152778281651</c:v>
                </c:pt>
                <c:pt idx="475">
                  <c:v>8.8234734193330571</c:v>
                </c:pt>
                <c:pt idx="476">
                  <c:v>8.7345635893039848</c:v>
                </c:pt>
                <c:pt idx="477">
                  <c:v>8.6433741779772717</c:v>
                </c:pt>
                <c:pt idx="478">
                  <c:v>8.5498959196123927</c:v>
                </c:pt>
                <c:pt idx="479">
                  <c:v>8.4541219312828915</c:v>
                </c:pt>
                <c:pt idx="480">
                  <c:v>8.3560477418446091</c:v>
                </c:pt>
                <c:pt idx="481">
                  <c:v>8.2556713108238924</c:v>
                </c:pt>
                <c:pt idx="482">
                  <c:v>8.1529930370546833</c:v>
                </c:pt>
                <c:pt idx="483">
                  <c:v>8.0480157569891286</c:v>
                </c:pt>
                <c:pt idx="484">
                  <c:v>7.9407447326953351</c:v>
                </c:pt>
                <c:pt idx="485">
                  <c:v>7.8311876296498344</c:v>
                </c:pt>
                <c:pt idx="486">
                  <c:v>7.7193544845253985</c:v>
                </c:pt>
                <c:pt idx="487">
                  <c:v>7.6052576632576567</c:v>
                </c:pt>
                <c:pt idx="488">
                  <c:v>7.4889118097638754</c:v>
                </c:pt>
                <c:pt idx="489">
                  <c:v>7.3703337857586</c:v>
                </c:pt>
                <c:pt idx="490">
                  <c:v>7.2495426021875717</c:v>
                </c:pt>
                <c:pt idx="491">
                  <c:v>7.1265593428620653</c:v>
                </c:pt>
                <c:pt idx="492">
                  <c:v>7.0014070809315374</c:v>
                </c:pt>
                <c:pt idx="493">
                  <c:v>6.8741107888800439</c:v>
                </c:pt>
                <c:pt idx="494">
                  <c:v>6.7446972427672316</c:v>
                </c:pt>
                <c:pt idx="495">
                  <c:v>6.6131949214637276</c:v>
                </c:pt>
                <c:pt idx="496">
                  <c:v>6.4796339016476301</c:v>
                </c:pt>
                <c:pt idx="497">
                  <c:v>6.3440457493382194</c:v>
                </c:pt>
                <c:pt idx="498">
                  <c:v>6.2064634087402437</c:v>
                </c:pt>
                <c:pt idx="499">
                  <c:v>6.0669210891666756</c:v>
                </c:pt>
                <c:pt idx="500">
                  <c:v>5.9254541507857184</c:v>
                </c:pt>
                <c:pt idx="501">
                  <c:v>5.7820989899164976</c:v>
                </c:pt>
                <c:pt idx="502">
                  <c:v>5.636892924565081</c:v>
                </c:pt>
                <c:pt idx="503">
                  <c:v>5.4898740808559898</c:v>
                </c:pt>
                <c:pt idx="504">
                  <c:v>5.3410812809701511</c:v>
                </c:pt>
                <c:pt idx="505">
                  <c:v>5.1905539331585269</c:v>
                </c:pt>
                <c:pt idx="506">
                  <c:v>5.0383319243467897</c:v>
                </c:pt>
                <c:pt idx="507">
                  <c:v>4.8844555157985949</c:v>
                </c:pt>
                <c:pt idx="508">
                  <c:v>4.7289652422512498</c:v>
                </c:pt>
                <c:pt idx="509">
                  <c:v>4.5719018148843436</c:v>
                </c:pt>
                <c:pt idx="510">
                  <c:v>4.4133060284290755</c:v>
                </c:pt>
                <c:pt idx="511">
                  <c:v>4.2532186726755858</c:v>
                </c:pt>
                <c:pt idx="512">
                  <c:v>4.0916804485817773</c:v>
                </c:pt>
                <c:pt idx="513">
                  <c:v>3.9287318891426528</c:v>
                </c:pt>
                <c:pt idx="514">
                  <c:v>3.7644132851297134</c:v>
                </c:pt>
                <c:pt idx="515">
                  <c:v>3.5987646157684199</c:v>
                </c:pt>
                <c:pt idx="516">
                  <c:v>3.43182548438137</c:v>
                </c:pt>
                <c:pt idx="517">
                  <c:v>3.2636350589864973</c:v>
                </c:pt>
                <c:pt idx="518">
                  <c:v>3.0942320178072631</c:v>
                </c:pt>
                <c:pt idx="519">
                  <c:v>2.9236544996206204</c:v>
                </c:pt>
                <c:pt idx="520">
                  <c:v>2.7519400588429663</c:v>
                </c:pt>
                <c:pt idx="521">
                  <c:v>2.5791256252273582</c:v>
                </c:pt>
                <c:pt idx="522">
                  <c:v>2.4052474680307241</c:v>
                </c:pt>
                <c:pt idx="523">
                  <c:v>2.2303411644864979</c:v>
                </c:pt>
                <c:pt idx="524">
                  <c:v>2.0544415724094538</c:v>
                </c:pt>
                <c:pt idx="525">
                  <c:v>1.8775828067443001</c:v>
                </c:pt>
                <c:pt idx="526">
                  <c:v>1.6997982198642456</c:v>
                </c:pt>
                <c:pt idx="527">
                  <c:v>1.5211203854175896</c:v>
                </c:pt>
                <c:pt idx="528">
                  <c:v>1.3415810855174837</c:v>
                </c:pt>
                <c:pt idx="529">
                  <c:v>1.1612113010681018</c:v>
                </c:pt>
                <c:pt idx="530">
                  <c:v>0.98004120502055658</c:v>
                </c:pt>
                <c:pt idx="531">
                  <c:v>0.79810015835430481</c:v>
                </c:pt>
                <c:pt idx="532">
                  <c:v>0.61541670858035458</c:v>
                </c:pt>
                <c:pt idx="533">
                  <c:v>0.43201859057127667</c:v>
                </c:pt>
                <c:pt idx="534">
                  <c:v>0.24793272952257392</c:v>
                </c:pt>
                <c:pt idx="535">
                  <c:v>6.3185245862591902E-2</c:v>
                </c:pt>
                <c:pt idx="536">
                  <c:v>-0.12219853807071039</c:v>
                </c:pt>
                <c:pt idx="537">
                  <c:v>-0.30819408975679019</c:v>
                </c:pt>
                <c:pt idx="538">
                  <c:v>-0.4947776567877471</c:v>
                </c:pt>
                <c:pt idx="539">
                  <c:v>-0.68192625588659461</c:v>
                </c:pt>
                <c:pt idx="540">
                  <c:v>-0.86961766079746461</c:v>
                </c:pt>
                <c:pt idx="541">
                  <c:v>-1.0578303891856131</c:v>
                </c:pt>
              </c:numCache>
            </c:numRef>
          </c:yVal>
          <c:smooth val="1"/>
          <c:extLst>
            <c:ext xmlns:c16="http://schemas.microsoft.com/office/drawing/2014/chart" uri="{C3380CC4-5D6E-409C-BE32-E72D297353CC}">
              <c16:uniqueId val="{00000000-3DFE-43A9-93A4-11C3658A6E80}"/>
            </c:ext>
          </c:extLst>
        </c:ser>
        <c:dLbls>
          <c:showLegendKey val="0"/>
          <c:showVal val="0"/>
          <c:showCatName val="0"/>
          <c:showSerName val="0"/>
          <c:showPercent val="0"/>
          <c:showBubbleSize val="0"/>
        </c:dLbls>
        <c:axId val="337758080"/>
        <c:axId val="384032768"/>
      </c:scatterChart>
      <c:scatterChart>
        <c:scatterStyle val="smoothMarker"/>
        <c:varyColors val="0"/>
        <c:ser>
          <c:idx val="1"/>
          <c:order val="1"/>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CCM_Loop_Modeling_Isolated!$AU$19:$AU$560</c:f>
              <c:numCache>
                <c:formatCode>General</c:formatCode>
                <c:ptCount val="542"/>
                <c:pt idx="0">
                  <c:v>92.061246568463687</c:v>
                </c:pt>
                <c:pt idx="1">
                  <c:v>92.109214835362124</c:v>
                </c:pt>
                <c:pt idx="2">
                  <c:v>92.158297259808862</c:v>
                </c:pt>
                <c:pt idx="3">
                  <c:v>92.208519567831573</c:v>
                </c:pt>
                <c:pt idx="4">
                  <c:v>92.259908068584181</c:v>
                </c:pt>
                <c:pt idx="5">
                  <c:v>92.312489666784458</c:v>
                </c:pt>
                <c:pt idx="6">
                  <c:v>92.366291875359963</c:v>
                </c:pt>
                <c:pt idx="7">
                  <c:v>92.421342828301846</c:v>
                </c:pt>
                <c:pt idx="8">
                  <c:v>92.477671293725237</c:v>
                </c:pt>
                <c:pt idx="9">
                  <c:v>92.535306687134437</c:v>
                </c:pt>
                <c:pt idx="10">
                  <c:v>92.594279084890616</c:v>
                </c:pt>
                <c:pt idx="11">
                  <c:v>92.6546192378797</c:v>
                </c:pt>
                <c:pt idx="12">
                  <c:v>92.716358585376355</c:v>
                </c:pt>
                <c:pt idx="13">
                  <c:v>92.779529269101218</c:v>
                </c:pt>
                <c:pt idx="14">
                  <c:v>92.84416414746579</c:v>
                </c:pt>
                <c:pt idx="15">
                  <c:v>92.910296810000091</c:v>
                </c:pt>
                <c:pt idx="16">
                  <c:v>92.977961591957154</c:v>
                </c:pt>
                <c:pt idx="17">
                  <c:v>93.047193589086731</c:v>
                </c:pt>
                <c:pt idx="18">
                  <c:v>93.118028672571157</c:v>
                </c:pt>
                <c:pt idx="19">
                  <c:v>93.190503504113749</c:v>
                </c:pt>
                <c:pt idx="20">
                  <c:v>93.264655551170165</c:v>
                </c:pt>
                <c:pt idx="21">
                  <c:v>93.340523102311678</c:v>
                </c:pt>
                <c:pt idx="22">
                  <c:v>93.418145282707627</c:v>
                </c:pt>
                <c:pt idx="23">
                  <c:v>93.497562069714391</c:v>
                </c:pt>
                <c:pt idx="24">
                  <c:v>93.578814308553831</c:v>
                </c:pt>
                <c:pt idx="25">
                  <c:v>93.661943728067598</c:v>
                </c:pt>
                <c:pt idx="26">
                  <c:v>93.746992956526086</c:v>
                </c:pt>
                <c:pt idx="27">
                  <c:v>93.834005537473772</c:v>
                </c:pt>
                <c:pt idx="28">
                  <c:v>93.923025945589231</c:v>
                </c:pt>
                <c:pt idx="29">
                  <c:v>94.014099602534699</c:v>
                </c:pt>
                <c:pt idx="30">
                  <c:v>94.107272892770666</c:v>
                </c:pt>
                <c:pt idx="31">
                  <c:v>94.202593179306575</c:v>
                </c:pt>
                <c:pt idx="32">
                  <c:v>94.300108819356254</c:v>
                </c:pt>
                <c:pt idx="33">
                  <c:v>94.399869179866755</c:v>
                </c:pt>
                <c:pt idx="34">
                  <c:v>94.501924652882224</c:v>
                </c:pt>
                <c:pt idx="35">
                  <c:v>94.606326670705542</c:v>
                </c:pt>
                <c:pt idx="36">
                  <c:v>94.713127720814811</c:v>
                </c:pt>
                <c:pt idx="37">
                  <c:v>94.822381360489217</c:v>
                </c:pt>
                <c:pt idx="38">
                  <c:v>94.934142231095606</c:v>
                </c:pt>
                <c:pt idx="39">
                  <c:v>95.048466071982716</c:v>
                </c:pt>
                <c:pt idx="40">
                  <c:v>95.165409733925841</c:v>
                </c:pt>
                <c:pt idx="41">
                  <c:v>95.285031192062462</c:v>
                </c:pt>
                <c:pt idx="42">
                  <c:v>95.407389558250813</c:v>
                </c:pt>
                <c:pt idx="43">
                  <c:v>95.532545092783479</c:v>
                </c:pt>
                <c:pt idx="44">
                  <c:v>95.660559215379706</c:v>
                </c:pt>
                <c:pt idx="45">
                  <c:v>95.791494515375319</c:v>
                </c:pt>
                <c:pt idx="46">
                  <c:v>95.925414761025422</c:v>
                </c:pt>
                <c:pt idx="47">
                  <c:v>96.062384907826186</c:v>
                </c:pt>
                <c:pt idx="48">
                  <c:v>96.202471105759045</c:v>
                </c:pt>
                <c:pt idx="49">
                  <c:v>96.345740705351261</c:v>
                </c:pt>
                <c:pt idx="50">
                  <c:v>96.492262262441955</c:v>
                </c:pt>
                <c:pt idx="51">
                  <c:v>96.642105541534548</c:v>
                </c:pt>
                <c:pt idx="52">
                  <c:v>96.795341517609145</c:v>
                </c:pt>
                <c:pt idx="53">
                  <c:v>96.952042376261645</c:v>
                </c:pt>
                <c:pt idx="54">
                  <c:v>97.112281512025802</c:v>
                </c:pt>
                <c:pt idx="55">
                  <c:v>97.276133524728621</c:v>
                </c:pt>
                <c:pt idx="56">
                  <c:v>97.44367421371922</c:v>
                </c:pt>
                <c:pt idx="57">
                  <c:v>97.614980569802512</c:v>
                </c:pt>
                <c:pt idx="58">
                  <c:v>97.790130764698731</c:v>
                </c:pt>
                <c:pt idx="59">
                  <c:v>97.969204137842013</c:v>
                </c:pt>
                <c:pt idx="60">
                  <c:v>98.152281180318525</c:v>
                </c:pt>
                <c:pt idx="61">
                  <c:v>98.339443515738481</c:v>
                </c:pt>
                <c:pt idx="62">
                  <c:v>98.530773877819669</c:v>
                </c:pt>
                <c:pt idx="63">
                  <c:v>98.726356084455901</c:v>
                </c:pt>
                <c:pt idx="64">
                  <c:v>98.926275008030103</c:v>
                </c:pt>
                <c:pt idx="65">
                  <c:v>99.130616541717799</c:v>
                </c:pt>
                <c:pt idx="66">
                  <c:v>99.339467561523534</c:v>
                </c:pt>
                <c:pt idx="67">
                  <c:v>99.552915883774077</c:v>
                </c:pt>
                <c:pt idx="68">
                  <c:v>99.771050217784705</c:v>
                </c:pt>
                <c:pt idx="69">
                  <c:v>99.993960113406899</c:v>
                </c:pt>
                <c:pt idx="70">
                  <c:v>100.22173590315042</c:v>
                </c:pt>
                <c:pt idx="71">
                  <c:v>100.45446863856822</c:v>
                </c:pt>
                <c:pt idx="72">
                  <c:v>100.69225002057711</c:v>
                </c:pt>
                <c:pt idx="73">
                  <c:v>100.93517232338785</c:v>
                </c:pt>
                <c:pt idx="74">
                  <c:v>101.18332831170005</c:v>
                </c:pt>
                <c:pt idx="75">
                  <c:v>101.43681115082042</c:v>
                </c:pt>
                <c:pt idx="76">
                  <c:v>101.69571430935055</c:v>
                </c:pt>
                <c:pt idx="77">
                  <c:v>101.96013145409201</c:v>
                </c:pt>
                <c:pt idx="78">
                  <c:v>102.23015633680983</c:v>
                </c:pt>
                <c:pt idx="79">
                  <c:v>102.50588267250053</c:v>
                </c:pt>
                <c:pt idx="80">
                  <c:v>102.78740400880783</c:v>
                </c:pt>
                <c:pt idx="81">
                  <c:v>103.0748135862392</c:v>
                </c:pt>
                <c:pt idx="82">
                  <c:v>103.36820418883956</c:v>
                </c:pt>
                <c:pt idx="83">
                  <c:v>103.66766798499206</c:v>
                </c:pt>
                <c:pt idx="84">
                  <c:v>103.97329635803149</c:v>
                </c:pt>
                <c:pt idx="85">
                  <c:v>104.28517972636941</c:v>
                </c:pt>
                <c:pt idx="86">
                  <c:v>104.60340735285872</c:v>
                </c:pt>
                <c:pt idx="87">
                  <c:v>104.92806714314817</c:v>
                </c:pt>
                <c:pt idx="88">
                  <c:v>105.25924543281366</c:v>
                </c:pt>
                <c:pt idx="89">
                  <c:v>105.59702676308812</c:v>
                </c:pt>
                <c:pt idx="90">
                  <c:v>105.94149364505597</c:v>
                </c:pt>
                <c:pt idx="91">
                  <c:v>106.29272631223171</c:v>
                </c:pt>
                <c:pt idx="92">
                  <c:v>106.65080246149481</c:v>
                </c:pt>
                <c:pt idx="93">
                  <c:v>107.0157969824167</c:v>
                </c:pt>
                <c:pt idx="94">
                  <c:v>107.38778167509366</c:v>
                </c:pt>
                <c:pt idx="95">
                  <c:v>107.76682495666685</c:v>
                </c:pt>
                <c:pt idx="96">
                  <c:v>108.15299155680576</c:v>
                </c:pt>
                <c:pt idx="97">
                  <c:v>108.54634220252214</c:v>
                </c:pt>
                <c:pt idx="98">
                  <c:v>108.94693329278326</c:v>
                </c:pt>
                <c:pt idx="99">
                  <c:v>109.35481656350255</c:v>
                </c:pt>
                <c:pt idx="100">
                  <c:v>109.7700387436056</c:v>
                </c:pt>
                <c:pt idx="101">
                  <c:v>110.19264120298926</c:v>
                </c:pt>
                <c:pt idx="102">
                  <c:v>110.62265959332863</c:v>
                </c:pt>
                <c:pt idx="103">
                  <c:v>111.06012348282026</c:v>
                </c:pt>
                <c:pt idx="104">
                  <c:v>111.50505598609382</c:v>
                </c:pt>
                <c:pt idx="105">
                  <c:v>111.9574733906734</c:v>
                </c:pt>
                <c:pt idx="106">
                  <c:v>112.41738478151831</c:v>
                </c:pt>
                <c:pt idx="107">
                  <c:v>112.88479166532734</c:v>
                </c:pt>
                <c:pt idx="108">
                  <c:v>113.35968759644265</c:v>
                </c:pt>
                <c:pt idx="109">
                  <c:v>113.84205780634018</c:v>
                </c:pt>
                <c:pt idx="110">
                  <c:v>114.3318788388415</c:v>
                </c:pt>
                <c:pt idx="111">
                  <c:v>114.82911819332648</c:v>
                </c:pt>
                <c:pt idx="112">
                  <c:v>115.33373397835322</c:v>
                </c:pt>
                <c:pt idx="113">
                  <c:v>115.84567457822165</c:v>
                </c:pt>
                <c:pt idx="114">
                  <c:v>116.36487833512221</c:v>
                </c:pt>
                <c:pt idx="115">
                  <c:v>116.89127324960461</c:v>
                </c:pt>
                <c:pt idx="116">
                  <c:v>117.42477670217617</c:v>
                </c:pt>
                <c:pt idx="117">
                  <c:v>117.96529519888938</c:v>
                </c:pt>
                <c:pt idx="118">
                  <c:v>118.51272414380541</c:v>
                </c:pt>
                <c:pt idx="119">
                  <c:v>119.06694764122081</c:v>
                </c:pt>
                <c:pt idx="120">
                  <c:v>119.6278383305072</c:v>
                </c:pt>
                <c:pt idx="121">
                  <c:v>120.1952572563611</c:v>
                </c:pt>
                <c:pt idx="122">
                  <c:v>120.7690537771464</c:v>
                </c:pt>
                <c:pt idx="123">
                  <c:v>121.34906551389832</c:v>
                </c:pt>
                <c:pt idx="124">
                  <c:v>121.93511834236348</c:v>
                </c:pt>
                <c:pt idx="125">
                  <c:v>122.52702643026254</c:v>
                </c:pt>
                <c:pt idx="126">
                  <c:v>123.12459232170666</c:v>
                </c:pt>
                <c:pt idx="127">
                  <c:v>123.72760707040943</c:v>
                </c:pt>
                <c:pt idx="128">
                  <c:v>124.33585042303586</c:v>
                </c:pt>
                <c:pt idx="129">
                  <c:v>124.9490910536705</c:v>
                </c:pt>
                <c:pt idx="130">
                  <c:v>125.56708684999836</c:v>
                </c:pt>
                <c:pt idx="131">
                  <c:v>126.18958525141105</c:v>
                </c:pt>
                <c:pt idx="132">
                  <c:v>126.81632363879531</c:v>
                </c:pt>
                <c:pt idx="133">
                  <c:v>127.44702977534668</c:v>
                </c:pt>
                <c:pt idx="134">
                  <c:v>128.08142229727144</c:v>
                </c:pt>
                <c:pt idx="135">
                  <c:v>128.71921125280255</c:v>
                </c:pt>
                <c:pt idx="136">
                  <c:v>129.3600986874882</c:v>
                </c:pt>
                <c:pt idx="137">
                  <c:v>130.00377927326778</c:v>
                </c:pt>
                <c:pt idx="138">
                  <c:v>130.64994097841651</c:v>
                </c:pt>
                <c:pt idx="139">
                  <c:v>131.29826577503758</c:v>
                </c:pt>
                <c:pt idx="140">
                  <c:v>131.9484303803863</c:v>
                </c:pt>
                <c:pt idx="141">
                  <c:v>132.6001070279834</c:v>
                </c:pt>
                <c:pt idx="142">
                  <c:v>133.25296426414781</c:v>
                </c:pt>
                <c:pt idx="143">
                  <c:v>133.90666776533874</c:v>
                </c:pt>
                <c:pt idx="144">
                  <c:v>134.56088117147641</c:v>
                </c:pt>
                <c:pt idx="145">
                  <c:v>135.21526693025021</c:v>
                </c:pt>
                <c:pt idx="146">
                  <c:v>135.86948714733148</c:v>
                </c:pt>
                <c:pt idx="147">
                  <c:v>136.52320443735255</c:v>
                </c:pt>
                <c:pt idx="148">
                  <c:v>137.17608277052648</c:v>
                </c:pt>
                <c:pt idx="149">
                  <c:v>137.82778830985694</c:v>
                </c:pt>
                <c:pt idx="150">
                  <c:v>138.4779902339958</c:v>
                </c:pt>
                <c:pt idx="151">
                  <c:v>139.12636154099715</c:v>
                </c:pt>
                <c:pt idx="152">
                  <c:v>139.77257982842281</c:v>
                </c:pt>
                <c:pt idx="153">
                  <c:v>140.41632804553396</c:v>
                </c:pt>
                <c:pt idx="154">
                  <c:v>141.05729521360135</c:v>
                </c:pt>
                <c:pt idx="155">
                  <c:v>141.69517711072072</c:v>
                </c:pt>
                <c:pt idx="156">
                  <c:v>142.3296769178738</c:v>
                </c:pt>
                <c:pt idx="157">
                  <c:v>142.96050582338552</c:v>
                </c:pt>
                <c:pt idx="158">
                  <c:v>143.58738358332513</c:v>
                </c:pt>
                <c:pt idx="159">
                  <c:v>144.21003903582786</c:v>
                </c:pt>
                <c:pt idx="160">
                  <c:v>144.82821056773813</c:v>
                </c:pt>
                <c:pt idx="161">
                  <c:v>145.44164653240011</c:v>
                </c:pt>
                <c:pt idx="162">
                  <c:v>146.05010561783669</c:v>
                </c:pt>
                <c:pt idx="163">
                  <c:v>146.65335716497782</c:v>
                </c:pt>
                <c:pt idx="164">
                  <c:v>147.25118143597567</c:v>
                </c:pt>
                <c:pt idx="165">
                  <c:v>147.84336983302964</c:v>
                </c:pt>
                <c:pt idx="166">
                  <c:v>148.42972506849031</c:v>
                </c:pt>
                <c:pt idx="167">
                  <c:v>149.01006128733042</c:v>
                </c:pt>
                <c:pt idx="168">
                  <c:v>149.58420414337635</c:v>
                </c:pt>
                <c:pt idx="169">
                  <c:v>150.15199083094808</c:v>
                </c:pt>
                <c:pt idx="170">
                  <c:v>150.71327007380211</c:v>
                </c:pt>
                <c:pt idx="171">
                  <c:v>151.26790207346389</c:v>
                </c:pt>
                <c:pt idx="172">
                  <c:v>151.81575841921133</c:v>
                </c:pt>
                <c:pt idx="173">
                  <c:v>152.35672196211758</c:v>
                </c:pt>
                <c:pt idx="174">
                  <c:v>152.89068665564872</c:v>
                </c:pt>
                <c:pt idx="175">
                  <c:v>153.41755736541995</c:v>
                </c:pt>
                <c:pt idx="176">
                  <c:v>153.93724965073361</c:v>
                </c:pt>
                <c:pt idx="177">
                  <c:v>154.44968952056675</c:v>
                </c:pt>
                <c:pt idx="178">
                  <c:v>154.95481316666499</c:v>
                </c:pt>
                <c:pt idx="179">
                  <c:v>155.45256667637187</c:v>
                </c:pt>
                <c:pt idx="180">
                  <c:v>155.94290572778644</c:v>
                </c:pt>
                <c:pt idx="181">
                  <c:v>156.42579526976741</c:v>
                </c:pt>
                <c:pt idx="182">
                  <c:v>156.90120918922858</c:v>
                </c:pt>
                <c:pt idx="183">
                  <c:v>157.36912996807155</c:v>
                </c:pt>
                <c:pt idx="184">
                  <c:v>157.82954833199949</c:v>
                </c:pt>
                <c:pt idx="185">
                  <c:v>158.28246289333282</c:v>
                </c:pt>
                <c:pt idx="186">
                  <c:v>158.72787978983436</c:v>
                </c:pt>
                <c:pt idx="187">
                  <c:v>159.16581232141172</c:v>
                </c:pt>
                <c:pt idx="188">
                  <c:v>159.59628058643847</c:v>
                </c:pt>
                <c:pt idx="189">
                  <c:v>160.01931111930119</c:v>
                </c:pt>
                <c:pt idx="190">
                  <c:v>160.43493653063683</c:v>
                </c:pt>
                <c:pt idx="191">
                  <c:v>160.84319515159879</c:v>
                </c:pt>
                <c:pt idx="192">
                  <c:v>161.24413068335309</c:v>
                </c:pt>
                <c:pt idx="193">
                  <c:v>161.63779185287657</c:v>
                </c:pt>
                <c:pt idx="194">
                  <c:v>162.02423207600393</c:v>
                </c:pt>
                <c:pt idx="195">
                  <c:v>162.40350912855004</c:v>
                </c:pt>
                <c:pt idx="196">
                  <c:v>162.77568482622101</c:v>
                </c:pt>
                <c:pt idx="197">
                  <c:v>163.14082471391109</c:v>
                </c:pt>
                <c:pt idx="198">
                  <c:v>163.49899776488974</c:v>
                </c:pt>
                <c:pt idx="199">
                  <c:v>163.85027609027625</c:v>
                </c:pt>
                <c:pt idx="200">
                  <c:v>164.19473465911835</c:v>
                </c:pt>
                <c:pt idx="201">
                  <c:v>164.53245102930077</c:v>
                </c:pt>
                <c:pt idx="202">
                  <c:v>164.863505089439</c:v>
                </c:pt>
                <c:pt idx="203">
                  <c:v>165.18797881184139</c:v>
                </c:pt>
                <c:pt idx="204">
                  <c:v>165.50595601655769</c:v>
                </c:pt>
                <c:pt idx="205">
                  <c:v>165.81752214648012</c:v>
                </c:pt>
                <c:pt idx="206">
                  <c:v>166.1227640534066</c:v>
                </c:pt>
                <c:pt idx="207">
                  <c:v>166.42176979493553</c:v>
                </c:pt>
                <c:pt idx="208">
                  <c:v>166.71462844201778</c:v>
                </c:pt>
                <c:pt idx="209">
                  <c:v>167.00142989696201</c:v>
                </c:pt>
                <c:pt idx="210">
                  <c:v>167.28226472165235</c:v>
                </c:pt>
                <c:pt idx="211">
                  <c:v>167.55722397572393</c:v>
                </c:pt>
                <c:pt idx="212">
                  <c:v>167.8263990644075</c:v>
                </c:pt>
                <c:pt idx="213">
                  <c:v>168.08988159574847</c:v>
                </c:pt>
                <c:pt idx="214">
                  <c:v>168.34776324688644</c:v>
                </c:pt>
                <c:pt idx="215">
                  <c:v>168.6001356390733</c:v>
                </c:pt>
                <c:pt idx="216">
                  <c:v>168.84709022109837</c:v>
                </c:pt>
                <c:pt idx="217">
                  <c:v>169.08871816078914</c:v>
                </c:pt>
                <c:pt idx="218">
                  <c:v>169.32511024424753</c:v>
                </c:pt>
                <c:pt idx="219">
                  <c:v>169.55635678248771</c:v>
                </c:pt>
                <c:pt idx="220">
                  <c:v>169.78254752513661</c:v>
                </c:pt>
                <c:pt idx="221">
                  <c:v>170.00377158087005</c:v>
                </c:pt>
                <c:pt idx="222">
                  <c:v>170.22011734425189</c:v>
                </c:pt>
                <c:pt idx="223">
                  <c:v>170.43167242865795</c:v>
                </c:pt>
                <c:pt idx="224">
                  <c:v>170.63852360496827</c:v>
                </c:pt>
                <c:pt idx="225">
                  <c:v>170.84075674572296</c:v>
                </c:pt>
                <c:pt idx="226">
                  <c:v>171.03845677444022</c:v>
                </c:pt>
                <c:pt idx="227">
                  <c:v>171.23170761980907</c:v>
                </c:pt>
                <c:pt idx="228">
                  <c:v>171.42059217447505</c:v>
                </c:pt>
                <c:pt idx="229">
                  <c:v>171.60519225815165</c:v>
                </c:pt>
                <c:pt idx="230">
                  <c:v>171.78558858479212</c:v>
                </c:pt>
                <c:pt idx="231">
                  <c:v>171.96186073357666</c:v>
                </c:pt>
                <c:pt idx="232">
                  <c:v>172.13408712347032</c:v>
                </c:pt>
                <c:pt idx="233">
                  <c:v>172.30234499112643</c:v>
                </c:pt>
                <c:pt idx="234">
                  <c:v>172.46671037191098</c:v>
                </c:pt>
                <c:pt idx="235">
                  <c:v>172.62725808384243</c:v>
                </c:pt>
                <c:pt idx="236">
                  <c:v>172.78406171424447</c:v>
                </c:pt>
                <c:pt idx="237">
                  <c:v>172.93719360892334</c:v>
                </c:pt>
                <c:pt idx="238">
                  <c:v>173.08672486368721</c:v>
                </c:pt>
                <c:pt idx="239">
                  <c:v>173.23272531803886</c:v>
                </c:pt>
                <c:pt idx="240">
                  <c:v>173.37526355087593</c:v>
                </c:pt>
                <c:pt idx="241">
                  <c:v>173.51440687804796</c:v>
                </c:pt>
                <c:pt idx="242">
                  <c:v>173.65022135162209</c:v>
                </c:pt>
                <c:pt idx="243">
                  <c:v>173.78277176072305</c:v>
                </c:pt>
                <c:pt idx="244">
                  <c:v>173.91212163381408</c:v>
                </c:pt>
                <c:pt idx="245">
                  <c:v>174.03833324230047</c:v>
                </c:pt>
                <c:pt idx="246">
                  <c:v>174.16146760533761</c:v>
                </c:pt>
                <c:pt idx="247">
                  <c:v>174.2815844957376</c:v>
                </c:pt>
                <c:pt idx="248">
                  <c:v>174.3987424468707</c:v>
                </c:pt>
                <c:pt idx="249">
                  <c:v>174.51299876046781</c:v>
                </c:pt>
                <c:pt idx="250">
                  <c:v>174.62440951523374</c:v>
                </c:pt>
                <c:pt idx="251">
                  <c:v>174.73302957618677</c:v>
                </c:pt>
                <c:pt idx="252">
                  <c:v>174.83891260464762</c:v>
                </c:pt>
                <c:pt idx="253">
                  <c:v>174.94211106880186</c:v>
                </c:pt>
                <c:pt idx="254">
                  <c:v>175.04267625476916</c:v>
                </c:pt>
                <c:pt idx="255">
                  <c:v>175.14065827811424</c:v>
                </c:pt>
                <c:pt idx="256">
                  <c:v>175.2361060957393</c:v>
                </c:pt>
                <c:pt idx="257">
                  <c:v>175.32906751810347</c:v>
                </c:pt>
                <c:pt idx="258">
                  <c:v>175.41958922171528</c:v>
                </c:pt>
                <c:pt idx="259">
                  <c:v>175.50771676185144</c:v>
                </c:pt>
                <c:pt idx="260">
                  <c:v>175.59349458545623</c:v>
                </c:pt>
                <c:pt idx="261">
                  <c:v>175.67696604417949</c:v>
                </c:pt>
                <c:pt idx="262">
                  <c:v>175.75817340751516</c:v>
                </c:pt>
                <c:pt idx="263">
                  <c:v>175.83715787600312</c:v>
                </c:pt>
                <c:pt idx="264">
                  <c:v>175.9139595944624</c:v>
                </c:pt>
                <c:pt idx="265">
                  <c:v>175.98861766522396</c:v>
                </c:pt>
                <c:pt idx="266">
                  <c:v>176.06117016133479</c:v>
                </c:pt>
                <c:pt idx="267">
                  <c:v>176.13165413970736</c:v>
                </c:pt>
                <c:pt idx="268">
                  <c:v>176.20010565418897</c:v>
                </c:pt>
                <c:pt idx="269">
                  <c:v>176.26655976853004</c:v>
                </c:pt>
                <c:pt idx="270">
                  <c:v>176.33105056922983</c:v>
                </c:pt>
                <c:pt idx="271">
                  <c:v>176.39361117824066</c:v>
                </c:pt>
                <c:pt idx="272">
                  <c:v>176.45427376551351</c:v>
                </c:pt>
                <c:pt idx="273">
                  <c:v>176.51306956136898</c:v>
                </c:pt>
                <c:pt idx="274">
                  <c:v>176.57002886867832</c:v>
                </c:pt>
                <c:pt idx="275">
                  <c:v>176.62518107484243</c:v>
                </c:pt>
                <c:pt idx="276">
                  <c:v>176.67855466355536</c:v>
                </c:pt>
                <c:pt idx="277">
                  <c:v>176.73017722634162</c:v>
                </c:pt>
                <c:pt idx="278">
                  <c:v>176.78007547385744</c:v>
                </c:pt>
                <c:pt idx="279">
                  <c:v>176.82827524694639</c:v>
                </c:pt>
                <c:pt idx="280">
                  <c:v>176.87480152744075</c:v>
                </c:pt>
                <c:pt idx="281">
                  <c:v>176.91967844870177</c:v>
                </c:pt>
                <c:pt idx="282">
                  <c:v>176.96292930589146</c:v>
                </c:pt>
                <c:pt idx="283">
                  <c:v>177.00457656596956</c:v>
                </c:pt>
                <c:pt idx="284">
                  <c:v>177.04464187741078</c:v>
                </c:pt>
                <c:pt idx="285">
                  <c:v>177.08314607963649</c:v>
                </c:pt>
                <c:pt idx="286">
                  <c:v>177.12010921215733</c:v>
                </c:pt>
                <c:pt idx="287">
                  <c:v>177.15555052342171</c:v>
                </c:pt>
                <c:pt idx="288">
                  <c:v>177.18948847936772</c:v>
                </c:pt>
                <c:pt idx="289">
                  <c:v>177.22194077167433</c:v>
                </c:pt>
                <c:pt idx="290">
                  <c:v>177.2529243257097</c:v>
                </c:pt>
                <c:pt idx="291">
                  <c:v>177.28245530817409</c:v>
                </c:pt>
                <c:pt idx="292">
                  <c:v>177.31054913443498</c:v>
                </c:pt>
                <c:pt idx="293">
                  <c:v>177.33722047555253</c:v>
                </c:pt>
                <c:pt idx="294">
                  <c:v>177.36248326499427</c:v>
                </c:pt>
                <c:pt idx="295">
                  <c:v>177.38635070503665</c:v>
                </c:pt>
                <c:pt idx="296">
                  <c:v>177.40883527285317</c:v>
                </c:pt>
                <c:pt idx="297">
                  <c:v>177.42994872628759</c:v>
                </c:pt>
                <c:pt idx="298">
                  <c:v>177.44970210931123</c:v>
                </c:pt>
                <c:pt idx="299">
                  <c:v>177.46810575716412</c:v>
                </c:pt>
                <c:pt idx="300">
                  <c:v>177.48516930117859</c:v>
                </c:pt>
                <c:pt idx="301">
                  <c:v>177.50090167328557</c:v>
                </c:pt>
                <c:pt idx="302">
                  <c:v>177.51531111020273</c:v>
                </c:pt>
                <c:pt idx="303">
                  <c:v>177.52840515730415</c:v>
                </c:pt>
                <c:pt idx="304">
                  <c:v>177.54019067217141</c:v>
                </c:pt>
                <c:pt idx="305">
                  <c:v>177.55067382782556</c:v>
                </c:pt>
                <c:pt idx="306">
                  <c:v>177.55986011564005</c:v>
                </c:pt>
                <c:pt idx="307">
                  <c:v>177.56775434793451</c:v>
                </c:pt>
                <c:pt idx="308">
                  <c:v>177.57436066024903</c:v>
                </c:pt>
                <c:pt idx="309">
                  <c:v>177.57968251329871</c:v>
                </c:pt>
                <c:pt idx="310">
                  <c:v>177.58372269460924</c:v>
                </c:pt>
                <c:pt idx="311">
                  <c:v>177.58648331983207</c:v>
                </c:pt>
                <c:pt idx="312">
                  <c:v>177.58796583374055</c:v>
                </c:pt>
                <c:pt idx="313">
                  <c:v>177.58817101090577</c:v>
                </c:pt>
                <c:pt idx="314">
                  <c:v>177.58709895605287</c:v>
                </c:pt>
                <c:pt idx="315">
                  <c:v>177.58474910409734</c:v>
                </c:pt>
                <c:pt idx="316">
                  <c:v>177.58112021986116</c:v>
                </c:pt>
                <c:pt idx="317">
                  <c:v>177.57621039746925</c:v>
                </c:pt>
                <c:pt idx="318">
                  <c:v>177.5700170594254</c:v>
                </c:pt>
                <c:pt idx="319">
                  <c:v>177.56253695536813</c:v>
                </c:pt>
                <c:pt idx="320">
                  <c:v>177.55376616050637</c:v>
                </c:pt>
                <c:pt idx="321">
                  <c:v>177.54370007373467</c:v>
                </c:pt>
                <c:pt idx="322">
                  <c:v>177.53233341542776</c:v>
                </c:pt>
                <c:pt idx="323">
                  <c:v>177.5196602249149</c:v>
                </c:pt>
                <c:pt idx="324">
                  <c:v>177.50567385763361</c:v>
                </c:pt>
                <c:pt idx="325">
                  <c:v>177.4903669819625</c:v>
                </c:pt>
                <c:pt idx="326">
                  <c:v>177.47373157573386</c:v>
                </c:pt>
                <c:pt idx="327">
                  <c:v>177.45575892242564</c:v>
                </c:pt>
                <c:pt idx="328">
                  <c:v>177.43643960703281</c:v>
                </c:pt>
                <c:pt idx="329">
                  <c:v>177.41576351161831</c:v>
                </c:pt>
                <c:pt idx="330">
                  <c:v>177.39371981054427</c:v>
                </c:pt>
                <c:pt idx="331">
                  <c:v>177.37029696538269</c:v>
                </c:pt>
                <c:pt idx="332">
                  <c:v>177.34548271950726</c:v>
                </c:pt>
                <c:pt idx="333">
                  <c:v>177.31926409236573</c:v>
                </c:pt>
                <c:pt idx="334">
                  <c:v>177.29162737343395</c:v>
                </c:pt>
                <c:pt idx="335">
                  <c:v>177.2625581158521</c:v>
                </c:pt>
                <c:pt idx="336">
                  <c:v>177.2320411297442</c:v>
                </c:pt>
                <c:pt idx="337">
                  <c:v>177.20006047522156</c:v>
                </c:pt>
                <c:pt idx="338">
                  <c:v>177.16659945507189</c:v>
                </c:pt>
                <c:pt idx="339">
                  <c:v>177.13164060713513</c:v>
                </c:pt>
                <c:pt idx="340">
                  <c:v>177.09516569636804</c:v>
                </c:pt>
                <c:pt idx="341">
                  <c:v>177.05715570659905</c:v>
                </c:pt>
                <c:pt idx="342">
                  <c:v>177.01759083197635</c:v>
                </c:pt>
                <c:pt idx="343">
                  <c:v>176.97645046811107</c:v>
                </c:pt>
                <c:pt idx="344">
                  <c:v>176.93371320291911</c:v>
                </c:pt>
                <c:pt idx="345">
                  <c:v>176.8893568071644</c:v>
                </c:pt>
                <c:pt idx="346">
                  <c:v>176.84335822470834</c:v>
                </c:pt>
                <c:pt idx="347">
                  <c:v>176.79569356246833</c:v>
                </c:pt>
                <c:pt idx="348">
                  <c:v>176.74633808009156</c:v>
                </c:pt>
                <c:pt idx="349">
                  <c:v>176.69526617934847</c:v>
                </c:pt>
                <c:pt idx="350">
                  <c:v>176.64245139325223</c:v>
                </c:pt>
                <c:pt idx="351">
                  <c:v>176.58786637491121</c:v>
                </c:pt>
                <c:pt idx="352">
                  <c:v>176.5314828861209</c:v>
                </c:pt>
                <c:pt idx="353">
                  <c:v>176.47327178570475</c:v>
                </c:pt>
                <c:pt idx="354">
                  <c:v>176.41320301761164</c:v>
                </c:pt>
                <c:pt idx="355">
                  <c:v>176.35124559878102</c:v>
                </c:pt>
                <c:pt idx="356">
                  <c:v>176.28736760678606</c:v>
                </c:pt>
                <c:pt idx="357">
                  <c:v>176.22153616726695</c:v>
                </c:pt>
                <c:pt idx="358">
                  <c:v>176.15371744116783</c:v>
                </c:pt>
                <c:pt idx="359">
                  <c:v>176.08387661179145</c:v>
                </c:pt>
                <c:pt idx="360">
                  <c:v>176.01197787168766</c:v>
                </c:pt>
                <c:pt idx="361">
                  <c:v>175.93798440939273</c:v>
                </c:pt>
                <c:pt idx="362">
                  <c:v>175.86185839603857</c:v>
                </c:pt>
                <c:pt idx="363">
                  <c:v>175.78356097185218</c:v>
                </c:pt>
                <c:pt idx="364">
                  <c:v>175.70305223256761</c:v>
                </c:pt>
                <c:pt idx="365">
                  <c:v>175.62029121577487</c:v>
                </c:pt>
                <c:pt idx="366">
                  <c:v>175.53523588723129</c:v>
                </c:pt>
                <c:pt idx="367">
                  <c:v>175.44784312716553</c:v>
                </c:pt>
                <c:pt idx="368">
                  <c:v>175.35806871660242</c:v>
                </c:pt>
                <c:pt idx="369">
                  <c:v>175.26586732374489</c:v>
                </c:pt>
                <c:pt idx="370">
                  <c:v>175.1711924904464</c:v>
                </c:pt>
                <c:pt idx="371">
                  <c:v>175.07399661881499</c:v>
                </c:pt>
                <c:pt idx="372">
                  <c:v>174.97423095798905</c:v>
                </c:pt>
                <c:pt idx="373">
                  <c:v>174.87184559113132</c:v>
                </c:pt>
                <c:pt idx="374">
                  <c:v>174.76678942268919</c:v>
                </c:pt>
                <c:pt idx="375">
                  <c:v>174.6590101659736</c:v>
                </c:pt>
                <c:pt idx="376">
                  <c:v>174.54845433111336</c:v>
                </c:pt>
                <c:pt idx="377">
                  <c:v>174.43506721344431</c:v>
                </c:pt>
                <c:pt idx="378">
                  <c:v>174.31879288239961</c:v>
                </c:pt>
                <c:pt idx="379">
                  <c:v>174.19957417096887</c:v>
                </c:pt>
                <c:pt idx="380">
                  <c:v>174.07735266580215</c:v>
                </c:pt>
                <c:pt idx="381">
                  <c:v>173.95206869803769</c:v>
                </c:pt>
                <c:pt idx="382">
                  <c:v>173.82366133493827</c:v>
                </c:pt>
                <c:pt idx="383">
                  <c:v>173.69206837242825</c:v>
                </c:pt>
                <c:pt idx="384">
                  <c:v>173.55722632862725</c:v>
                </c:pt>
                <c:pt idx="385">
                  <c:v>173.41907043848488</c:v>
                </c:pt>
                <c:pt idx="386">
                  <c:v>173.27753464962686</c:v>
                </c:pt>
                <c:pt idx="387">
                  <c:v>173.13255161952907</c:v>
                </c:pt>
                <c:pt idx="388">
                  <c:v>172.98405271414671</c:v>
                </c:pt>
                <c:pt idx="389">
                  <c:v>172.8319680081284</c:v>
                </c:pt>
                <c:pt idx="390">
                  <c:v>172.67622628675934</c:v>
                </c:pt>
                <c:pt idx="391">
                  <c:v>172.51675504978084</c:v>
                </c:pt>
                <c:pt idx="392">
                  <c:v>172.35348051724569</c:v>
                </c:pt>
                <c:pt idx="393">
                  <c:v>172.18632763757674</c:v>
                </c:pt>
                <c:pt idx="394">
                  <c:v>172.01522009800667</c:v>
                </c:pt>
                <c:pt idx="395">
                  <c:v>171.84008033758454</c:v>
                </c:pt>
                <c:pt idx="396">
                  <c:v>171.66082956294815</c:v>
                </c:pt>
                <c:pt idx="397">
                  <c:v>171.47738776706967</c:v>
                </c:pt>
                <c:pt idx="398">
                  <c:v>171.28967375119228</c:v>
                </c:pt>
                <c:pt idx="399">
                  <c:v>171.09760515018863</c:v>
                </c:pt>
                <c:pt idx="400">
                  <c:v>170.90109846158188</c:v>
                </c:pt>
                <c:pt idx="401">
                  <c:v>170.70006907848116</c:v>
                </c:pt>
                <c:pt idx="402">
                  <c:v>170.49443132669469</c:v>
                </c:pt>
                <c:pt idx="403">
                  <c:v>170.28409850629774</c:v>
                </c:pt>
                <c:pt idx="404">
                  <c:v>170.06898293793958</c:v>
                </c:pt>
                <c:pt idx="405">
                  <c:v>169.8489960141894</c:v>
                </c:pt>
                <c:pt idx="406">
                  <c:v>169.62404825622895</c:v>
                </c:pt>
                <c:pt idx="407">
                  <c:v>169.39404937621282</c:v>
                </c:pt>
                <c:pt idx="408">
                  <c:v>169.15890834562541</c:v>
                </c:pt>
                <c:pt idx="409">
                  <c:v>168.91853346997567</c:v>
                </c:pt>
                <c:pt idx="410">
                  <c:v>168.6728324701775</c:v>
                </c:pt>
                <c:pt idx="411">
                  <c:v>168.42171257097272</c:v>
                </c:pt>
                <c:pt idx="412">
                  <c:v>168.16508059676147</c:v>
                </c:pt>
                <c:pt idx="413">
                  <c:v>167.90284307520787</c:v>
                </c:pt>
                <c:pt idx="414">
                  <c:v>167.63490634899537</c:v>
                </c:pt>
                <c:pt idx="415">
                  <c:v>167.36117669610729</c:v>
                </c:pt>
                <c:pt idx="416">
                  <c:v>167.08156045900756</c:v>
                </c:pt>
                <c:pt idx="417">
                  <c:v>166.79596418309595</c:v>
                </c:pt>
                <c:pt idx="418">
                  <c:v>166.5042947648067</c:v>
                </c:pt>
                <c:pt idx="419">
                  <c:v>166.20645960970853</c:v>
                </c:pt>
                <c:pt idx="420">
                  <c:v>165.9023668009591</c:v>
                </c:pt>
                <c:pt idx="421">
                  <c:v>165.59192527844397</c:v>
                </c:pt>
                <c:pt idx="422">
                  <c:v>165.27504502891833</c:v>
                </c:pt>
                <c:pt idx="423">
                  <c:v>164.95163728743819</c:v>
                </c:pt>
                <c:pt idx="424">
                  <c:v>164.6216147503475</c:v>
                </c:pt>
                <c:pt idx="425">
                  <c:v>164.28489180004502</c:v>
                </c:pt>
                <c:pt idx="426">
                  <c:v>163.94138474171748</c:v>
                </c:pt>
                <c:pt idx="427">
                  <c:v>163.5910120521865</c:v>
                </c:pt>
                <c:pt idx="428">
                  <c:v>163.23369464094822</c:v>
                </c:pt>
                <c:pt idx="429">
                  <c:v>162.86935612343643</c:v>
                </c:pt>
                <c:pt idx="430">
                  <c:v>162.49792310647138</c:v>
                </c:pt>
                <c:pt idx="431">
                  <c:v>162.11932548577221</c:v>
                </c:pt>
                <c:pt idx="432">
                  <c:v>161.7334967553372</c:v>
                </c:pt>
                <c:pt idx="433">
                  <c:v>161.34037432839594</c:v>
                </c:pt>
                <c:pt idx="434">
                  <c:v>160.93989986954185</c:v>
                </c:pt>
                <c:pt idx="435">
                  <c:v>160.53201963754114</c:v>
                </c:pt>
                <c:pt idx="436">
                  <c:v>160.11668483819821</c:v>
                </c:pt>
                <c:pt idx="437">
                  <c:v>159.69385198652657</c:v>
                </c:pt>
                <c:pt idx="438">
                  <c:v>159.26348327734803</c:v>
                </c:pt>
                <c:pt idx="439">
                  <c:v>158.82554696329126</c:v>
                </c:pt>
                <c:pt idx="440">
                  <c:v>158.38001773901777</c:v>
                </c:pt>
                <c:pt idx="441">
                  <c:v>157.92687713034374</c:v>
                </c:pt>
                <c:pt idx="442">
                  <c:v>157.46611388676942</c:v>
                </c:pt>
                <c:pt idx="443">
                  <c:v>156.99772437575996</c:v>
                </c:pt>
                <c:pt idx="444">
                  <c:v>156.52171297695122</c:v>
                </c:pt>
                <c:pt idx="445">
                  <c:v>156.03809247429587</c:v>
                </c:pt>
                <c:pt idx="446">
                  <c:v>155.54688444398587</c:v>
                </c:pt>
                <c:pt idx="447">
                  <c:v>155.04811963583427</c:v>
                </c:pt>
                <c:pt idx="448">
                  <c:v>154.54183834563392</c:v>
                </c:pt>
                <c:pt idx="449">
                  <c:v>154.02809077586863</c:v>
                </c:pt>
                <c:pt idx="450">
                  <c:v>153.50693738200599</c:v>
                </c:pt>
                <c:pt idx="451">
                  <c:v>152.97844920148987</c:v>
                </c:pt>
                <c:pt idx="452">
                  <c:v>152.44270816242962</c:v>
                </c:pt>
                <c:pt idx="453">
                  <c:v>151.89980736891789</c:v>
                </c:pt>
                <c:pt idx="454">
                  <c:v>151.34985135982666</c:v>
                </c:pt>
                <c:pt idx="455">
                  <c:v>150.79295633791804</c:v>
                </c:pt>
                <c:pt idx="456">
                  <c:v>150.22925036609743</c:v>
                </c:pt>
                <c:pt idx="457">
                  <c:v>149.65887352765932</c:v>
                </c:pt>
                <c:pt idx="458">
                  <c:v>149.08197804746607</c:v>
                </c:pt>
                <c:pt idx="459">
                  <c:v>148.49872837108552</c:v>
                </c:pt>
                <c:pt idx="460">
                  <c:v>147.9093011990777</c:v>
                </c:pt>
                <c:pt idx="461">
                  <c:v>147.31388547380581</c:v>
                </c:pt>
                <c:pt idx="462">
                  <c:v>146.71268231638334</c:v>
                </c:pt>
                <c:pt idx="463">
                  <c:v>146.10590491164382</c:v>
                </c:pt>
                <c:pt idx="464">
                  <c:v>145.4937783393469</c:v>
                </c:pt>
                <c:pt idx="465">
                  <c:v>144.87653935019071</c:v>
                </c:pt>
                <c:pt idx="466">
                  <c:v>144.25443608560104</c:v>
                </c:pt>
                <c:pt idx="467">
                  <c:v>143.6277277407134</c:v>
                </c:pt>
                <c:pt idx="468">
                  <c:v>142.99668417041249</c:v>
                </c:pt>
                <c:pt idx="469">
                  <c:v>142.3615854388124</c:v>
                </c:pt>
                <c:pt idx="470">
                  <c:v>141.72272131304746</c:v>
                </c:pt>
                <c:pt idx="471">
                  <c:v>141.08039070279355</c:v>
                </c:pt>
                <c:pt idx="472">
                  <c:v>140.43490104746334</c:v>
                </c:pt>
                <c:pt idx="473">
                  <c:v>139.78656765354225</c:v>
                </c:pt>
                <c:pt idx="474">
                  <c:v>139.13571298507389</c:v>
                </c:pt>
                <c:pt idx="475">
                  <c:v>138.48266591078666</c:v>
                </c:pt>
                <c:pt idx="476">
                  <c:v>137.8277609118453</c:v>
                </c:pt>
                <c:pt idx="477">
                  <c:v>137.17133725464046</c:v>
                </c:pt>
                <c:pt idx="478">
                  <c:v>136.51373813344082</c:v>
                </c:pt>
                <c:pt idx="479">
                  <c:v>135.85530978807068</c:v>
                </c:pt>
                <c:pt idx="480">
                  <c:v>135.19640060207334</c:v>
                </c:pt>
                <c:pt idx="481">
                  <c:v>134.53736018705496</c:v>
                </c:pt>
                <c:pt idx="482">
                  <c:v>133.87853845905977</c:v>
                </c:pt>
                <c:pt idx="483">
                  <c:v>133.22028471293106</c:v>
                </c:pt>
                <c:pt idx="484">
                  <c:v>132.56294670063107</c:v>
                </c:pt>
                <c:pt idx="485">
                  <c:v>131.90686971944936</c:v>
                </c:pt>
                <c:pt idx="486">
                  <c:v>131.25239571590623</c:v>
                </c:pt>
                <c:pt idx="487">
                  <c:v>130.59986241097457</c:v>
                </c:pt>
                <c:pt idx="488">
                  <c:v>129.94960245199667</c:v>
                </c:pt>
                <c:pt idx="489">
                  <c:v>129.30194259634271</c:v>
                </c:pt>
                <c:pt idx="490">
                  <c:v>128.65720293151853</c:v>
                </c:pt>
                <c:pt idx="491">
                  <c:v>128.01569613598932</c:v>
                </c:pt>
                <c:pt idx="492">
                  <c:v>127.3777267845513</c:v>
                </c:pt>
                <c:pt idx="493">
                  <c:v>126.74359070158924</c:v>
                </c:pt>
                <c:pt idx="494">
                  <c:v>126.1135743650445</c:v>
                </c:pt>
                <c:pt idx="495">
                  <c:v>125.48795436339962</c:v>
                </c:pt>
                <c:pt idx="496">
                  <c:v>124.86699690744588</c:v>
                </c:pt>
                <c:pt idx="497">
                  <c:v>124.25095739807486</c:v>
                </c:pt>
                <c:pt idx="498">
                  <c:v>123.64008005080137</c:v>
                </c:pt>
                <c:pt idx="499">
                  <c:v>123.03459757722949</c:v>
                </c:pt>
                <c:pt idx="500">
                  <c:v>122.43473092317853</c:v>
                </c:pt>
                <c:pt idx="501">
                  <c:v>121.84068906273184</c:v>
                </c:pt>
                <c:pt idx="502">
                  <c:v>121.25266884704594</c:v>
                </c:pt>
                <c:pt idx="503">
                  <c:v>120.67085490637055</c:v>
                </c:pt>
                <c:pt idx="504">
                  <c:v>120.09541960337793</c:v>
                </c:pt>
                <c:pt idx="505">
                  <c:v>119.52652303559543</c:v>
                </c:pt>
                <c:pt idx="506">
                  <c:v>118.96431308447163</c:v>
                </c:pt>
                <c:pt idx="507">
                  <c:v>118.40892550838497</c:v>
                </c:pt>
                <c:pt idx="508">
                  <c:v>117.86048407672493</c:v>
                </c:pt>
                <c:pt idx="509">
                  <c:v>117.31910074204345</c:v>
                </c:pt>
                <c:pt idx="510">
                  <c:v>116.78487584717878</c:v>
                </c:pt>
                <c:pt idx="511">
                  <c:v>116.25789836419267</c:v>
                </c:pt>
                <c:pt idx="512">
                  <c:v>115.7382461619495</c:v>
                </c:pt>
                <c:pt idx="513">
                  <c:v>115.22598629916874</c:v>
                </c:pt>
                <c:pt idx="514">
                  <c:v>114.72117533983288</c:v>
                </c:pt>
                <c:pt idx="515">
                  <c:v>114.22385968789298</c:v>
                </c:pt>
                <c:pt idx="516">
                  <c:v>113.73407593831318</c:v>
                </c:pt>
                <c:pt idx="517">
                  <c:v>113.25185124160083</c:v>
                </c:pt>
                <c:pt idx="518">
                  <c:v>112.77720367910098</c:v>
                </c:pt>
                <c:pt idx="519">
                  <c:v>112.31014264647624</c:v>
                </c:pt>
                <c:pt idx="520">
                  <c:v>111.85066924294117</c:v>
                </c:pt>
                <c:pt idx="521">
                  <c:v>111.39877666398115</c:v>
                </c:pt>
                <c:pt idx="522">
                  <c:v>110.95445059545972</c:v>
                </c:pt>
                <c:pt idx="523">
                  <c:v>110.51766960716672</c:v>
                </c:pt>
                <c:pt idx="524">
                  <c:v>110.08840554404821</c:v>
                </c:pt>
                <c:pt idx="525">
                  <c:v>109.66662391351205</c:v>
                </c:pt>
                <c:pt idx="526">
                  <c:v>109.25228426737436</c:v>
                </c:pt>
                <c:pt idx="527">
                  <c:v>108.84534057716429</c:v>
                </c:pt>
                <c:pt idx="528">
                  <c:v>108.44574160166847</c:v>
                </c:pt>
                <c:pt idx="529">
                  <c:v>108.05343124572808</c:v>
                </c:pt>
                <c:pt idx="530">
                  <c:v>107.66834890946461</c:v>
                </c:pt>
                <c:pt idx="531">
                  <c:v>107.29042982721278</c:v>
                </c:pt>
                <c:pt idx="532">
                  <c:v>106.91960539559501</c:v>
                </c:pt>
                <c:pt idx="533">
                  <c:v>106.55580349025523</c:v>
                </c:pt>
                <c:pt idx="534">
                  <c:v>106.19894877090539</c:v>
                </c:pt>
                <c:pt idx="535">
                  <c:v>105.8489629744135</c:v>
                </c:pt>
                <c:pt idx="536">
                  <c:v>105.50576519576828</c:v>
                </c:pt>
                <c:pt idx="537">
                  <c:v>105.16927215682098</c:v>
                </c:pt>
                <c:pt idx="538">
                  <c:v>104.83939846279488</c:v>
                </c:pt>
                <c:pt idx="539">
                  <c:v>104.51605684660368</c:v>
                </c:pt>
                <c:pt idx="540">
                  <c:v>104.1991584010877</c:v>
                </c:pt>
                <c:pt idx="541">
                  <c:v>103.88861279932193</c:v>
                </c:pt>
              </c:numCache>
            </c:numRef>
          </c:yVal>
          <c:smooth val="1"/>
          <c:extLst>
            <c:ext xmlns:c16="http://schemas.microsoft.com/office/drawing/2014/chart" uri="{C3380CC4-5D6E-409C-BE32-E72D297353CC}">
              <c16:uniqueId val="{00000001-3DFE-43A9-93A4-11C3658A6E80}"/>
            </c:ext>
          </c:extLst>
        </c:ser>
        <c:dLbls>
          <c:showLegendKey val="0"/>
          <c:showVal val="0"/>
          <c:showCatName val="0"/>
          <c:showSerName val="0"/>
          <c:showPercent val="0"/>
          <c:showBubbleSize val="0"/>
        </c:dLbls>
        <c:axId val="384036224"/>
        <c:axId val="384034688"/>
      </c:scatterChart>
      <c:valAx>
        <c:axId val="337758080"/>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84032768"/>
        <c:crosses val="autoZero"/>
        <c:crossBetween val="midCat"/>
      </c:valAx>
      <c:valAx>
        <c:axId val="384032768"/>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37758080"/>
        <c:crosses val="autoZero"/>
        <c:crossBetween val="midCat"/>
        <c:majorUnit val="20"/>
        <c:minorUnit val="10"/>
      </c:valAx>
      <c:valAx>
        <c:axId val="384034688"/>
        <c:scaling>
          <c:orientation val="minMax"/>
          <c:max val="180"/>
          <c:min val="-180"/>
        </c:scaling>
        <c:delete val="0"/>
        <c:axPos val="r"/>
        <c:numFmt formatCode="General" sourceLinked="1"/>
        <c:majorTickMark val="out"/>
        <c:minorTickMark val="none"/>
        <c:tickLblPos val="nextTo"/>
        <c:crossAx val="384036224"/>
        <c:crosses val="max"/>
        <c:crossBetween val="midCat"/>
        <c:majorUnit val="90"/>
        <c:minorUnit val="45"/>
      </c:valAx>
      <c:valAx>
        <c:axId val="384036224"/>
        <c:scaling>
          <c:logBase val="10"/>
          <c:orientation val="minMax"/>
        </c:scaling>
        <c:delete val="1"/>
        <c:axPos val="b"/>
        <c:numFmt formatCode="0.00" sourceLinked="1"/>
        <c:majorTickMark val="out"/>
        <c:minorTickMark val="none"/>
        <c:tickLblPos val="nextTo"/>
        <c:crossAx val="384034688"/>
        <c:crosses val="autoZero"/>
        <c:crossBetween val="midCat"/>
      </c:valAx>
    </c:plotArea>
    <c:legend>
      <c:legendPos val="r"/>
      <c:layout>
        <c:manualLayout>
          <c:xMode val="edge"/>
          <c:yMode val="edge"/>
          <c:x val="0.79880558209512509"/>
          <c:y val="0.14321997959862004"/>
          <c:w val="0.13485048155591431"/>
          <c:h val="0.10528624969913696"/>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baseline="0"/>
              <a:t>Bode Plot</a:t>
            </a:r>
          </a:p>
        </c:rich>
      </c:tx>
      <c:layout>
        <c:manualLayout>
          <c:xMode val="edge"/>
          <c:yMode val="edge"/>
          <c:x val="9.4354157174953393E-2"/>
          <c:y val="3.9916010498687662E-3"/>
        </c:manualLayout>
      </c:layout>
      <c:overlay val="0"/>
    </c:title>
    <c:autoTitleDeleted val="0"/>
    <c:plotArea>
      <c:layout>
        <c:manualLayout>
          <c:layoutTarget val="inner"/>
          <c:xMode val="edge"/>
          <c:yMode val="edge"/>
          <c:x val="8.7413438847232044E-2"/>
          <c:y val="8.915804101931861E-2"/>
          <c:w val="0.80965876742891785"/>
          <c:h val="0.76159168715027026"/>
        </c:manualLayout>
      </c:layout>
      <c:scatterChart>
        <c:scatterStyle val="smoothMarker"/>
        <c:varyColors val="0"/>
        <c:ser>
          <c:idx val="0"/>
          <c:order val="0"/>
          <c:tx>
            <c:v>Gain (dB)</c:v>
          </c:tx>
          <c:spPr>
            <a:ln w="28575">
              <a:solidFill>
                <a:srgbClr val="FF0000"/>
              </a:solidFill>
            </a:ln>
          </c:spPr>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CCM_Loop_Modeling_Isolated!$AW$19:$AW$560</c:f>
              <c:numCache>
                <c:formatCode>0.000</c:formatCode>
                <c:ptCount val="542"/>
                <c:pt idx="0">
                  <c:v>91.016984725419576</c:v>
                </c:pt>
                <c:pt idx="1">
                  <c:v>90.695503372274814</c:v>
                </c:pt>
                <c:pt idx="2">
                  <c:v>90.371852335915293</c:v>
                </c:pt>
                <c:pt idx="3">
                  <c:v>90.046056119527279</c:v>
                </c:pt>
                <c:pt idx="4">
                  <c:v>89.718141112274111</c:v>
                </c:pt>
                <c:pt idx="5">
                  <c:v>89.388135492552166</c:v>
                </c:pt>
                <c:pt idx="6">
                  <c:v>89.056069126632906</c:v>
                </c:pt>
                <c:pt idx="7">
                  <c:v>88.721973463465076</c:v>
                </c:pt>
                <c:pt idx="8">
                  <c:v>88.385881426416276</c:v>
                </c:pt>
                <c:pt idx="9">
                  <c:v>88.047827302729459</c:v>
                </c:pt>
                <c:pt idx="10">
                  <c:v>87.707846631454089</c:v>
                </c:pt>
                <c:pt idx="11">
                  <c:v>87.365976090595353</c:v>
                </c:pt>
                <c:pt idx="12">
                  <c:v>87.022253384194272</c:v>
                </c:pt>
                <c:pt idx="13">
                  <c:v>86.676717130017451</c:v>
                </c:pt>
                <c:pt idx="14">
                  <c:v>86.329406748498485</c:v>
                </c:pt>
                <c:pt idx="15">
                  <c:v>85.980362353526303</c:v>
                </c:pt>
                <c:pt idx="16">
                  <c:v>85.629624645630855</c:v>
                </c:pt>
                <c:pt idx="17">
                  <c:v>85.277234808064946</c:v>
                </c:pt>
                <c:pt idx="18">
                  <c:v>84.923234406230108</c:v>
                </c:pt>
                <c:pt idx="19">
                  <c:v>84.567665290841717</c:v>
                </c:pt>
                <c:pt idx="20">
                  <c:v>84.210569505175329</c:v>
                </c:pt>
                <c:pt idx="21">
                  <c:v>83.851989196683604</c:v>
                </c:pt>
                <c:pt idx="22">
                  <c:v>83.491966533223859</c:v>
                </c:pt>
                <c:pt idx="23">
                  <c:v>83.130543624081696</c:v>
                </c:pt>
                <c:pt idx="24">
                  <c:v>82.767762445938303</c:v>
                </c:pt>
                <c:pt idx="25">
                  <c:v>82.403664773870446</c:v>
                </c:pt>
                <c:pt idx="26">
                  <c:v>82.038292117446758</c:v>
                </c:pt>
                <c:pt idx="27">
                  <c:v>81.671685661928421</c:v>
                </c:pt>
                <c:pt idx="28">
                  <c:v>81.303886214561487</c:v>
                </c:pt>
                <c:pt idx="29">
                  <c:v>80.934934155905296</c:v>
                </c:pt>
                <c:pt idx="30">
                  <c:v>80.564869396119519</c:v>
                </c:pt>
                <c:pt idx="31">
                  <c:v>80.193731336102175</c:v>
                </c:pt>
                <c:pt idx="32">
                  <c:v>79.821558833355638</c:v>
                </c:pt>
                <c:pt idx="33">
                  <c:v>79.448390172428873</c:v>
                </c:pt>
                <c:pt idx="34">
                  <c:v>79.0742630397813</c:v>
                </c:pt>
                <c:pt idx="35">
                  <c:v>78.699214502889674</c:v>
                </c:pt>
                <c:pt idx="36">
                  <c:v>78.323280993415963</c:v>
                </c:pt>
                <c:pt idx="37">
                  <c:v>77.946498294246112</c:v>
                </c:pt>
                <c:pt idx="38">
                  <c:v>77.568901530203092</c:v>
                </c:pt>
                <c:pt idx="39">
                  <c:v>77.190525162235474</c:v>
                </c:pt>
                <c:pt idx="40">
                  <c:v>76.811402984883955</c:v>
                </c:pt>
                <c:pt idx="41">
                  <c:v>76.431568126824402</c:v>
                </c:pt>
                <c:pt idx="42">
                  <c:v>76.051053054295352</c:v>
                </c:pt>
                <c:pt idx="43">
                  <c:v>75.669889577213979</c:v>
                </c:pt>
                <c:pt idx="44">
                  <c:v>75.288108857795336</c:v>
                </c:pt>
                <c:pt idx="45">
                  <c:v>74.905741421492351</c:v>
                </c:pt>
                <c:pt idx="46">
                  <c:v>74.522817170080998</c:v>
                </c:pt>
                <c:pt idx="47">
                  <c:v>74.139365396723605</c:v>
                </c:pt>
                <c:pt idx="48">
                  <c:v>73.755414802847781</c:v>
                </c:pt>
                <c:pt idx="49">
                  <c:v>73.370993516689964</c:v>
                </c:pt>
                <c:pt idx="50">
                  <c:v>72.986129113358004</c:v>
                </c:pt>
                <c:pt idx="51">
                  <c:v>72.600848636275956</c:v>
                </c:pt>
                <c:pt idx="52">
                  <c:v>72.215178619883659</c:v>
                </c:pt>
                <c:pt idx="53">
                  <c:v>71.82914511346921</c:v>
                </c:pt>
                <c:pt idx="54">
                  <c:v>71.442773706023488</c:v>
                </c:pt>
                <c:pt idx="55">
                  <c:v>71.056089552010661</c:v>
                </c:pt>
                <c:pt idx="56">
                  <c:v>70.669117397958203</c:v>
                </c:pt>
                <c:pt idx="57">
                  <c:v>70.281881609775454</c:v>
                </c:pt>
                <c:pt idx="58">
                  <c:v>69.894406200716816</c:v>
                </c:pt>
                <c:pt idx="59">
                  <c:v>69.506714859913671</c:v>
                </c:pt>
                <c:pt idx="60">
                  <c:v>69.118830981401516</c:v>
                </c:pt>
                <c:pt idx="61">
                  <c:v>68.73077769357775</c:v>
                </c:pt>
                <c:pt idx="62">
                  <c:v>68.34257788902768</c:v>
                </c:pt>
                <c:pt idx="63">
                  <c:v>67.95425425466307</c:v>
                </c:pt>
                <c:pt idx="64">
                  <c:v>67.565829302119369</c:v>
                </c:pt>
                <c:pt idx="65">
                  <c:v>67.177325398362626</c:v>
                </c:pt>
                <c:pt idx="66">
                  <c:v>66.788764796459532</c:v>
                </c:pt>
                <c:pt idx="67">
                  <c:v>66.400169666465402</c:v>
                </c:pt>
                <c:pt idx="68">
                  <c:v>66.011562126389506</c:v>
                </c:pt>
                <c:pt idx="69">
                  <c:v>65.622964273194356</c:v>
                </c:pt>
                <c:pt idx="70">
                  <c:v>65.234398213789945</c:v>
                </c:pt>
                <c:pt idx="71">
                  <c:v>64.845886095982934</c:v>
                </c:pt>
                <c:pt idx="72">
                  <c:v>64.457450139339045</c:v>
                </c:pt>
                <c:pt idx="73">
                  <c:v>64.069112665918638</c:v>
                </c:pt>
                <c:pt idx="74">
                  <c:v>63.680896130841838</c:v>
                </c:pt>
                <c:pt idx="75">
                  <c:v>63.292823152639357</c:v>
                </c:pt>
                <c:pt idx="76">
                  <c:v>62.90491654334155</c:v>
                </c:pt>
                <c:pt idx="77">
                  <c:v>62.517199338255963</c:v>
                </c:pt>
                <c:pt idx="78">
                  <c:v>62.129694825380184</c:v>
                </c:pt>
                <c:pt idx="79">
                  <c:v>61.742426574392567</c:v>
                </c:pt>
                <c:pt idx="80">
                  <c:v>61.355418465159424</c:v>
                </c:pt>
                <c:pt idx="81">
                  <c:v>60.968694715691797</c:v>
                </c:pt>
                <c:pt idx="82">
                  <c:v>60.582279909481009</c:v>
                </c:pt>
                <c:pt idx="83">
                  <c:v>60.196199022134209</c:v>
                </c:pt>
                <c:pt idx="84">
                  <c:v>59.810477447227157</c:v>
                </c:pt>
                <c:pt idx="85">
                  <c:v>59.425141021284105</c:v>
                </c:pt>
                <c:pt idx="86">
                  <c:v>59.040216047787595</c:v>
                </c:pt>
                <c:pt idx="87">
                  <c:v>58.655729320114816</c:v>
                </c:pt>
                <c:pt idx="88">
                  <c:v>58.271708143288059</c:v>
                </c:pt>
                <c:pt idx="89">
                  <c:v>57.888180354422396</c:v>
                </c:pt>
                <c:pt idx="90">
                  <c:v>57.50517434174273</c:v>
                </c:pt>
                <c:pt idx="91">
                  <c:v>57.122719062036921</c:v>
                </c:pt>
                <c:pt idx="92">
                  <c:v>56.740844056404327</c:v>
                </c:pt>
                <c:pt idx="93">
                  <c:v>56.359579464150329</c:v>
                </c:pt>
                <c:pt idx="94">
                  <c:v>55.97895603467154</c:v>
                </c:pt>
                <c:pt idx="95">
                  <c:v>55.599005137169534</c:v>
                </c:pt>
                <c:pt idx="96">
                  <c:v>55.219758768024896</c:v>
                </c:pt>
                <c:pt idx="97">
                  <c:v>54.841249555656752</c:v>
                </c:pt>
                <c:pt idx="98">
                  <c:v>54.463510762691605</c:v>
                </c:pt>
                <c:pt idx="99">
                  <c:v>54.086576285258012</c:v>
                </c:pt>
                <c:pt idx="100">
                  <c:v>53.710480649222745</c:v>
                </c:pt>
                <c:pt idx="101">
                  <c:v>53.335259003184376</c:v>
                </c:pt>
                <c:pt idx="102">
                  <c:v>52.96094710803925</c:v>
                </c:pt>
                <c:pt idx="103">
                  <c:v>52.587581322936259</c:v>
                </c:pt>
                <c:pt idx="104">
                  <c:v>52.215198587443524</c:v>
                </c:pt>
                <c:pt idx="105">
                  <c:v>51.843836399754991</c:v>
                </c:pt>
                <c:pt idx="106">
                  <c:v>51.473532790772147</c:v>
                </c:pt>
                <c:pt idx="107">
                  <c:v>51.104326293910432</c:v>
                </c:pt>
                <c:pt idx="108">
                  <c:v>50.736255910491067</c:v>
                </c:pt>
                <c:pt idx="109">
                  <c:v>50.369361070596234</c:v>
                </c:pt>
                <c:pt idx="110">
                  <c:v>50.003681589284987</c:v>
                </c:pt>
                <c:pt idx="111">
                  <c:v>49.639257618090618</c:v>
                </c:pt>
                <c:pt idx="112">
                  <c:v>49.276129591743839</c:v>
                </c:pt>
                <c:pt idx="113">
                  <c:v>48.91433817009613</c:v>
                </c:pt>
                <c:pt idx="114">
                  <c:v>48.55392417524827</c:v>
                </c:pt>
                <c:pt idx="115">
                  <c:v>48.194928523924176</c:v>
                </c:pt>
                <c:pt idx="116">
                  <c:v>47.837392155166079</c:v>
                </c:pt>
                <c:pt idx="117">
                  <c:v>47.48135595346929</c:v>
                </c:pt>
                <c:pt idx="118">
                  <c:v>47.126860667511878</c:v>
                </c:pt>
                <c:pt idx="119">
                  <c:v>46.773946824685559</c:v>
                </c:pt>
                <c:pt idx="120">
                  <c:v>46.42265464167199</c:v>
                </c:pt>
                <c:pt idx="121">
                  <c:v>46.073023931359813</c:v>
                </c:pt>
                <c:pt idx="122">
                  <c:v>45.72509400644438</c:v>
                </c:pt>
                <c:pt idx="123">
                  <c:v>45.378903580094374</c:v>
                </c:pt>
                <c:pt idx="124">
                  <c:v>45.034490664121563</c:v>
                </c:pt>
                <c:pt idx="125">
                  <c:v>44.691892465129541</c:v>
                </c:pt>
                <c:pt idx="126">
                  <c:v>44.351145279160022</c:v>
                </c:pt>
                <c:pt idx="127">
                  <c:v>44.012284385397436</c:v>
                </c:pt>
                <c:pt idx="128">
                  <c:v>43.675343939522747</c:v>
                </c:pt>
                <c:pt idx="129">
                  <c:v>43.340356867341058</c:v>
                </c:pt>
                <c:pt idx="130">
                  <c:v>43.007354759334959</c:v>
                </c:pt>
                <c:pt idx="131">
                  <c:v>42.676367766807431</c:v>
                </c:pt>
                <c:pt idx="132">
                  <c:v>42.347424500302452</c:v>
                </c:pt>
                <c:pt idx="133">
                  <c:v>42.020551930984439</c:v>
                </c:pt>
                <c:pt idx="134">
                  <c:v>41.695775295668156</c:v>
                </c:pt>
                <c:pt idx="135">
                  <c:v>41.373118006171566</c:v>
                </c:pt>
                <c:pt idx="136">
                  <c:v>41.052601563653546</c:v>
                </c:pt>
                <c:pt idx="137">
                  <c:v>40.734245478569306</c:v>
                </c:pt>
                <c:pt idx="138">
                  <c:v>40.418067196844724</c:v>
                </c:pt>
                <c:pt idx="139">
                  <c:v>40.104082032829744</c:v>
                </c:pt>
                <c:pt idx="140">
                  <c:v>39.792303109542864</c:v>
                </c:pt>
                <c:pt idx="141">
                  <c:v>39.482741306664359</c:v>
                </c:pt>
                <c:pt idx="142">
                  <c:v>39.175405216674903</c:v>
                </c:pt>
                <c:pt idx="143">
                  <c:v>38.870301109471761</c:v>
                </c:pt>
                <c:pt idx="144">
                  <c:v>38.567432905722406</c:v>
                </c:pt>
                <c:pt idx="145">
                  <c:v>38.266802159143126</c:v>
                </c:pt>
                <c:pt idx="146">
                  <c:v>37.968408047817071</c:v>
                </c:pt>
                <c:pt idx="147">
                  <c:v>37.672247374583179</c:v>
                </c:pt>
                <c:pt idx="148">
                  <c:v>37.378314576458308</c:v>
                </c:pt>
                <c:pt idx="149">
                  <c:v>37.086601742971069</c:v>
                </c:pt>
                <c:pt idx="150">
                  <c:v>36.797098643219087</c:v>
                </c:pt>
                <c:pt idx="151">
                  <c:v>36.509792761385214</c:v>
                </c:pt>
                <c:pt idx="152">
                  <c:v>36.224669340383436</c:v>
                </c:pt>
                <c:pt idx="153">
                  <c:v>35.941711433243746</c:v>
                </c:pt>
                <c:pt idx="154">
                  <c:v>35.660899961786797</c:v>
                </c:pt>
                <c:pt idx="155">
                  <c:v>35.382213782090091</c:v>
                </c:pt>
                <c:pt idx="156">
                  <c:v>35.105629756202703</c:v>
                </c:pt>
                <c:pt idx="157">
                  <c:v>34.831122829528056</c:v>
                </c:pt>
                <c:pt idx="158">
                  <c:v>34.558666113266234</c:v>
                </c:pt>
                <c:pt idx="159">
                  <c:v>34.288230971282438</c:v>
                </c:pt>
                <c:pt idx="160">
                  <c:v>34.019787110754088</c:v>
                </c:pt>
                <c:pt idx="161">
                  <c:v>33.753302675942365</c:v>
                </c:pt>
                <c:pt idx="162">
                  <c:v>33.488744344427282</c:v>
                </c:pt>
                <c:pt idx="163">
                  <c:v>33.226077425158834</c:v>
                </c:pt>
                <c:pt idx="164">
                  <c:v>32.965265957680217</c:v>
                </c:pt>
                <c:pt idx="165">
                  <c:v>32.706272811901002</c:v>
                </c:pt>
                <c:pt idx="166">
                  <c:v>32.449059787819522</c:v>
                </c:pt>
                <c:pt idx="167">
                  <c:v>32.193587714617642</c:v>
                </c:pt>
                <c:pt idx="168">
                  <c:v>31.939816548586887</c:v>
                </c:pt>
                <c:pt idx="169">
                  <c:v>31.687705469373547</c:v>
                </c:pt>
                <c:pt idx="170">
                  <c:v>31.437212974071436</c:v>
                </c:pt>
                <c:pt idx="171">
                  <c:v>31.188296968727819</c:v>
                </c:pt>
                <c:pt idx="172">
                  <c:v>30.940914856867874</c:v>
                </c:pt>
                <c:pt idx="173">
                  <c:v>30.695023624687707</c:v>
                </c:pt>
                <c:pt idx="174">
                  <c:v>30.450579922602607</c:v>
                </c:pt>
                <c:pt idx="175">
                  <c:v>30.207540142885247</c:v>
                </c:pt>
                <c:pt idx="176">
                  <c:v>29.965860493164254</c:v>
                </c:pt>
                <c:pt idx="177">
                  <c:v>29.725497065596876</c:v>
                </c:pt>
                <c:pt idx="178">
                  <c:v>29.486405901568759</c:v>
                </c:pt>
                <c:pt idx="179">
                  <c:v>29.248543051809186</c:v>
                </c:pt>
                <c:pt idx="180">
                  <c:v>29.011864631847818</c:v>
                </c:pt>
                <c:pt idx="181">
                  <c:v>28.776326872771506</c:v>
                </c:pt>
                <c:pt idx="182">
                  <c:v>28.541886167271461</c:v>
                </c:pt>
                <c:pt idx="183">
                  <c:v>28.308499110998788</c:v>
                </c:pt>
                <c:pt idx="184">
                  <c:v>28.076122539275673</c:v>
                </c:pt>
                <c:pt idx="185">
                  <c:v>27.844713559230104</c:v>
                </c:pt>
                <c:pt idx="186">
                  <c:v>27.614229577446668</c:v>
                </c:pt>
                <c:pt idx="187">
                  <c:v>27.384628323243071</c:v>
                </c:pt>
                <c:pt idx="188">
                  <c:v>27.155867867700046</c:v>
                </c:pt>
                <c:pt idx="189">
                  <c:v>26.927906638587118</c:v>
                </c:pt>
                <c:pt idx="190">
                  <c:v>26.700703431337342</c:v>
                </c:pt>
                <c:pt idx="191">
                  <c:v>26.474217416236719</c:v>
                </c:pt>
                <c:pt idx="192">
                  <c:v>26.24840814200266</c:v>
                </c:pt>
                <c:pt idx="193">
                  <c:v>26.023235535928659</c:v>
                </c:pt>
                <c:pt idx="194">
                  <c:v>25.798659900784834</c:v>
                </c:pt>
                <c:pt idx="195">
                  <c:v>25.574641908660027</c:v>
                </c:pt>
                <c:pt idx="196">
                  <c:v>25.351142591939993</c:v>
                </c:pt>
                <c:pt idx="197">
                  <c:v>25.12812333161289</c:v>
                </c:pt>
                <c:pt idx="198">
                  <c:v>24.905545843100452</c:v>
                </c:pt>
                <c:pt idx="199">
                  <c:v>24.683372159803668</c:v>
                </c:pt>
                <c:pt idx="200">
                  <c:v>24.461564614560686</c:v>
                </c:pt>
                <c:pt idx="201">
                  <c:v>24.240085819207771</c:v>
                </c:pt>
                <c:pt idx="202">
                  <c:v>24.018898642434902</c:v>
                </c:pt>
                <c:pt idx="203">
                  <c:v>23.797966186124427</c:v>
                </c:pt>
                <c:pt idx="204">
                  <c:v>23.577251760361246</c:v>
                </c:pt>
                <c:pt idx="205">
                  <c:v>23.356718857301665</c:v>
                </c:pt>
                <c:pt idx="206">
                  <c:v>23.136331124083803</c:v>
                </c:pt>
                <c:pt idx="207">
                  <c:v>22.916052334963229</c:v>
                </c:pt>
                <c:pt idx="208">
                  <c:v>22.695846362857729</c:v>
                </c:pt>
                <c:pt idx="209">
                  <c:v>22.475677150482053</c:v>
                </c:pt>
                <c:pt idx="210">
                  <c:v>22.255508681252433</c:v>
                </c:pt>
                <c:pt idx="211">
                  <c:v>22.035304950146845</c:v>
                </c:pt>
                <c:pt idx="212">
                  <c:v>21.815029934699336</c:v>
                </c:pt>
                <c:pt idx="213">
                  <c:v>21.594647566314592</c:v>
                </c:pt>
                <c:pt idx="214">
                  <c:v>21.374121702086683</c:v>
                </c:pt>
                <c:pt idx="215">
                  <c:v>21.153416097311016</c:v>
                </c:pt>
                <c:pt idx="216">
                  <c:v>20.932494378876868</c:v>
                </c:pt>
                <c:pt idx="217">
                  <c:v>20.711320019736831</c:v>
                </c:pt>
                <c:pt idx="218">
                  <c:v>20.489856314645444</c:v>
                </c:pt>
                <c:pt idx="219">
                  <c:v>20.268066357370689</c:v>
                </c:pt>
                <c:pt idx="220">
                  <c:v>20.045913019577938</c:v>
                </c:pt>
                <c:pt idx="221">
                  <c:v>19.823358931597074</c:v>
                </c:pt>
                <c:pt idx="222">
                  <c:v>19.600366465282107</c:v>
                </c:pt>
                <c:pt idx="223">
                  <c:v>19.376897719177443</c:v>
                </c:pt>
                <c:pt idx="224">
                  <c:v>19.152914506211189</c:v>
                </c:pt>
                <c:pt idx="225">
                  <c:v>18.928378344134948</c:v>
                </c:pt>
                <c:pt idx="226">
                  <c:v>18.703250448933833</c:v>
                </c:pt>
                <c:pt idx="227">
                  <c:v>18.477491731432664</c:v>
                </c:pt>
                <c:pt idx="228">
                  <c:v>18.25106279732292</c:v>
                </c:pt>
                <c:pt idx="229">
                  <c:v>18.023923950835847</c:v>
                </c:pt>
                <c:pt idx="230">
                  <c:v>17.796035202285818</c:v>
                </c:pt>
                <c:pt idx="231">
                  <c:v>17.567356279700853</c:v>
                </c:pt>
                <c:pt idx="232">
                  <c:v>17.337846644756688</c:v>
                </c:pt>
                <c:pt idx="233">
                  <c:v>17.10746551321953</c:v>
                </c:pt>
                <c:pt idx="234">
                  <c:v>16.876171880093416</c:v>
                </c:pt>
                <c:pt idx="235">
                  <c:v>16.643924549657321</c:v>
                </c:pt>
                <c:pt idx="236">
                  <c:v>16.410682170559745</c:v>
                </c:pt>
                <c:pt idx="237">
                  <c:v>16.176403276122738</c:v>
                </c:pt>
                <c:pt idx="238">
                  <c:v>15.941046329983468</c:v>
                </c:pt>
                <c:pt idx="239">
                  <c:v>15.704569777180639</c:v>
                </c:pt>
                <c:pt idx="240">
                  <c:v>15.466932100761799</c:v>
                </c:pt>
                <c:pt idx="241">
                  <c:v>15.228091883959404</c:v>
                </c:pt>
                <c:pt idx="242">
                  <c:v>14.988007877946517</c:v>
                </c:pt>
                <c:pt idx="243">
                  <c:v>14.746639075149782</c:v>
                </c:pt>
                <c:pt idx="244">
                  <c:v>14.503944788049832</c:v>
                </c:pt>
                <c:pt idx="245">
                  <c:v>14.259884733361403</c:v>
                </c:pt>
                <c:pt idx="246">
                  <c:v>14.01441912143703</c:v>
                </c:pt>
                <c:pt idx="247">
                  <c:v>13.767508750686286</c:v>
                </c:pt>
                <c:pt idx="248">
                  <c:v>13.51911510675674</c:v>
                </c:pt>
                <c:pt idx="249">
                  <c:v>13.269200466164916</c:v>
                </c:pt>
                <c:pt idx="250">
                  <c:v>13.017728004017332</c:v>
                </c:pt>
                <c:pt idx="251">
                  <c:v>12.76466190540277</c:v>
                </c:pt>
                <c:pt idx="252">
                  <c:v>12.509967479989683</c:v>
                </c:pt>
                <c:pt idx="253">
                  <c:v>12.253611279303447</c:v>
                </c:pt>
                <c:pt idx="254">
                  <c:v>11.995561216116808</c:v>
                </c:pt>
                <c:pt idx="255">
                  <c:v>11.735786685331309</c:v>
                </c:pt>
                <c:pt idx="256">
                  <c:v>11.474258685692787</c:v>
                </c:pt>
                <c:pt idx="257">
                  <c:v>11.210949941638646</c:v>
                </c:pt>
                <c:pt idx="258">
                  <c:v>10.945835024546341</c:v>
                </c:pt>
                <c:pt idx="259">
                  <c:v>10.67889047262538</c:v>
                </c:pt>
                <c:pt idx="260">
                  <c:v>10.4100949086748</c:v>
                </c:pt>
                <c:pt idx="261">
                  <c:v>10.139429154919959</c:v>
                </c:pt>
                <c:pt idx="262">
                  <c:v>9.8668763441357665</c:v>
                </c:pt>
                <c:pt idx="263">
                  <c:v>9.592422026273578</c:v>
                </c:pt>
                <c:pt idx="264">
                  <c:v>9.3160542698234785</c:v>
                </c:pt>
                <c:pt idx="265">
                  <c:v>9.0377637571668075</c:v>
                </c:pt>
                <c:pt idx="266">
                  <c:v>8.7575438732115032</c:v>
                </c:pt>
                <c:pt idx="267">
                  <c:v>8.4753907866423557</c:v>
                </c:pt>
                <c:pt idx="268">
                  <c:v>8.1913035231729978</c:v>
                </c:pt>
                <c:pt idx="269">
                  <c:v>7.905284030245733</c:v>
                </c:pt>
                <c:pt idx="270">
                  <c:v>7.6173372326926145</c:v>
                </c:pt>
                <c:pt idx="271">
                  <c:v>7.3274710789437734</c:v>
                </c:pt>
                <c:pt idx="272">
                  <c:v>7.0356965774502314</c:v>
                </c:pt>
                <c:pt idx="273">
                  <c:v>6.7420278230695079</c:v>
                </c:pt>
                <c:pt idx="274">
                  <c:v>6.4464820132474721</c:v>
                </c:pt>
                <c:pt idx="275">
                  <c:v>6.1490794539191054</c:v>
                </c:pt>
                <c:pt idx="276">
                  <c:v>5.8498435551359416</c:v>
                </c:pt>
                <c:pt idx="277">
                  <c:v>5.5488008165122142</c:v>
                </c:pt>
                <c:pt idx="278">
                  <c:v>5.2459808026671091</c:v>
                </c:pt>
                <c:pt idx="279">
                  <c:v>4.9414161089156687</c:v>
                </c:pt>
                <c:pt idx="280">
                  <c:v>4.6351423175341564</c:v>
                </c:pt>
                <c:pt idx="281">
                  <c:v>4.3271979449937543</c:v>
                </c:pt>
                <c:pt idx="282">
                  <c:v>4.0176243806107719</c:v>
                </c:pt>
                <c:pt idx="283">
                  <c:v>3.7064658171157783</c:v>
                </c:pt>
                <c:pt idx="284">
                  <c:v>3.3937691736827165</c:v>
                </c:pt>
                <c:pt idx="285">
                  <c:v>3.0795840119911895</c:v>
                </c:pt>
                <c:pt idx="286">
                  <c:v>2.7639624459183265</c:v>
                </c:pt>
                <c:pt idx="287">
                  <c:v>2.4469590454681285</c:v>
                </c:pt>
                <c:pt idx="288">
                  <c:v>2.1286307355500709</c:v>
                </c:pt>
                <c:pt idx="289">
                  <c:v>1.8090366902139912</c:v>
                </c:pt>
                <c:pt idx="290">
                  <c:v>1.4882382229302791</c:v>
                </c:pt>
                <c:pt idx="291">
                  <c:v>1.1662986734893979</c:v>
                </c:pt>
                <c:pt idx="292">
                  <c:v>0.84328329205711761</c:v>
                </c:pt>
                <c:pt idx="293">
                  <c:v>0.51925912089354542</c:v>
                </c:pt>
                <c:pt idx="294">
                  <c:v>0.19429487420180963</c:v>
                </c:pt>
                <c:pt idx="295">
                  <c:v>-0.13153918347519894</c:v>
                </c:pt>
                <c:pt idx="296">
                  <c:v>-0.45817135993351604</c:v>
                </c:pt>
                <c:pt idx="297">
                  <c:v>-0.78552865873900191</c:v>
                </c:pt>
                <c:pt idx="298">
                  <c:v>-1.1135369031343461</c:v>
                </c:pt>
                <c:pt idx="299">
                  <c:v>-1.4421208601985831</c:v>
                </c:pt>
                <c:pt idx="300">
                  <c:v>-1.7712043650802836</c:v>
                </c:pt>
                <c:pt idx="301">
                  <c:v>-2.1007104451739225</c:v>
                </c:pt>
                <c:pt idx="302">
                  <c:v>-2.4305614441502046</c:v>
                </c:pt>
                <c:pt idx="303">
                  <c:v>-2.760679145791316</c:v>
                </c:pt>
                <c:pt idx="304">
                  <c:v>-3.0909848976141632</c:v>
                </c:pt>
                <c:pt idx="305">
                  <c:v>-3.4213997342932725</c:v>
                </c:pt>
                <c:pt idx="306">
                  <c:v>-3.7518445009203871</c:v>
                </c:pt>
                <c:pt idx="307">
                  <c:v>-4.0822399761500074</c:v>
                </c:pt>
                <c:pt idx="308">
                  <c:v>-4.41250699529229</c:v>
                </c:pt>
                <c:pt idx="309">
                  <c:v>-4.7425665734184772</c:v>
                </c:pt>
                <c:pt idx="310">
                  <c:v>-5.0723400285378588</c:v>
                </c:pt>
                <c:pt idx="311">
                  <c:v>-5.4017491048958348</c:v>
                </c:pt>
                <c:pt idx="312">
                  <c:v>-5.7307160964265647</c:v>
                </c:pt>
                <c:pt idx="313">
                  <c:v>-6.0591639703689557</c:v>
                </c:pt>
                <c:pt idx="314">
                  <c:v>-6.3870164910254985</c:v>
                </c:pt>
                <c:pt idx="315">
                  <c:v>-6.7141983436101107</c:v>
                </c:pt>
                <c:pt idx="316">
                  <c:v>-7.0406352580908971</c:v>
                </c:pt>
                <c:pt idx="317">
                  <c:v>-7.3662541328916706</c:v>
                </c:pt>
                <c:pt idx="318">
                  <c:v>-7.6909831582683266</c:v>
                </c:pt>
                <c:pt idx="319">
                  <c:v>-8.014751939128244</c:v>
                </c:pt>
                <c:pt idx="320">
                  <c:v>-8.3374916170138658</c:v>
                </c:pt>
                <c:pt idx="321">
                  <c:v>-8.6591349909158382</c:v>
                </c:pt>
                <c:pt idx="322">
                  <c:v>-8.9796166365381005</c:v>
                </c:pt>
                <c:pt idx="323">
                  <c:v>-9.2988730235861699</c:v>
                </c:pt>
                <c:pt idx="324">
                  <c:v>-9.6168426306092929</c:v>
                </c:pt>
                <c:pt idx="325">
                  <c:v>-9.9334660568820983</c:v>
                </c:pt>
                <c:pt idx="326">
                  <c:v>-10.248686130783165</c:v>
                </c:pt>
                <c:pt idx="327">
                  <c:v>-10.562448014094892</c:v>
                </c:pt>
                <c:pt idx="328">
                  <c:v>-10.874699301628766</c:v>
                </c:pt>
                <c:pt idx="329">
                  <c:v>-11.185390115568554</c:v>
                </c:pt>
                <c:pt idx="330">
                  <c:v>-11.494473193915278</c:v>
                </c:pt>
                <c:pt idx="331">
                  <c:v>-11.801903972427644</c:v>
                </c:pt>
                <c:pt idx="332">
                  <c:v>-12.107640659457612</c:v>
                </c:pt>
                <c:pt idx="333">
                  <c:v>-12.411644303112357</c:v>
                </c:pt>
                <c:pt idx="334">
                  <c:v>-12.713878850199816</c:v>
                </c:pt>
                <c:pt idx="335">
                  <c:v>-13.014311196459843</c:v>
                </c:pt>
                <c:pt idx="336">
                  <c:v>-13.312911227634594</c:v>
                </c:pt>
                <c:pt idx="337">
                  <c:v>-13.609651850989417</c:v>
                </c:pt>
                <c:pt idx="338">
                  <c:v>-13.904509016962319</c:v>
                </c:pt>
                <c:pt idx="339">
                  <c:v>-14.197461730693732</c:v>
                </c:pt>
                <c:pt idx="340">
                  <c:v>-14.488492053266322</c:v>
                </c:pt>
                <c:pt idx="341">
                  <c:v>-14.777585092567991</c:v>
                </c:pt>
                <c:pt idx="342">
                  <c:v>-15.064728983775</c:v>
                </c:pt>
                <c:pt idx="343">
                  <c:v>-15.349914859539622</c:v>
                </c:pt>
                <c:pt idx="344">
                  <c:v>-15.633136810054793</c:v>
                </c:pt>
                <c:pt idx="345">
                  <c:v>-15.914391833251614</c:v>
                </c:pt>
                <c:pt idx="346">
                  <c:v>-16.193679775468258</c:v>
                </c:pt>
                <c:pt idx="347">
                  <c:v>-16.471003263008154</c:v>
                </c:pt>
                <c:pt idx="348">
                  <c:v>-16.74636762507793</c:v>
                </c:pt>
                <c:pt idx="349">
                  <c:v>-17.019780808660471</c:v>
                </c:pt>
                <c:pt idx="350">
                  <c:v>-17.291253285942084</c:v>
                </c:pt>
                <c:pt idx="351">
                  <c:v>-17.560797954956342</c:v>
                </c:pt>
                <c:pt idx="352">
                  <c:v>-17.828430034157201</c:v>
                </c:pt>
                <c:pt idx="353">
                  <c:v>-18.09416695166362</c:v>
                </c:pt>
                <c:pt idx="354">
                  <c:v>-18.358028229940604</c:v>
                </c:pt>
                <c:pt idx="355">
                  <c:v>-18.620035366698442</c:v>
                </c:pt>
                <c:pt idx="356">
                  <c:v>-18.880211712797919</c:v>
                </c:pt>
                <c:pt idx="357">
                  <c:v>-19.138582347941316</c:v>
                </c:pt>
                <c:pt idx="358">
                  <c:v>-19.395173954924598</c:v>
                </c:pt>
                <c:pt idx="359">
                  <c:v>-19.650014693197576</c:v>
                </c:pt>
                <c:pt idx="360">
                  <c:v>-19.903134072461445</c:v>
                </c:pt>
                <c:pt idx="361">
                  <c:v>-20.154562826990393</c:v>
                </c:pt>
                <c:pt idx="362">
                  <c:v>-20.404332791335204</c:v>
                </c:pt>
                <c:pt idx="363">
                  <c:v>-20.652476778013593</c:v>
                </c:pt>
                <c:pt idx="364">
                  <c:v>-20.899028457754063</c:v>
                </c:pt>
                <c:pt idx="365">
                  <c:v>-21.144022242803477</c:v>
                </c:pt>
                <c:pt idx="366">
                  <c:v>-21.387493173761388</c:v>
                </c:pt>
                <c:pt idx="367">
                  <c:v>-21.629476810347814</c:v>
                </c:pt>
                <c:pt idx="368">
                  <c:v>-21.870009126461511</c:v>
                </c:pt>
                <c:pt idx="369">
                  <c:v>-22.1091264098295</c:v>
                </c:pt>
                <c:pt idx="370">
                  <c:v>-22.346865166500042</c:v>
                </c:pt>
                <c:pt idx="371">
                  <c:v>-22.583262030377917</c:v>
                </c:pt>
                <c:pt idx="372">
                  <c:v>-22.818353677957642</c:v>
                </c:pt>
                <c:pt idx="373">
                  <c:v>-23.052176748358239</c:v>
                </c:pt>
                <c:pt idx="374">
                  <c:v>-23.284767768727761</c:v>
                </c:pt>
                <c:pt idx="375">
                  <c:v>-23.516163085040208</c:v>
                </c:pt>
                <c:pt idx="376">
                  <c:v>-23.746398798276914</c:v>
                </c:pt>
                <c:pt idx="377">
                  <c:v>-23.975510705946665</c:v>
                </c:pt>
                <c:pt idx="378">
                  <c:v>-24.203534248873943</c:v>
                </c:pt>
                <c:pt idx="379">
                  <c:v>-24.430504463156282</c:v>
                </c:pt>
                <c:pt idx="380">
                  <c:v>-24.65645593717278</c:v>
                </c:pt>
                <c:pt idx="381">
                  <c:v>-24.881422773502418</c:v>
                </c:pt>
                <c:pt idx="382">
                  <c:v>-25.10543855559974</c:v>
                </c:pt>
                <c:pt idx="383">
                  <c:v>-25.328536319061939</c:v>
                </c:pt>
                <c:pt idx="384">
                  <c:v>-25.550748527309484</c:v>
                </c:pt>
                <c:pt idx="385">
                  <c:v>-25.772107051499784</c:v>
                </c:pt>
                <c:pt idx="386">
                  <c:v>-25.99264315448481</c:v>
                </c:pt>
                <c:pt idx="387">
                  <c:v>-26.212387478626678</c:v>
                </c:pt>
                <c:pt idx="388">
                  <c:v>-26.431370037279901</c:v>
                </c:pt>
                <c:pt idx="389">
                  <c:v>-26.649620209754676</c:v>
                </c:pt>
                <c:pt idx="390">
                  <c:v>-26.867166739580171</c:v>
                </c:pt>
                <c:pt idx="391">
                  <c:v>-27.084037735887946</c:v>
                </c:pt>
                <c:pt idx="392">
                  <c:v>-27.300260677744475</c:v>
                </c:pt>
                <c:pt idx="393">
                  <c:v>-27.515862421271603</c:v>
                </c:pt>
                <c:pt idx="394">
                  <c:v>-27.730869209396374</c:v>
                </c:pt>
                <c:pt idx="395">
                  <c:v>-27.945306684086809</c:v>
                </c:pt>
                <c:pt idx="396">
                  <c:v>-28.159199900935548</c:v>
                </c:pt>
                <c:pt idx="397">
                  <c:v>-28.372573345965858</c:v>
                </c:pt>
                <c:pt idx="398">
                  <c:v>-28.585450954543461</c:v>
                </c:pt>
                <c:pt idx="399">
                  <c:v>-28.797856132289038</c:v>
                </c:pt>
                <c:pt idx="400">
                  <c:v>-29.009811777897134</c:v>
                </c:pt>
                <c:pt idx="401">
                  <c:v>-29.22134030777525</c:v>
                </c:pt>
                <c:pt idx="402">
                  <c:v>-29.432463682430242</c:v>
                </c:pt>
                <c:pt idx="403">
                  <c:v>-29.643203434537838</c:v>
                </c:pt>
                <c:pt idx="404">
                  <c:v>-29.85358069863932</c:v>
                </c:pt>
                <c:pt idx="405">
                  <c:v>-30.063616242421872</c:v>
                </c:pt>
                <c:pt idx="406">
                  <c:v>-30.273330499542041</c:v>
                </c:pt>
                <c:pt idx="407">
                  <c:v>-30.482743603967176</c:v>
                </c:pt>
                <c:pt idx="408">
                  <c:v>-30.691875425809645</c:v>
                </c:pt>
                <c:pt idx="409">
                  <c:v>-30.900745608638562</c:v>
                </c:pt>
                <c:pt idx="410">
                  <c:v>-31.109373608259983</c:v>
                </c:pt>
                <c:pt idx="411">
                  <c:v>-31.317778732955929</c:v>
                </c:pt>
                <c:pt idx="412">
                  <c:v>-31.525980185182867</c:v>
                </c:pt>
                <c:pt idx="413">
                  <c:v>-31.73399710472583</c:v>
                </c:pt>
                <c:pt idx="414">
                  <c:v>-31.94184861330713</c:v>
                </c:pt>
                <c:pt idx="415">
                  <c:v>-32.149553860650485</c:v>
                </c:pt>
                <c:pt idx="416">
                  <c:v>-32.357132071994023</c:v>
                </c:pt>
                <c:pt idx="417">
                  <c:v>-32.564602597044995</c:v>
                </c:pt>
                <c:pt idx="418">
                  <c:v>-32.771984960362495</c:v>
                </c:pt>
                <c:pt idx="419">
                  <c:v>-32.979298913144916</c:v>
                </c:pt>
                <c:pt idx="420">
                  <c:v>-33.186564486392207</c:v>
                </c:pt>
                <c:pt idx="421">
                  <c:v>-33.393802045398189</c:v>
                </c:pt>
                <c:pt idx="422">
                  <c:v>-33.601032345515279</c:v>
                </c:pt>
                <c:pt idx="423">
                  <c:v>-33.808276589117561</c:v>
                </c:pt>
                <c:pt idx="424">
                  <c:v>-34.015556483670352</c:v>
                </c:pt>
                <c:pt idx="425">
                  <c:v>-34.2228943007905</c:v>
                </c:pt>
                <c:pt idx="426">
                  <c:v>-34.43031293616108</c:v>
                </c:pt>
                <c:pt idx="427">
                  <c:v>-34.637835970137644</c:v>
                </c:pt>
                <c:pt idx="428">
                  <c:v>-34.845487728852014</c:v>
                </c:pt>
                <c:pt idx="429">
                  <c:v>-35.053293345594902</c:v>
                </c:pt>
                <c:pt idx="430">
                  <c:v>-35.261278822218912</c:v>
                </c:pt>
                <c:pt idx="431">
                  <c:v>-35.469471090276301</c:v>
                </c:pt>
                <c:pt idx="432">
                  <c:v>-35.67789807156317</c:v>
                </c:pt>
                <c:pt idx="433">
                  <c:v>-35.886588737709872</c:v>
                </c:pt>
                <c:pt idx="434">
                  <c:v>-36.095573168415577</c:v>
                </c:pt>
                <c:pt idx="435">
                  <c:v>-36.304882607886995</c:v>
                </c:pt>
                <c:pt idx="436">
                  <c:v>-36.514549519004987</c:v>
                </c:pt>
                <c:pt idx="437">
                  <c:v>-36.724607634701869</c:v>
                </c:pt>
                <c:pt idx="438">
                  <c:v>-36.935092005997909</c:v>
                </c:pt>
                <c:pt idx="439">
                  <c:v>-37.146039046111113</c:v>
                </c:pt>
                <c:pt idx="440">
                  <c:v>-37.357486570024541</c:v>
                </c:pt>
                <c:pt idx="441">
                  <c:v>-37.569473828865874</c:v>
                </c:pt>
                <c:pt idx="442">
                  <c:v>-37.782041538436154</c:v>
                </c:pt>
                <c:pt idx="443">
                  <c:v>-37.995231901206068</c:v>
                </c:pt>
                <c:pt idx="444">
                  <c:v>-38.209088621089521</c:v>
                </c:pt>
                <c:pt idx="445">
                  <c:v>-38.423656910305837</c:v>
                </c:pt>
                <c:pt idx="446">
                  <c:v>-38.638983487647337</c:v>
                </c:pt>
                <c:pt idx="447">
                  <c:v>-38.855116567487634</c:v>
                </c:pt>
                <c:pt idx="448">
                  <c:v>-39.072105838898352</c:v>
                </c:pt>
                <c:pt idx="449">
                  <c:v>-39.290002434274903</c:v>
                </c:pt>
                <c:pt idx="450">
                  <c:v>-39.508858886932259</c:v>
                </c:pt>
                <c:pt idx="451">
                  <c:v>-39.728729077187538</c:v>
                </c:pt>
                <c:pt idx="452">
                  <c:v>-39.949668166529264</c:v>
                </c:pt>
                <c:pt idx="453">
                  <c:v>-40.171732519559995</c:v>
                </c:pt>
                <c:pt idx="454">
                  <c:v>-40.394979613495792</c:v>
                </c:pt>
                <c:pt idx="455">
                  <c:v>-40.619467935124916</c:v>
                </c:pt>
                <c:pt idx="456">
                  <c:v>-40.845256865242511</c:v>
                </c:pt>
                <c:pt idx="457">
                  <c:v>-41.072406550716551</c:v>
                </c:pt>
                <c:pt idx="458">
                  <c:v>-41.300977764473316</c:v>
                </c:pt>
                <c:pt idx="459">
                  <c:v>-41.531031753837901</c:v>
                </c:pt>
                <c:pt idx="460">
                  <c:v>-41.762630077811494</c:v>
                </c:pt>
                <c:pt idx="461">
                  <c:v>-41.995834434018171</c:v>
                </c:pt>
                <c:pt idx="462">
                  <c:v>-42.23070647620132</c:v>
                </c:pt>
                <c:pt idx="463">
                  <c:v>-42.46730762329075</c:v>
                </c:pt>
                <c:pt idx="464">
                  <c:v>-42.705698861205967</c:v>
                </c:pt>
                <c:pt idx="465">
                  <c:v>-42.945940538680539</c:v>
                </c:pt>
                <c:pt idx="466">
                  <c:v>-43.188092158518344</c:v>
                </c:pt>
                <c:pt idx="467">
                  <c:v>-43.432212165784271</c:v>
                </c:pt>
                <c:pt idx="468">
                  <c:v>-43.678357734525633</c:v>
                </c:pt>
                <c:pt idx="469">
                  <c:v>-43.926584554681092</c:v>
                </c:pt>
                <c:pt idx="470">
                  <c:v>-44.176946620879875</c:v>
                </c:pt>
                <c:pt idx="471">
                  <c:v>-44.429496024859468</c:v>
                </c:pt>
                <c:pt idx="472">
                  <c:v>-44.684282753225929</c:v>
                </c:pt>
                <c:pt idx="473">
                  <c:v>-44.941354492260416</c:v>
                </c:pt>
                <c:pt idx="474">
                  <c:v>-45.20075644142662</c:v>
                </c:pt>
                <c:pt idx="475">
                  <c:v>-45.462531137162408</c:v>
                </c:pt>
                <c:pt idx="476">
                  <c:v>-45.726718288446889</c:v>
                </c:pt>
                <c:pt idx="477">
                  <c:v>-45.993354625520638</c:v>
                </c:pt>
                <c:pt idx="478">
                  <c:v>-46.262473763001296</c:v>
                </c:pt>
                <c:pt idx="479">
                  <c:v>-46.534106078491384</c:v>
                </c:pt>
                <c:pt idx="480">
                  <c:v>-46.808278607606979</c:v>
                </c:pt>
                <c:pt idx="481">
                  <c:v>-47.085014956183038</c:v>
                </c:pt>
                <c:pt idx="482">
                  <c:v>-47.364335230228825</c:v>
                </c:pt>
                <c:pt idx="483">
                  <c:v>-47.64625598401382</c:v>
                </c:pt>
                <c:pt idx="484">
                  <c:v>-47.930790186480195</c:v>
                </c:pt>
                <c:pt idx="485">
                  <c:v>-48.217947205984146</c:v>
                </c:pt>
                <c:pt idx="486">
                  <c:v>-48.507732813183786</c:v>
                </c:pt>
                <c:pt idx="487">
                  <c:v>-48.800149201718092</c:v>
                </c:pt>
                <c:pt idx="488">
                  <c:v>-49.095195026145177</c:v>
                </c:pt>
                <c:pt idx="489">
                  <c:v>-49.392865456463682</c:v>
                </c:pt>
                <c:pt idx="490">
                  <c:v>-49.693152248388543</c:v>
                </c:pt>
                <c:pt idx="491">
                  <c:v>-49.996043828433784</c:v>
                </c:pt>
                <c:pt idx="492">
                  <c:v>-50.301525392745141</c:v>
                </c:pt>
                <c:pt idx="493">
                  <c:v>-50.609579018532102</c:v>
                </c:pt>
                <c:pt idx="494">
                  <c:v>-50.920183786880798</c:v>
                </c:pt>
                <c:pt idx="495">
                  <c:v>-51.23331591567257</c:v>
                </c:pt>
                <c:pt idx="496">
                  <c:v>-51.548948901298637</c:v>
                </c:pt>
                <c:pt idx="497">
                  <c:v>-51.86705366784463</c:v>
                </c:pt>
                <c:pt idx="498">
                  <c:v>-52.18759872241769</c:v>
                </c:pt>
                <c:pt idx="499">
                  <c:v>-52.51055031530116</c:v>
                </c:pt>
                <c:pt idx="500">
                  <c:v>-52.835872603658345</c:v>
                </c:pt>
                <c:pt idx="501">
                  <c:v>-53.163527817540725</c:v>
                </c:pt>
                <c:pt idx="502">
                  <c:v>-53.493476427015935</c:v>
                </c:pt>
                <c:pt idx="503">
                  <c:v>-53.825677309293347</c:v>
                </c:pt>
                <c:pt idx="504">
                  <c:v>-54.16008791479544</c:v>
                </c:pt>
                <c:pt idx="505">
                  <c:v>-54.496664431202085</c:v>
                </c:pt>
                <c:pt idx="506">
                  <c:v>-54.835361944578736</c:v>
                </c:pt>
                <c:pt idx="507">
                  <c:v>-55.176134596785161</c:v>
                </c:pt>
                <c:pt idx="508">
                  <c:v>-55.518935738448015</c:v>
                </c:pt>
                <c:pt idx="509">
                  <c:v>-55.863718076872139</c:v>
                </c:pt>
                <c:pt idx="510">
                  <c:v>-56.210433818349557</c:v>
                </c:pt>
                <c:pt idx="511">
                  <c:v>-56.559034804413891</c:v>
                </c:pt>
                <c:pt idx="512">
                  <c:v>-56.909472641668692</c:v>
                </c:pt>
                <c:pt idx="513">
                  <c:v>-57.261698824899341</c:v>
                </c:pt>
                <c:pt idx="514">
                  <c:v>-57.615664853251559</c:v>
                </c:pt>
                <c:pt idx="515">
                  <c:v>-57.97132233933177</c:v>
                </c:pt>
                <c:pt idx="516">
                  <c:v>-58.328623111147323</c:v>
                </c:pt>
                <c:pt idx="517">
                  <c:v>-58.687519306867983</c:v>
                </c:pt>
                <c:pt idx="518">
                  <c:v>-59.047963462439782</c:v>
                </c:pt>
                <c:pt idx="519">
                  <c:v>-59.409908592134869</c:v>
                </c:pt>
                <c:pt idx="520">
                  <c:v>-59.773308262162118</c:v>
                </c:pt>
                <c:pt idx="521">
                  <c:v>-60.138116657501293</c:v>
                </c:pt>
                <c:pt idx="522">
                  <c:v>-60.504288642154847</c:v>
                </c:pt>
                <c:pt idx="523">
                  <c:v>-60.871779813041584</c:v>
                </c:pt>
                <c:pt idx="524">
                  <c:v>-61.240546547775409</c:v>
                </c:pt>
                <c:pt idx="525">
                  <c:v>-61.610546046592532</c:v>
                </c:pt>
                <c:pt idx="526">
                  <c:v>-61.981736368703373</c:v>
                </c:pt>
                <c:pt idx="527">
                  <c:v>-62.354076463356698</c:v>
                </c:pt>
                <c:pt idx="528">
                  <c:v>-62.727526195907977</c:v>
                </c:pt>
                <c:pt idx="529">
                  <c:v>-63.102046369190774</c:v>
                </c:pt>
                <c:pt idx="530">
                  <c:v>-63.477598740485554</c:v>
                </c:pt>
                <c:pt idx="531">
                  <c:v>-63.854146034383852</c:v>
                </c:pt>
                <c:pt idx="532">
                  <c:v>-64.231651951838501</c:v>
                </c:pt>
                <c:pt idx="533">
                  <c:v>-64.610081175685394</c:v>
                </c:pt>
                <c:pt idx="534">
                  <c:v>-64.989399372916196</c:v>
                </c:pt>
                <c:pt idx="535">
                  <c:v>-65.369573193970382</c:v>
                </c:pt>
                <c:pt idx="536">
                  <c:v>-65.750570269307602</c:v>
                </c:pt>
                <c:pt idx="537">
                  <c:v>-66.132359203510248</c:v>
                </c:pt>
                <c:pt idx="538">
                  <c:v>-66.514909567153467</c:v>
                </c:pt>
                <c:pt idx="539">
                  <c:v>-66.898191886669778</c:v>
                </c:pt>
                <c:pt idx="540">
                  <c:v>-67.282177632423711</c:v>
                </c:pt>
                <c:pt idx="541">
                  <c:v>-67.666839205198571</c:v>
                </c:pt>
              </c:numCache>
            </c:numRef>
          </c:yVal>
          <c:smooth val="1"/>
          <c:extLst>
            <c:ext xmlns:c16="http://schemas.microsoft.com/office/drawing/2014/chart" uri="{C3380CC4-5D6E-409C-BE32-E72D297353CC}">
              <c16:uniqueId val="{00000000-2860-4C4C-B618-5424CA982335}"/>
            </c:ext>
          </c:extLst>
        </c:ser>
        <c:ser>
          <c:idx val="2"/>
          <c:order val="2"/>
          <c:tx>
            <c:v>f_LP</c:v>
          </c:tx>
          <c:spPr>
            <a:ln w="38100" cmpd="sng"/>
          </c:spPr>
          <c:marker>
            <c:symbol val="x"/>
            <c:size val="7"/>
            <c:spPr>
              <a:noFill/>
            </c:spPr>
          </c:marker>
          <c:dPt>
            <c:idx val="0"/>
            <c:marker>
              <c:spPr>
                <a:noFill/>
                <a:ln w="19050">
                  <a:solidFill>
                    <a:schemeClr val="tx1"/>
                  </a:solidFill>
                </a:ln>
              </c:spPr>
            </c:marker>
            <c:bubble3D val="0"/>
            <c:extLst>
              <c:ext xmlns:c16="http://schemas.microsoft.com/office/drawing/2014/chart" uri="{C3380CC4-5D6E-409C-BE32-E72D297353CC}">
                <c16:uniqueId val="{00000001-2860-4C4C-B618-5424CA982335}"/>
              </c:ext>
            </c:extLst>
          </c:dPt>
          <c:dLbls>
            <c:dLbl>
              <c:idx val="0"/>
              <c:tx>
                <c:rich>
                  <a:bodyPr/>
                  <a:lstStyle/>
                  <a:p>
                    <a:r>
                      <a:rPr lang="en-US" sz="1100" b="1"/>
                      <a:t>f</a:t>
                    </a:r>
                    <a:r>
                      <a:rPr lang="en-US" sz="1100" b="1" baseline="-25000"/>
                      <a:t>LP</a:t>
                    </a:r>
                    <a:endParaRPr lang="en-US" b="1" baseline="-25000"/>
                  </a:p>
                </c:rich>
              </c:tx>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2860-4C4C-B618-5424CA982335}"/>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CCM_Loop_Modeling_Isolated!$O$11</c:f>
              <c:numCache>
                <c:formatCode>0</c:formatCode>
                <c:ptCount val="1"/>
                <c:pt idx="0">
                  <c:v>8.2986857634056488</c:v>
                </c:pt>
              </c:numCache>
            </c:numRef>
          </c:xVal>
          <c:yVal>
            <c:numRef>
              <c:f>CCM_Loop_Modeling_Isolated!$AW$11</c:f>
              <c:numCache>
                <c:formatCode>0.000</c:formatCode>
                <c:ptCount val="1"/>
                <c:pt idx="0">
                  <c:v>93.839392277623915</c:v>
                </c:pt>
              </c:numCache>
            </c:numRef>
          </c:yVal>
          <c:smooth val="0"/>
          <c:extLst>
            <c:ext xmlns:c16="http://schemas.microsoft.com/office/drawing/2014/chart" uri="{C3380CC4-5D6E-409C-BE32-E72D297353CC}">
              <c16:uniqueId val="{00000002-2860-4C4C-B618-5424CA982335}"/>
            </c:ext>
          </c:extLst>
        </c:ser>
        <c:ser>
          <c:idx val="3"/>
          <c:order val="3"/>
          <c:tx>
            <c:v>fz_rhp</c:v>
          </c:tx>
          <c:spPr>
            <a:ln>
              <a:solidFill>
                <a:schemeClr val="tx1"/>
              </a:solidFill>
            </a:ln>
          </c:spPr>
          <c:marker>
            <c:symbol val="circle"/>
            <c:size val="7"/>
            <c:spPr>
              <a:noFill/>
              <a:ln w="19050">
                <a:solidFill>
                  <a:schemeClr val="tx1"/>
                </a:solidFill>
              </a:ln>
            </c:spPr>
          </c:marker>
          <c:dLbls>
            <c:dLbl>
              <c:idx val="0"/>
              <c:layout>
                <c:manualLayout>
                  <c:x val="8.0501209561423519E-3"/>
                  <c:y val="-1.549366727850418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2860-4C4C-B618-5424CA982335}"/>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CCM_Loop_Modeling_Isolated!$O$9</c:f>
              <c:numCache>
                <c:formatCode>0</c:formatCode>
                <c:ptCount val="1"/>
                <c:pt idx="0">
                  <c:v>25255.893088990939</c:v>
                </c:pt>
              </c:numCache>
            </c:numRef>
          </c:xVal>
          <c:yVal>
            <c:numRef>
              <c:f>CCM_Loop_Modeling_Isolated!$AW$9</c:f>
              <c:numCache>
                <c:formatCode>0.000</c:formatCode>
                <c:ptCount val="1"/>
                <c:pt idx="0">
                  <c:v>-14.266398401258639</c:v>
                </c:pt>
              </c:numCache>
            </c:numRef>
          </c:yVal>
          <c:smooth val="1"/>
          <c:extLst>
            <c:ext xmlns:c16="http://schemas.microsoft.com/office/drawing/2014/chart" uri="{C3380CC4-5D6E-409C-BE32-E72D297353CC}">
              <c16:uniqueId val="{00000004-2860-4C4C-B618-5424CA982335}"/>
            </c:ext>
          </c:extLst>
        </c:ser>
        <c:ser>
          <c:idx val="4"/>
          <c:order val="4"/>
          <c:tx>
            <c:v>f_esr</c:v>
          </c:tx>
          <c:spPr>
            <a:ln>
              <a:noFill/>
            </a:ln>
          </c:spPr>
          <c:marker>
            <c:symbol val="circle"/>
            <c:size val="5"/>
            <c:spPr>
              <a:noFill/>
              <a:ln w="19050">
                <a:solidFill>
                  <a:schemeClr val="tx1"/>
                </a:solidFill>
              </a:ln>
            </c:spPr>
          </c:marker>
          <c:dPt>
            <c:idx val="0"/>
            <c:marker>
              <c:symbol val="circle"/>
              <c:size val="7"/>
            </c:marker>
            <c:bubble3D val="0"/>
            <c:extLst>
              <c:ext xmlns:c16="http://schemas.microsoft.com/office/drawing/2014/chart" uri="{C3380CC4-5D6E-409C-BE32-E72D297353CC}">
                <c16:uniqueId val="{00000005-2860-4C4C-B618-5424CA982335}"/>
              </c:ext>
            </c:extLst>
          </c:dPt>
          <c:dLbls>
            <c:dLbl>
              <c:idx val="0"/>
              <c:layout>
                <c:manualLayout>
                  <c:x val="-5.990474489899654E-2"/>
                  <c:y val="-1.2457193490087108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2860-4C4C-B618-5424CA982335}"/>
                </c:ext>
              </c:extLst>
            </c:dLbl>
            <c:spPr>
              <a:noFill/>
              <a:ln>
                <a:noFill/>
              </a:ln>
              <a:effectLst/>
            </c:spPr>
            <c:txPr>
              <a:bodyPr/>
              <a:lstStyle/>
              <a:p>
                <a:pPr>
                  <a:defRPr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CCM_Loop_Modeling_Isolated!$O$10</c:f>
              <c:numCache>
                <c:formatCode>0</c:formatCode>
                <c:ptCount val="1"/>
                <c:pt idx="0">
                  <c:v>438574.84528380865</c:v>
                </c:pt>
              </c:numCache>
            </c:numRef>
          </c:xVal>
          <c:yVal>
            <c:numRef>
              <c:f>CCM_Loop_Modeling_Isolated!$AW$10</c:f>
              <c:numCache>
                <c:formatCode>0.000</c:formatCode>
                <c:ptCount val="1"/>
                <c:pt idx="0">
                  <c:v>-42.515880571377039</c:v>
                </c:pt>
              </c:numCache>
            </c:numRef>
          </c:yVal>
          <c:smooth val="1"/>
          <c:extLst>
            <c:ext xmlns:c16="http://schemas.microsoft.com/office/drawing/2014/chart" uri="{C3380CC4-5D6E-409C-BE32-E72D297353CC}">
              <c16:uniqueId val="{00000006-2860-4C4C-B618-5424CA982335}"/>
            </c:ext>
          </c:extLst>
        </c:ser>
        <c:ser>
          <c:idx val="5"/>
          <c:order val="5"/>
          <c:tx>
            <c:v>fz_ea</c:v>
          </c:tx>
          <c:marker>
            <c:symbol val="circle"/>
            <c:size val="8"/>
            <c:spPr>
              <a:noFill/>
              <a:ln w="25400">
                <a:solidFill>
                  <a:srgbClr val="00B0F0"/>
                </a:solidFill>
              </a:ln>
            </c:spPr>
          </c:marker>
          <c:dLbls>
            <c:dLbl>
              <c:idx val="0"/>
              <c:spPr/>
              <c:txPr>
                <a:bodyPr/>
                <a:lstStyle/>
                <a:p>
                  <a:pPr>
                    <a:defRPr b="1"/>
                  </a:pPr>
                  <a:endParaRPr lang="en-US"/>
                </a:p>
              </c:txPr>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2860-4C4C-B618-5424CA9823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CCM_Loop_Modeling_Isolated!$O$12</c:f>
              <c:numCache>
                <c:formatCode>General</c:formatCode>
                <c:ptCount val="1"/>
                <c:pt idx="0">
                  <c:v>340.07466472627209</c:v>
                </c:pt>
              </c:numCache>
            </c:numRef>
          </c:xVal>
          <c:yVal>
            <c:numRef>
              <c:f>CCM_Loop_Modeling_Isolated!$AW$12</c:f>
              <c:numCache>
                <c:formatCode>0.000</c:formatCode>
                <c:ptCount val="1"/>
                <c:pt idx="0">
                  <c:v>36.179980725304347</c:v>
                </c:pt>
              </c:numCache>
            </c:numRef>
          </c:yVal>
          <c:smooth val="1"/>
          <c:extLst>
            <c:ext xmlns:c16="http://schemas.microsoft.com/office/drawing/2014/chart" uri="{C3380CC4-5D6E-409C-BE32-E72D297353CC}">
              <c16:uniqueId val="{00000008-2860-4C4C-B618-5424CA982335}"/>
            </c:ext>
          </c:extLst>
        </c:ser>
        <c:dLbls>
          <c:showLegendKey val="0"/>
          <c:showVal val="0"/>
          <c:showCatName val="0"/>
          <c:showSerName val="0"/>
          <c:showPercent val="0"/>
          <c:showBubbleSize val="0"/>
        </c:dLbls>
        <c:axId val="377478144"/>
        <c:axId val="377496704"/>
      </c:scatterChart>
      <c:scatterChart>
        <c:scatterStyle val="smoothMarker"/>
        <c:varyColors val="0"/>
        <c:ser>
          <c:idx val="1"/>
          <c:order val="1"/>
          <c:tx>
            <c:v>Phase (deg)</c:v>
          </c:tx>
          <c:spPr>
            <a:ln w="28575">
              <a:solidFill>
                <a:schemeClr val="tx1">
                  <a:lumMod val="95000"/>
                  <a:lumOff val="5000"/>
                </a:schemeClr>
              </a:solidFill>
              <a:prstDash val="sysDash"/>
            </a:ln>
          </c:spPr>
          <c:marker>
            <c:symbol val="none"/>
          </c:marker>
          <c:xVal>
            <c:numRef>
              <c:f>CCM_Loop_Modeling_Isolated!$O$19:$O$560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CCM_Loop_Modeling_Isolated!$AX$19:$AX$560</c:f>
              <c:numCache>
                <c:formatCode>General</c:formatCode>
                <c:ptCount val="542"/>
                <c:pt idx="0">
                  <c:v>40.969603230897349</c:v>
                </c:pt>
                <c:pt idx="1">
                  <c:v>40.370636601000335</c:v>
                </c:pt>
                <c:pt idx="2">
                  <c:v>39.776089238530503</c:v>
                </c:pt>
                <c:pt idx="3">
                  <c:v>39.186285786241235</c:v>
                </c:pt>
                <c:pt idx="4">
                  <c:v>38.601542419982728</c:v>
                </c:pt>
                <c:pt idx="5">
                  <c:v>38.02216628691572</c:v>
                </c:pt>
                <c:pt idx="6">
                  <c:v>37.448454997760109</c:v>
                </c:pt>
                <c:pt idx="7">
                  <c:v>36.880696174626713</c:v>
                </c:pt>
                <c:pt idx="8">
                  <c:v>36.319167055428132</c:v>
                </c:pt>
                <c:pt idx="9">
                  <c:v>35.764134155363713</c:v>
                </c:pt>
                <c:pt idx="10">
                  <c:v>35.215852985457147</c:v>
                </c:pt>
                <c:pt idx="11">
                  <c:v>34.674567827675034</c:v>
                </c:pt>
                <c:pt idx="12">
                  <c:v>34.140511565678665</c:v>
                </c:pt>
                <c:pt idx="13">
                  <c:v>33.613905569882959</c:v>
                </c:pt>
                <c:pt idx="14">
                  <c:v>33.094959635099123</c:v>
                </c:pt>
                <c:pt idx="15">
                  <c:v>32.58387196872178</c:v>
                </c:pt>
                <c:pt idx="16">
                  <c:v>32.080829227125676</c:v>
                </c:pt>
                <c:pt idx="17">
                  <c:v>31.586006597693565</c:v>
                </c:pt>
                <c:pt idx="18">
                  <c:v>31.099567923687491</c:v>
                </c:pt>
                <c:pt idx="19">
                  <c:v>30.621665869032189</c:v>
                </c:pt>
                <c:pt idx="20">
                  <c:v>30.152442119938247</c:v>
                </c:pt>
                <c:pt idx="21">
                  <c:v>29.692027620233592</c:v>
                </c:pt>
                <c:pt idx="22">
                  <c:v>29.240542837218122</c:v>
                </c:pt>
                <c:pt idx="23">
                  <c:v>28.798098054850669</c:v>
                </c:pt>
                <c:pt idx="24">
                  <c:v>28.364793691109178</c:v>
                </c:pt>
                <c:pt idx="25">
                  <c:v>27.940720636403462</c:v>
                </c:pt>
                <c:pt idx="26">
                  <c:v>27.525960610010149</c:v>
                </c:pt>
                <c:pt idx="27">
                  <c:v>27.120586531594842</c:v>
                </c:pt>
                <c:pt idx="28">
                  <c:v>26.724662904993785</c:v>
                </c:pt>
                <c:pt idx="29">
                  <c:v>26.338246211578365</c:v>
                </c:pt>
                <c:pt idx="30">
                  <c:v>25.961385310654276</c:v>
                </c:pt>
                <c:pt idx="31">
                  <c:v>25.594121844507281</c:v>
                </c:pt>
                <c:pt idx="32">
                  <c:v>25.236490645868827</c:v>
                </c:pt>
                <c:pt idx="33">
                  <c:v>24.888520145732965</c:v>
                </c:pt>
                <c:pt idx="34">
                  <c:v>24.55023277962826</c:v>
                </c:pt>
                <c:pt idx="35">
                  <c:v>24.221645390605879</c:v>
                </c:pt>
                <c:pt idx="36">
                  <c:v>23.90276962737444</c:v>
                </c:pt>
                <c:pt idx="37">
                  <c:v>23.593612336163886</c:v>
                </c:pt>
                <c:pt idx="38">
                  <c:v>23.294175945060655</c:v>
                </c:pt>
                <c:pt idx="39">
                  <c:v>23.0044588396987</c:v>
                </c:pt>
                <c:pt idx="40">
                  <c:v>22.724455729333684</c:v>
                </c:pt>
                <c:pt idx="41">
                  <c:v>22.454158002458595</c:v>
                </c:pt>
                <c:pt idx="42">
                  <c:v>22.19355407124241</c:v>
                </c:pt>
                <c:pt idx="43">
                  <c:v>21.94262970419399</c:v>
                </c:pt>
                <c:pt idx="44">
                  <c:v>21.70136834655051</c:v>
                </c:pt>
                <c:pt idx="45">
                  <c:v>21.469751427994645</c:v>
                </c:pt>
                <c:pt idx="46">
                  <c:v>21.247758657393753</c:v>
                </c:pt>
                <c:pt idx="47">
                  <c:v>21.035368304326393</c:v>
                </c:pt>
                <c:pt idx="48">
                  <c:v>20.83255746724463</c:v>
                </c:pt>
                <c:pt idx="49">
                  <c:v>20.639302328171649</c:v>
                </c:pt>
                <c:pt idx="50">
                  <c:v>20.455578393899462</c:v>
                </c:pt>
                <c:pt idx="51">
                  <c:v>20.281360723692945</c:v>
                </c:pt>
                <c:pt idx="52">
                  <c:v>20.116624143549419</c:v>
                </c:pt>
                <c:pt idx="53">
                  <c:v>19.961343447096226</c:v>
                </c:pt>
                <c:pt idx="54">
                  <c:v>19.815493583237892</c:v>
                </c:pt>
                <c:pt idx="55">
                  <c:v>19.679049830681759</c:v>
                </c:pt>
                <c:pt idx="56">
                  <c:v>19.551987959492944</c:v>
                </c:pt>
                <c:pt idx="57">
                  <c:v>19.434284379836196</c:v>
                </c:pt>
                <c:pt idx="58">
                  <c:v>19.325916278070011</c:v>
                </c:pt>
                <c:pt idx="59">
                  <c:v>19.226861740363642</c:v>
                </c:pt>
                <c:pt idx="60">
                  <c:v>19.137099863999101</c:v>
                </c:pt>
                <c:pt idx="61">
                  <c:v>19.056610856527133</c:v>
                </c:pt>
                <c:pt idx="62">
                  <c:v>18.985376122925079</c:v>
                </c:pt>
                <c:pt idx="63">
                  <c:v>18.923378340904982</c:v>
                </c:pt>
                <c:pt idx="64">
                  <c:v>18.870601524502568</c:v>
                </c:pt>
                <c:pt idx="65">
                  <c:v>18.827031076063211</c:v>
                </c:pt>
                <c:pt idx="66">
                  <c:v>18.792653826727172</c:v>
                </c:pt>
                <c:pt idx="67">
                  <c:v>18.767458065497458</c:v>
                </c:pt>
                <c:pt idx="68">
                  <c:v>18.751433556952467</c:v>
                </c:pt>
                <c:pt idx="69">
                  <c:v>18.744571547653337</c:v>
                </c:pt>
                <c:pt idx="70">
                  <c:v>18.746864761267179</c:v>
                </c:pt>
                <c:pt idx="71">
                  <c:v>18.758307382416017</c:v>
                </c:pt>
                <c:pt idx="72">
                  <c:v>18.778895029233041</c:v>
                </c:pt>
                <c:pt idx="73">
                  <c:v>18.808624714596082</c:v>
                </c:pt>
                <c:pt idx="74">
                  <c:v>18.847494795984037</c:v>
                </c:pt>
                <c:pt idx="75">
                  <c:v>18.895504913885638</c:v>
                </c:pt>
                <c:pt idx="76">
                  <c:v>18.952655918673916</c:v>
                </c:pt>
                <c:pt idx="77">
                  <c:v>19.018949785843592</c:v>
                </c:pt>
                <c:pt idx="78">
                  <c:v>19.094389519495316</c:v>
                </c:pt>
                <c:pt idx="79">
                  <c:v>19.17897904394037</c:v>
                </c:pt>
                <c:pt idx="80">
                  <c:v>19.272723083288422</c:v>
                </c:pt>
                <c:pt idx="81">
                  <c:v>19.37562702887837</c:v>
                </c:pt>
                <c:pt idx="82">
                  <c:v>19.487696794405046</c:v>
                </c:pt>
                <c:pt idx="83">
                  <c:v>19.608938658597665</c:v>
                </c:pt>
                <c:pt idx="84">
                  <c:v>19.739359095314033</c:v>
                </c:pt>
                <c:pt idx="85">
                  <c:v>19.87896459091256</c:v>
                </c:pt>
                <c:pt idx="86">
                  <c:v>20.027761448790002</c:v>
                </c:pt>
                <c:pt idx="87">
                  <c:v>20.185755580982278</c:v>
                </c:pt>
                <c:pt idx="88">
                  <c:v>20.35295228675453</c:v>
                </c:pt>
                <c:pt idx="89">
                  <c:v>20.5293560181338</c:v>
                </c:pt>
                <c:pt idx="90">
                  <c:v>20.714970132373274</c:v>
                </c:pt>
                <c:pt idx="91">
                  <c:v>20.909796631382974</c:v>
                </c:pt>
                <c:pt idx="92">
                  <c:v>21.113835888207515</c:v>
                </c:pt>
                <c:pt idx="93">
                  <c:v>21.327086360688067</c:v>
                </c:pt>
                <c:pt idx="94">
                  <c:v>21.549544292516106</c:v>
                </c:pt>
                <c:pt idx="95">
                  <c:v>21.781203401950361</c:v>
                </c:pt>
                <c:pt idx="96">
                  <c:v>22.02205455855383</c:v>
                </c:pt>
                <c:pt idx="97">
                  <c:v>22.272085448395149</c:v>
                </c:pt>
                <c:pt idx="98">
                  <c:v>22.531280228255973</c:v>
                </c:pt>
                <c:pt idx="99">
                  <c:v>22.79961916948637</c:v>
                </c:pt>
                <c:pt idx="100">
                  <c:v>23.077078292269654</c:v>
                </c:pt>
                <c:pt idx="101">
                  <c:v>23.363628991170483</c:v>
                </c:pt>
                <c:pt idx="102">
                  <c:v>23.659237652974014</c:v>
                </c:pt>
                <c:pt idx="103">
                  <c:v>23.963865267953274</c:v>
                </c:pt>
                <c:pt idx="104">
                  <c:v>24.277467035840921</c:v>
                </c:pt>
                <c:pt idx="105">
                  <c:v>24.599991967929729</c:v>
                </c:pt>
                <c:pt idx="106">
                  <c:v>24.931382486868067</c:v>
                </c:pt>
                <c:pt idx="107">
                  <c:v>25.271574025869167</c:v>
                </c:pt>
                <c:pt idx="108">
                  <c:v>25.620494629203787</c:v>
                </c:pt>
                <c:pt idx="109">
                  <c:v>25.978064555990393</c:v>
                </c:pt>
                <c:pt idx="110">
                  <c:v>26.344195889445139</c:v>
                </c:pt>
                <c:pt idx="111">
                  <c:v>26.718792153894864</c:v>
                </c:pt>
                <c:pt idx="112">
                  <c:v>27.101747941982378</c:v>
                </c:pt>
                <c:pt idx="113">
                  <c:v>27.492948554617996</c:v>
                </c:pt>
                <c:pt idx="114">
                  <c:v>27.892269656337721</c:v>
                </c:pt>
                <c:pt idx="115">
                  <c:v>28.299576948820324</c:v>
                </c:pt>
                <c:pt idx="116">
                  <c:v>28.714725865383926</c:v>
                </c:pt>
                <c:pt idx="117">
                  <c:v>29.137561289335295</c:v>
                </c:pt>
                <c:pt idx="118">
                  <c:v>29.567917299073244</c:v>
                </c:pt>
                <c:pt idx="119">
                  <c:v>30.005616942835783</c:v>
                </c:pt>
                <c:pt idx="120">
                  <c:v>30.450472045958115</c:v>
                </c:pt>
                <c:pt idx="121">
                  <c:v>30.902283053437191</c:v>
                </c:pt>
                <c:pt idx="122">
                  <c:v>31.36083891049924</c:v>
                </c:pt>
                <c:pt idx="123">
                  <c:v>31.825916983739564</c:v>
                </c:pt>
                <c:pt idx="124">
                  <c:v>32.297283025214419</c:v>
                </c:pt>
                <c:pt idx="125">
                  <c:v>32.774691181678016</c:v>
                </c:pt>
                <c:pt idx="126">
                  <c:v>33.257884050894816</c:v>
                </c:pt>
                <c:pt idx="127">
                  <c:v>33.746592786673659</c:v>
                </c:pt>
                <c:pt idx="128">
                  <c:v>34.240537253967453</c:v>
                </c:pt>
                <c:pt idx="129">
                  <c:v>34.739426235019117</c:v>
                </c:pt>
                <c:pt idx="130">
                  <c:v>35.242957687151154</c:v>
                </c:pt>
                <c:pt idx="131">
                  <c:v>35.750819052411906</c:v>
                </c:pt>
                <c:pt idx="132">
                  <c:v>36.262687618831855</c:v>
                </c:pt>
                <c:pt idx="133">
                  <c:v>36.778230932640611</c:v>
                </c:pt>
                <c:pt idx="134">
                  <c:v>37.297107260297928</c:v>
                </c:pt>
                <c:pt idx="135">
                  <c:v>37.818966098774801</c:v>
                </c:pt>
                <c:pt idx="136">
                  <c:v>38.343448732034595</c:v>
                </c:pt>
                <c:pt idx="137">
                  <c:v>38.870188831234003</c:v>
                </c:pt>
                <c:pt idx="138">
                  <c:v>39.398813095724982</c:v>
                </c:pt>
                <c:pt idx="139">
                  <c:v>39.928941931534133</c:v>
                </c:pt>
                <c:pt idx="140">
                  <c:v>40.460190163608701</c:v>
                </c:pt>
                <c:pt idx="141">
                  <c:v>40.99216777778409</c:v>
                </c:pt>
                <c:pt idx="142">
                  <c:v>41.52448068810709</c:v>
                </c:pt>
                <c:pt idx="143">
                  <c:v>42.056731524905629</c:v>
                </c:pt>
                <c:pt idx="144">
                  <c:v>42.588520438777351</c:v>
                </c:pt>
                <c:pt idx="145">
                  <c:v>43.119445915509161</c:v>
                </c:pt>
                <c:pt idx="146">
                  <c:v>43.649105596849239</c:v>
                </c:pt>
                <c:pt idx="147">
                  <c:v>44.177097101997759</c:v>
                </c:pt>
                <c:pt idx="148">
                  <c:v>44.70301884469707</c:v>
                </c:pt>
                <c:pt idx="149">
                  <c:v>45.226470840877475</c:v>
                </c:pt>
                <c:pt idx="150">
                  <c:v>45.747055501924052</c:v>
                </c:pt>
                <c:pt idx="151">
                  <c:v>46.264378408823603</c:v>
                </c:pt>
                <c:pt idx="152">
                  <c:v>46.778049062655512</c:v>
                </c:pt>
                <c:pt idx="153">
                  <c:v>47.287681607175323</c:v>
                </c:pt>
                <c:pt idx="154">
                  <c:v>47.792895519535818</c:v>
                </c:pt>
                <c:pt idx="155">
                  <c:v>48.293316265548391</c:v>
                </c:pt>
                <c:pt idx="156">
                  <c:v>48.788575916241797</c:v>
                </c:pt>
                <c:pt idx="157">
                  <c:v>49.278313722888115</c:v>
                </c:pt>
                <c:pt idx="158">
                  <c:v>49.762176648066173</c:v>
                </c:pt>
                <c:pt idx="159">
                  <c:v>50.239819850760654</c:v>
                </c:pt>
                <c:pt idx="160">
                  <c:v>50.710907123925509</c:v>
                </c:pt>
                <c:pt idx="161">
                  <c:v>51.175111283366327</c:v>
                </c:pt>
                <c:pt idx="162">
                  <c:v>51.632114507212677</c:v>
                </c:pt>
                <c:pt idx="163">
                  <c:v>52.081608625678115</c:v>
                </c:pt>
                <c:pt idx="164">
                  <c:v>52.52329536117999</c:v>
                </c:pt>
                <c:pt idx="165">
                  <c:v>52.956886519287011</c:v>
                </c:pt>
                <c:pt idx="166">
                  <c:v>53.382104131305127</c:v>
                </c:pt>
                <c:pt idx="167">
                  <c:v>53.798680549639698</c:v>
                </c:pt>
                <c:pt idx="168">
                  <c:v>54.206358497380322</c:v>
                </c:pt>
                <c:pt idx="169">
                  <c:v>54.604891073812936</c:v>
                </c:pt>
                <c:pt idx="170">
                  <c:v>54.994041717815016</c:v>
                </c:pt>
                <c:pt idx="171">
                  <c:v>55.373584131288091</c:v>
                </c:pt>
                <c:pt idx="172">
                  <c:v>55.743302164958578</c:v>
                </c:pt>
                <c:pt idx="173">
                  <c:v>56.102989669035729</c:v>
                </c:pt>
                <c:pt idx="174">
                  <c:v>56.452450311301092</c:v>
                </c:pt>
                <c:pt idx="175">
                  <c:v>56.791497365325455</c:v>
                </c:pt>
                <c:pt idx="176">
                  <c:v>57.119953471530792</c:v>
                </c:pt>
                <c:pt idx="177">
                  <c:v>57.437650373866376</c:v>
                </c:pt>
                <c:pt idx="178">
                  <c:v>57.744428634865585</c:v>
                </c:pt>
                <c:pt idx="179">
                  <c:v>58.040137331830536</c:v>
                </c:pt>
                <c:pt idx="180">
                  <c:v>58.324633736859127</c:v>
                </c:pt>
                <c:pt idx="181">
                  <c:v>58.597782983367779</c:v>
                </c:pt>
                <c:pt idx="182">
                  <c:v>58.859457721694952</c:v>
                </c:pt>
                <c:pt idx="183">
                  <c:v>59.109537766280212</c:v>
                </c:pt>
                <c:pt idx="184">
                  <c:v>59.347909736823645</c:v>
                </c:pt>
                <c:pt idx="185">
                  <c:v>59.57446669571528</c:v>
                </c:pt>
                <c:pt idx="186">
                  <c:v>59.789107783918745</c:v>
                </c:pt>
                <c:pt idx="187">
                  <c:v>59.991737857366914</c:v>
                </c:pt>
                <c:pt idx="188">
                  <c:v>60.182267125813183</c:v>
                </c:pt>
                <c:pt idx="189">
                  <c:v>60.360610795950734</c:v>
                </c:pt>
                <c:pt idx="190">
                  <c:v>60.526688720490256</c:v>
                </c:pt>
                <c:pt idx="191">
                  <c:v>60.680425054764704</c:v>
                </c:pt>
                <c:pt idx="192">
                  <c:v>60.821747922308361</c:v>
                </c:pt>
                <c:pt idx="193">
                  <c:v>60.950589090736656</c:v>
                </c:pt>
                <c:pt idx="194">
                  <c:v>61.06688365914227</c:v>
                </c:pt>
                <c:pt idx="195">
                  <c:v>61.170569758112492</c:v>
                </c:pt>
                <c:pt idx="196">
                  <c:v>61.261588263374065</c:v>
                </c:pt>
                <c:pt idx="197">
                  <c:v>61.33988252396157</c:v>
                </c:pt>
                <c:pt idx="198">
                  <c:v>61.40539810573204</c:v>
                </c:pt>
                <c:pt idx="199">
                  <c:v>61.458082550944006</c:v>
                </c:pt>
                <c:pt idx="200">
                  <c:v>61.497885154551625</c:v>
                </c:pt>
                <c:pt idx="201">
                  <c:v>61.524756757790144</c:v>
                </c:pt>
                <c:pt idx="202">
                  <c:v>61.538649559552013</c:v>
                </c:pt>
                <c:pt idx="203">
                  <c:v>61.539516946006039</c:v>
                </c:pt>
                <c:pt idx="204">
                  <c:v>61.527313338839072</c:v>
                </c:pt>
                <c:pt idx="205">
                  <c:v>61.501994062462835</c:v>
                </c:pt>
                <c:pt idx="206">
                  <c:v>61.463515230467586</c:v>
                </c:pt>
                <c:pt idx="207">
                  <c:v>61.411833651573943</c:v>
                </c:pt>
                <c:pt idx="208">
                  <c:v>61.346906755279306</c:v>
                </c:pt>
                <c:pt idx="209">
                  <c:v>61.268692537372942</c:v>
                </c:pt>
                <c:pt idx="210">
                  <c:v>61.177149525443838</c:v>
                </c:pt>
                <c:pt idx="211">
                  <c:v>61.072236764482227</c:v>
                </c:pt>
                <c:pt idx="212">
                  <c:v>60.95391382263378</c:v>
                </c:pt>
                <c:pt idx="213">
                  <c:v>60.822140817137544</c:v>
                </c:pt>
                <c:pt idx="214">
                  <c:v>60.676878460438189</c:v>
                </c:pt>
                <c:pt idx="215">
                  <c:v>60.518088126433675</c:v>
                </c:pt>
                <c:pt idx="216">
                  <c:v>60.345731936771912</c:v>
                </c:pt>
                <c:pt idx="217">
                  <c:v>60.159772867078388</c:v>
                </c:pt>
                <c:pt idx="218">
                  <c:v>59.96017487294192</c:v>
                </c:pt>
                <c:pt idx="219">
                  <c:v>59.746903035443346</c:v>
                </c:pt>
                <c:pt idx="220">
                  <c:v>59.51992372595074</c:v>
                </c:pt>
                <c:pt idx="221">
                  <c:v>59.279204789851249</c:v>
                </c:pt>
                <c:pt idx="222">
                  <c:v>59.024715748815339</c:v>
                </c:pt>
                <c:pt idx="223">
                  <c:v>58.756428021120058</c:v>
                </c:pt>
                <c:pt idx="224">
                  <c:v>58.474315159479175</c:v>
                </c:pt>
                <c:pt idx="225">
                  <c:v>58.178353105732882</c:v>
                </c:pt>
                <c:pt idx="226">
                  <c:v>57.868520461660644</c:v>
                </c:pt>
                <c:pt idx="227">
                  <c:v>57.544798775074149</c:v>
                </c:pt>
                <c:pt idx="228">
                  <c:v>57.207172840233298</c:v>
                </c:pt>
                <c:pt idx="229">
                  <c:v>56.855631011513388</c:v>
                </c:pt>
                <c:pt idx="230">
                  <c:v>56.490165529120105</c:v>
                </c:pt>
                <c:pt idx="231">
                  <c:v>56.110772855517638</c:v>
                </c:pt>
                <c:pt idx="232">
                  <c:v>55.717454021094341</c:v>
                </c:pt>
                <c:pt idx="233">
                  <c:v>55.310214977443877</c:v>
                </c:pt>
                <c:pt idx="234">
                  <c:v>54.889066956490609</c:v>
                </c:pt>
                <c:pt idx="235">
                  <c:v>54.454026833537348</c:v>
                </c:pt>
                <c:pt idx="236">
                  <c:v>54.005117492154554</c:v>
                </c:pt>
                <c:pt idx="237">
                  <c:v>53.542368188680655</c:v>
                </c:pt>
                <c:pt idx="238">
                  <c:v>53.065814913953936</c:v>
                </c:pt>
                <c:pt idx="239">
                  <c:v>52.575500749745309</c:v>
                </c:pt>
                <c:pt idx="240">
                  <c:v>52.07147621722828</c:v>
                </c:pt>
                <c:pt idx="241">
                  <c:v>51.553799614693091</c:v>
                </c:pt>
                <c:pt idx="242">
                  <c:v>51.022537341598408</c:v>
                </c:pt>
                <c:pt idx="243">
                  <c:v>50.477764205958621</c:v>
                </c:pt>
                <c:pt idx="244">
                  <c:v>49.919563711981553</c:v>
                </c:pt>
                <c:pt idx="245">
                  <c:v>49.348028324825492</c:v>
                </c:pt>
                <c:pt idx="246">
                  <c:v>48.763259709314255</c:v>
                </c:pt>
                <c:pt idx="247">
                  <c:v>48.165368939445877</c:v>
                </c:pt>
                <c:pt idx="248">
                  <c:v>47.554476675573298</c:v>
                </c:pt>
                <c:pt idx="249">
                  <c:v>46.930713306206819</c:v>
                </c:pt>
                <c:pt idx="250">
                  <c:v>46.294219051490053</c:v>
                </c:pt>
                <c:pt idx="251">
                  <c:v>45.645144025559041</c:v>
                </c:pt>
                <c:pt idx="252">
                  <c:v>44.983648255185564</c:v>
                </c:pt>
                <c:pt idx="253">
                  <c:v>44.309901652335732</c:v>
                </c:pt>
                <c:pt idx="254">
                  <c:v>43.624083938560666</c:v>
                </c:pt>
                <c:pt idx="255">
                  <c:v>42.926384519453833</c:v>
                </c:pt>
                <c:pt idx="256">
                  <c:v>42.217002307776013</c:v>
                </c:pt>
                <c:pt idx="257">
                  <c:v>41.49614549425074</c:v>
                </c:pt>
                <c:pt idx="258">
                  <c:v>40.764031265471708</c:v>
                </c:pt>
                <c:pt idx="259">
                  <c:v>40.020885468842103</c:v>
                </c:pt>
                <c:pt idx="260">
                  <c:v>39.266942224958449</c:v>
                </c:pt>
                <c:pt idx="261">
                  <c:v>38.502443488382383</c:v>
                </c:pt>
                <c:pt idx="262">
                  <c:v>37.727638558275018</c:v>
                </c:pt>
                <c:pt idx="263">
                  <c:v>36.9427835409167</c:v>
                </c:pt>
                <c:pt idx="264">
                  <c:v>36.148140766687568</c:v>
                </c:pt>
                <c:pt idx="265">
                  <c:v>35.343978164615663</c:v>
                </c:pt>
                <c:pt idx="266">
                  <c:v>34.530568598127118</c:v>
                </c:pt>
                <c:pt idx="267">
                  <c:v>33.708189166131262</c:v>
                </c:pt>
                <c:pt idx="268">
                  <c:v>32.877120474038207</c:v>
                </c:pt>
                <c:pt idx="269">
                  <c:v>32.037645879732054</c:v>
                </c:pt>
                <c:pt idx="270">
                  <c:v>31.190050719895513</c:v>
                </c:pt>
                <c:pt idx="271">
                  <c:v>30.334621522404593</c:v>
                </c:pt>
                <c:pt idx="272">
                  <c:v>29.471645210773072</c:v>
                </c:pt>
                <c:pt idx="273">
                  <c:v>28.601408306807308</c:v>
                </c:pt>
                <c:pt idx="274">
                  <c:v>27.724196137764764</c:v>
                </c:pt>
                <c:pt idx="275">
                  <c:v>26.840292054356205</c:v>
                </c:pt>
                <c:pt idx="276">
                  <c:v>25.949976665891512</c:v>
                </c:pt>
                <c:pt idx="277">
                  <c:v>25.053527098795566</c:v>
                </c:pt>
                <c:pt idx="278">
                  <c:v>24.151216284518405</c:v>
                </c:pt>
                <c:pt idx="279">
                  <c:v>23.243312282648148</c:v>
                </c:pt>
                <c:pt idx="280">
                  <c:v>22.330077644703607</c:v>
                </c:pt>
                <c:pt idx="281">
                  <c:v>21.411768823740363</c:v>
                </c:pt>
                <c:pt idx="282">
                  <c:v>20.488635634455242</c:v>
                </c:pt>
                <c:pt idx="283">
                  <c:v>19.560920768021738</c:v>
                </c:pt>
                <c:pt idx="284">
                  <c:v>18.628859365373309</c:v>
                </c:pt>
                <c:pt idx="285">
                  <c:v>17.692678652098703</c:v>
                </c:pt>
                <c:pt idx="286">
                  <c:v>16.752597637562765</c:v>
                </c:pt>
                <c:pt idx="287">
                  <c:v>15.808826880258431</c:v>
                </c:pt>
                <c:pt idx="288">
                  <c:v>14.861568320824869</c:v>
                </c:pt>
                <c:pt idx="289">
                  <c:v>13.911015183552539</c:v>
                </c:pt>
                <c:pt idx="290">
                  <c:v>12.957351946616184</c:v>
                </c:pt>
                <c:pt idx="291">
                  <c:v>12.000754380701283</c:v>
                </c:pt>
                <c:pt idx="292">
                  <c:v>11.041389655112416</c:v>
                </c:pt>
                <c:pt idx="293">
                  <c:v>10.07941650994532</c:v>
                </c:pt>
                <c:pt idx="294">
                  <c:v>9.1149854923566007</c:v>
                </c:pt>
                <c:pt idx="295">
                  <c:v>8.1482392545192877</c:v>
                </c:pt>
                <c:pt idx="296">
                  <c:v>7.1793129103775355</c:v>
                </c:pt>
                <c:pt idx="297">
                  <c:v>6.2083344479216303</c:v>
                </c:pt>
                <c:pt idx="298">
                  <c:v>5.2354251933090721</c:v>
                </c:pt>
                <c:pt idx="299">
                  <c:v>4.2607003228336531</c:v>
                </c:pt>
                <c:pt idx="300">
                  <c:v>3.284269418421653</c:v>
                </c:pt>
                <c:pt idx="301">
                  <c:v>2.3062370620861965</c:v>
                </c:pt>
                <c:pt idx="302">
                  <c:v>1.3267034645122306</c:v>
                </c:pt>
                <c:pt idx="303">
                  <c:v>0.34576512277073379</c:v>
                </c:pt>
                <c:pt idx="304">
                  <c:v>-0.63648449802588503</c:v>
                </c:pt>
                <c:pt idx="305">
                  <c:v>-1.619954264436875</c:v>
                </c:pt>
                <c:pt idx="306">
                  <c:v>-2.6045546611937036</c:v>
                </c:pt>
                <c:pt idx="307">
                  <c:v>-3.5901970699747916</c:v>
                </c:pt>
                <c:pt idx="308">
                  <c:v>-4.576793045987178</c:v>
                </c:pt>
                <c:pt idx="309">
                  <c:v>-5.5642535978997403</c:v>
                </c:pt>
                <c:pt idx="310">
                  <c:v>-6.5524884766544602</c:v>
                </c:pt>
                <c:pt idx="311">
                  <c:v>-7.5414054786406979</c:v>
                </c:pt>
                <c:pt idx="312">
                  <c:v>-8.5309097686398641</c:v>
                </c:pt>
                <c:pt idx="313">
                  <c:v>-9.520903227838259</c:v>
                </c:pt>
                <c:pt idx="314">
                  <c:v>-10.511283832077634</c:v>
                </c:pt>
                <c:pt idx="315">
                  <c:v>-11.501945065332229</c:v>
                </c:pt>
                <c:pt idx="316">
                  <c:v>-12.492775373208897</c:v>
                </c:pt>
                <c:pt idx="317">
                  <c:v>-13.483657661021125</c:v>
                </c:pt>
                <c:pt idx="318">
                  <c:v>-14.474468840719192</c:v>
                </c:pt>
                <c:pt idx="319">
                  <c:v>-15.465079430647927</c:v>
                </c:pt>
                <c:pt idx="320">
                  <c:v>-16.455353211763978</c:v>
                </c:pt>
                <c:pt idx="321">
                  <c:v>-17.445146943553819</c:v>
                </c:pt>
                <c:pt idx="322">
                  <c:v>-18.434310142484236</c:v>
                </c:pt>
                <c:pt idx="323">
                  <c:v>-19.422684925366102</c:v>
                </c:pt>
                <c:pt idx="324">
                  <c:v>-20.410105919522291</c:v>
                </c:pt>
                <c:pt idx="325">
                  <c:v>-21.396400241144413</c:v>
                </c:pt>
                <c:pt idx="326">
                  <c:v>-22.381387542673227</c:v>
                </c:pt>
                <c:pt idx="327">
                  <c:v>-23.364880129490853</c:v>
                </c:pt>
                <c:pt idx="328">
                  <c:v>-24.346683145614573</c:v>
                </c:pt>
                <c:pt idx="329">
                  <c:v>-25.326594827509197</c:v>
                </c:pt>
                <c:pt idx="330">
                  <c:v>-26.304406824521358</c:v>
                </c:pt>
                <c:pt idx="331">
                  <c:v>-27.279904583865921</c:v>
                </c:pt>
                <c:pt idx="332">
                  <c:v>-28.252867797488694</c:v>
                </c:pt>
                <c:pt idx="333">
                  <c:v>-29.223070907584578</c:v>
                </c:pt>
                <c:pt idx="334">
                  <c:v>-30.190283666991348</c:v>
                </c:pt>
                <c:pt idx="335">
                  <c:v>-31.154271750184478</c:v>
                </c:pt>
                <c:pt idx="336">
                  <c:v>-32.114797410120353</c:v>
                </c:pt>
                <c:pt idx="337">
                  <c:v>-33.071620175775131</c:v>
                </c:pt>
                <c:pt idx="338">
                  <c:v>-34.024497584840006</c:v>
                </c:pt>
                <c:pt idx="339">
                  <c:v>-34.973185945754004</c:v>
                </c:pt>
                <c:pt idx="340">
                  <c:v>-35.917441123004195</c:v>
                </c:pt>
                <c:pt idx="341">
                  <c:v>-36.857019339473432</c:v>
                </c:pt>
                <c:pt idx="342">
                  <c:v>-37.791677989502645</c:v>
                </c:pt>
                <c:pt idx="343">
                  <c:v>-38.721176456334931</c:v>
                </c:pt>
                <c:pt idx="344">
                  <c:v>-39.645276927655637</c:v>
                </c:pt>
                <c:pt idx="345">
                  <c:v>-40.563745203069956</c:v>
                </c:pt>
                <c:pt idx="346">
                  <c:v>-41.476351487560692</c:v>
                </c:pt>
                <c:pt idx="347">
                  <c:v>-42.382871165223904</c:v>
                </c:pt>
                <c:pt idx="348">
                  <c:v>-43.283085547928998</c:v>
                </c:pt>
                <c:pt idx="349">
                  <c:v>-44.176782593893904</c:v>
                </c:pt>
                <c:pt idx="350">
                  <c:v>-45.063757591626199</c:v>
                </c:pt>
                <c:pt idx="351">
                  <c:v>-45.943813805131533</c:v>
                </c:pt>
                <c:pt idx="352">
                  <c:v>-46.816763076796278</c:v>
                </c:pt>
                <c:pt idx="353">
                  <c:v>-47.68242638487213</c:v>
                </c:pt>
                <c:pt idx="354">
                  <c:v>-48.540634353035692</c:v>
                </c:pt>
                <c:pt idx="355">
                  <c:v>-49.391227710030343</c:v>
                </c:pt>
                <c:pt idx="356">
                  <c:v>-50.234057697956594</c:v>
                </c:pt>
                <c:pt idx="357">
                  <c:v>-51.068986428294409</c:v>
                </c:pt>
                <c:pt idx="358">
                  <c:v>-51.895887185275207</c:v>
                </c:pt>
                <c:pt idx="359">
                  <c:v>-52.714644676704353</c:v>
                </c:pt>
                <c:pt idx="360">
                  <c:v>-53.52515523280821</c:v>
                </c:pt>
                <c:pt idx="361">
                  <c:v>-54.32732695411184</c:v>
                </c:pt>
                <c:pt idx="362">
                  <c:v>-55.121079809746071</c:v>
                </c:pt>
                <c:pt idx="363">
                  <c:v>-55.906345687945446</c:v>
                </c:pt>
                <c:pt idx="364">
                  <c:v>-56.683068400805439</c:v>
                </c:pt>
                <c:pt idx="365">
                  <c:v>-57.451203645638444</c:v>
                </c:pt>
                <c:pt idx="366">
                  <c:v>-58.210718925504409</c:v>
                </c:pt>
                <c:pt idx="367">
                  <c:v>-58.961593431655082</c:v>
                </c:pt>
                <c:pt idx="368">
                  <c:v>-59.703817890796323</c:v>
                </c:pt>
                <c:pt idx="369">
                  <c:v>-60.437394380152369</c:v>
                </c:pt>
                <c:pt idx="370">
                  <c:v>-61.162336113386523</c:v>
                </c:pt>
                <c:pt idx="371">
                  <c:v>-61.878667200463497</c:v>
                </c:pt>
                <c:pt idx="372">
                  <c:v>-62.586422384519089</c:v>
                </c:pt>
                <c:pt idx="373">
                  <c:v>-63.285646758775471</c:v>
                </c:pt>
                <c:pt idx="374">
                  <c:v>-63.976395466473058</c:v>
                </c:pt>
                <c:pt idx="375">
                  <c:v>-64.658733386702366</c:v>
                </c:pt>
                <c:pt idx="376">
                  <c:v>-65.332734808913003</c:v>
                </c:pt>
                <c:pt idx="377">
                  <c:v>-65.998483098750526</c:v>
                </c:pt>
                <c:pt idx="378">
                  <c:v>-66.656070357737889</c:v>
                </c:pt>
                <c:pt idx="379">
                  <c:v>-67.305597079165608</c:v>
                </c:pt>
                <c:pt idx="380">
                  <c:v>-67.94717180240005</c:v>
                </c:pt>
                <c:pt idx="381">
                  <c:v>-68.580910767655851</c:v>
                </c:pt>
                <c:pt idx="382">
                  <c:v>-69.206937573117855</c:v>
                </c:pt>
                <c:pt idx="383">
                  <c:v>-69.825382836122856</c:v>
                </c:pt>
                <c:pt idx="384">
                  <c:v>-70.436383859956919</c:v>
                </c:pt>
                <c:pt idx="385">
                  <c:v>-71.040084307649423</c:v>
                </c:pt>
                <c:pt idx="386">
                  <c:v>-71.636633883995827</c:v>
                </c:pt>
                <c:pt idx="387">
                  <c:v>-72.226188026881388</c:v>
                </c:pt>
                <c:pt idx="388">
                  <c:v>-72.808907608825933</c:v>
                </c:pt>
                <c:pt idx="389">
                  <c:v>-73.384958649535221</c:v>
                </c:pt>
                <c:pt idx="390">
                  <c:v>-73.954512040099246</c:v>
                </c:pt>
                <c:pt idx="391">
                  <c:v>-74.517743279355287</c:v>
                </c:pt>
                <c:pt idx="392">
                  <c:v>-75.074832222809519</c:v>
                </c:pt>
                <c:pt idx="393">
                  <c:v>-75.625962844391807</c:v>
                </c:pt>
                <c:pt idx="394">
                  <c:v>-76.171323011218632</c:v>
                </c:pt>
                <c:pt idx="395">
                  <c:v>-76.711104271429789</c:v>
                </c:pt>
                <c:pt idx="396">
                  <c:v>-77.245501655075543</c:v>
                </c:pt>
                <c:pt idx="397">
                  <c:v>-77.774713487937859</c:v>
                </c:pt>
                <c:pt idx="398">
                  <c:v>-78.298941218089055</c:v>
                </c:pt>
                <c:pt idx="399">
                  <c:v>-78.818389254910585</c:v>
                </c:pt>
                <c:pt idx="400">
                  <c:v>-79.333264820222851</c:v>
                </c:pt>
                <c:pt idx="401">
                  <c:v>-79.843777811105539</c:v>
                </c:pt>
                <c:pt idx="402">
                  <c:v>-80.350140673921786</c:v>
                </c:pt>
                <c:pt idx="403">
                  <c:v>-80.852568288995073</c:v>
                </c:pt>
                <c:pt idx="404">
                  <c:v>-81.351277865327177</c:v>
                </c:pt>
                <c:pt idx="405">
                  <c:v>-81.846488844683194</c:v>
                </c:pt>
                <c:pt idx="406">
                  <c:v>-82.338422814312892</c:v>
                </c:pt>
                <c:pt idx="407">
                  <c:v>-82.827303427515702</c:v>
                </c:pt>
                <c:pt idx="408">
                  <c:v>-83.313356331201533</c:v>
                </c:pt>
                <c:pt idx="409">
                  <c:v>-83.79680909953926</c:v>
                </c:pt>
                <c:pt idx="410">
                  <c:v>-84.277891172720786</c:v>
                </c:pt>
                <c:pt idx="411">
                  <c:v>-84.756833799815979</c:v>
                </c:pt>
                <c:pt idx="412">
                  <c:v>-85.233869984627333</c:v>
                </c:pt>
                <c:pt idx="413">
                  <c:v>-85.709234433385731</c:v>
                </c:pt>
                <c:pt idx="414">
                  <c:v>-86.183163503073189</c:v>
                </c:pt>
                <c:pt idx="415">
                  <c:v>-86.655895149087257</c:v>
                </c:pt>
                <c:pt idx="416">
                  <c:v>-87.127668870892876</c:v>
                </c:pt>
                <c:pt idx="417">
                  <c:v>-87.598725654247957</c:v>
                </c:pt>
                <c:pt idx="418">
                  <c:v>-88.069307908512343</c:v>
                </c:pt>
                <c:pt idx="419">
                  <c:v>-88.539659397489388</c:v>
                </c:pt>
                <c:pt idx="420">
                  <c:v>-89.01002516218044</c:v>
                </c:pt>
                <c:pt idx="421">
                  <c:v>-89.480651433771271</c:v>
                </c:pt>
                <c:pt idx="422">
                  <c:v>-89.951785535105358</c:v>
                </c:pt>
                <c:pt idx="423">
                  <c:v>-90.423675768852348</c:v>
                </c:pt>
                <c:pt idx="424">
                  <c:v>-90.896571290519489</c:v>
                </c:pt>
                <c:pt idx="425">
                  <c:v>-91.370721964425613</c:v>
                </c:pt>
                <c:pt idx="426">
                  <c:v>-91.846378200720963</c:v>
                </c:pt>
                <c:pt idx="427">
                  <c:v>-92.323790771511838</c:v>
                </c:pt>
                <c:pt idx="428">
                  <c:v>-92.803210604163056</c:v>
                </c:pt>
                <c:pt idx="429">
                  <c:v>-93.284888549847793</c:v>
                </c:pt>
                <c:pt idx="430">
                  <c:v>-93.769075125452687</c:v>
                </c:pt>
                <c:pt idx="431">
                  <c:v>-94.256020227010197</c:v>
                </c:pt>
                <c:pt idx="432">
                  <c:v>-94.745972812893356</c:v>
                </c:pt>
                <c:pt idx="433">
                  <c:v>-95.239180555136983</c:v>
                </c:pt>
                <c:pt idx="434">
                  <c:v>-95.735889457366483</c:v>
                </c:pt>
                <c:pt idx="435">
                  <c:v>-96.236343438004582</c:v>
                </c:pt>
                <c:pt idx="436">
                  <c:v>-96.740783877619776</c:v>
                </c:pt>
                <c:pt idx="437">
                  <c:v>-97.24944912952914</c:v>
                </c:pt>
                <c:pt idx="438">
                  <c:v>-97.762573993048775</c:v>
                </c:pt>
                <c:pt idx="439">
                  <c:v>-98.280389149104067</c:v>
                </c:pt>
                <c:pt idx="440">
                  <c:v>-98.803120558274571</c:v>
                </c:pt>
                <c:pt idx="441">
                  <c:v>-99.330988821750211</c:v>
                </c:pt>
                <c:pt idx="442">
                  <c:v>-99.86420850610854</c:v>
                </c:pt>
                <c:pt idx="443">
                  <c:v>-100.40298743330465</c:v>
                </c:pt>
                <c:pt idx="444">
                  <c:v>-100.94752593777459</c:v>
                </c:pt>
                <c:pt idx="445">
                  <c:v>-101.49801609308312</c:v>
                </c:pt>
                <c:pt idx="446">
                  <c:v>-102.05464091112269</c:v>
                </c:pt>
                <c:pt idx="447">
                  <c:v>-102.61757351743987</c:v>
                </c:pt>
                <c:pt idx="448">
                  <c:v>-103.18697630686556</c:v>
                </c:pt>
                <c:pt idx="449">
                  <c:v>-103.76300008421434</c:v>
                </c:pt>
                <c:pt idx="450">
                  <c:v>-104.34578319540707</c:v>
                </c:pt>
                <c:pt idx="451">
                  <c:v>-104.93545065493934</c:v>
                </c:pt>
                <c:pt idx="452">
                  <c:v>-105.53211327616172</c:v>
                </c:pt>
                <c:pt idx="453">
                  <c:v>-106.13586681132405</c:v>
                </c:pt>
                <c:pt idx="454">
                  <c:v>-106.74679110880516</c:v>
                </c:pt>
                <c:pt idx="455">
                  <c:v>-107.3649492953062</c:v>
                </c:pt>
                <c:pt idx="456">
                  <c:v>-107.99038699110362</c:v>
                </c:pt>
                <c:pt idx="457">
                  <c:v>-108.62313156667611</c:v>
                </c:pt>
                <c:pt idx="458">
                  <c:v>-109.263191449123</c:v>
                </c:pt>
                <c:pt idx="459">
                  <c:v>-109.91055548681454</c:v>
                </c:pt>
                <c:pt idx="460">
                  <c:v>-110.56519238059691</c:v>
                </c:pt>
                <c:pt idx="461">
                  <c:v>-111.22705018964984</c:v>
                </c:pt>
                <c:pt idx="462">
                  <c:v>-111.89605591973483</c:v>
                </c:pt>
                <c:pt idx="463">
                  <c:v>-112.57211520109608</c:v>
                </c:pt>
                <c:pt idx="464">
                  <c:v>-113.25511206265656</c:v>
                </c:pt>
                <c:pt idx="465">
                  <c:v>-113.9449088084323</c:v>
                </c:pt>
                <c:pt idx="466">
                  <c:v>-114.64134600123344</c:v>
                </c:pt>
                <c:pt idx="467">
                  <c:v>-115.34424255776851</c:v>
                </c:pt>
                <c:pt idx="468">
                  <c:v>-116.05339595823031</c:v>
                </c:pt>
                <c:pt idx="469">
                  <c:v>-116.7685825723085</c:v>
                </c:pt>
                <c:pt idx="470">
                  <c:v>-117.48955810238741</c:v>
                </c:pt>
                <c:pt idx="471">
                  <c:v>-118.21605814346758</c:v>
                </c:pt>
                <c:pt idx="472">
                  <c:v>-118.94779885807201</c:v>
                </c:pt>
                <c:pt idx="473">
                  <c:v>-119.68447776317176</c:v>
                </c:pt>
                <c:pt idx="474">
                  <c:v>-120.42577462490176</c:v>
                </c:pt>
                <c:pt idx="475">
                  <c:v>-121.17135245565156</c:v>
                </c:pt>
                <c:pt idx="476">
                  <c:v>-121.9208586069763</c:v>
                </c:pt>
                <c:pt idx="477">
                  <c:v>-122.67392595073072</c:v>
                </c:pt>
                <c:pt idx="478">
                  <c:v>-123.43017413984222</c:v>
                </c:pt>
                <c:pt idx="479">
                  <c:v>-124.18921093934303</c:v>
                </c:pt>
                <c:pt idx="480">
                  <c:v>-124.95063361752756</c:v>
                </c:pt>
                <c:pt idx="481">
                  <c:v>-125.71403038655889</c:v>
                </c:pt>
                <c:pt idx="482">
                  <c:v>-126.47898188141892</c:v>
                </c:pt>
                <c:pt idx="483">
                  <c:v>-127.24506266581069</c:v>
                </c:pt>
                <c:pt idx="484">
                  <c:v>-128.01184275353731</c:v>
                </c:pt>
                <c:pt idx="485">
                  <c:v>-128.77888913388563</c:v>
                </c:pt>
                <c:pt idx="486">
                  <c:v>-129.54576728975812</c:v>
                </c:pt>
                <c:pt idx="487">
                  <c:v>-130.31204269760434</c:v>
                </c:pt>
                <c:pt idx="488">
                  <c:v>-131.07728229866683</c:v>
                </c:pt>
                <c:pt idx="489">
                  <c:v>-131.84105593165606</c:v>
                </c:pt>
                <c:pt idx="490">
                  <c:v>-132.60293771760917</c:v>
                </c:pt>
                <c:pt idx="491">
                  <c:v>-133.36250738851189</c:v>
                </c:pt>
                <c:pt idx="492">
                  <c:v>-134.11935155207553</c:v>
                </c:pt>
                <c:pt idx="493">
                  <c:v>-134.87306488598526</c:v>
                </c:pt>
                <c:pt idx="494">
                  <c:v>-135.62325125587421</c:v>
                </c:pt>
                <c:pt idx="495">
                  <c:v>-136.36952475225232</c:v>
                </c:pt>
                <c:pt idx="496">
                  <c:v>-137.11151064259295</c:v>
                </c:pt>
                <c:pt idx="497">
                  <c:v>-137.84884623575218</c:v>
                </c:pt>
                <c:pt idx="498">
                  <c:v>-138.58118165683885</c:v>
                </c:pt>
                <c:pt idx="499">
                  <c:v>-139.30818053157114</c:v>
                </c:pt>
                <c:pt idx="500">
                  <c:v>-140.02952058001779</c:v>
                </c:pt>
                <c:pt idx="501">
                  <c:v>-140.74489412043764</c:v>
                </c:pt>
                <c:pt idx="502">
                  <c:v>-141.4540084846779</c:v>
                </c:pt>
                <c:pt idx="503">
                  <c:v>-142.15658634727208</c:v>
                </c:pt>
                <c:pt idx="504">
                  <c:v>-142.85236597098782</c:v>
                </c:pt>
                <c:pt idx="505">
                  <c:v>-143.54110137210427</c:v>
                </c:pt>
                <c:pt idx="506">
                  <c:v>-144.22256240915351</c:v>
                </c:pt>
                <c:pt idx="507">
                  <c:v>-144.89653479924579</c:v>
                </c:pt>
                <c:pt idx="508">
                  <c:v>-145.56282006639262</c:v>
                </c:pt>
                <c:pt idx="509">
                  <c:v>-146.22123542648089</c:v>
                </c:pt>
                <c:pt idx="510">
                  <c:v>-146.87161361371233</c:v>
                </c:pt>
                <c:pt idx="511">
                  <c:v>-147.51380265342434</c:v>
                </c:pt>
                <c:pt idx="512">
                  <c:v>-148.14766558624257</c:v>
                </c:pt>
                <c:pt idx="513">
                  <c:v>-148.77308014851101</c:v>
                </c:pt>
                <c:pt idx="514">
                  <c:v>-149.38993841387193</c:v>
                </c:pt>
                <c:pt idx="515">
                  <c:v>-149.99814640076991</c:v>
                </c:pt>
                <c:pt idx="516">
                  <c:v>-150.59762365051591</c:v>
                </c:pt>
                <c:pt idx="517">
                  <c:v>-151.18830278035836</c:v>
                </c:pt>
                <c:pt idx="518">
                  <c:v>-151.77012901583132</c:v>
                </c:pt>
                <c:pt idx="519">
                  <c:v>-152.34305970640378</c:v>
                </c:pt>
                <c:pt idx="520">
                  <c:v>-152.90706382824405</c:v>
                </c:pt>
                <c:pt idx="521">
                  <c:v>-153.46212147764538</c:v>
                </c:pt>
                <c:pt idx="522">
                  <c:v>-154.00822335841212</c:v>
                </c:pt>
                <c:pt idx="523">
                  <c:v>-154.54537026625297</c:v>
                </c:pt>
                <c:pt idx="524">
                  <c:v>-155.07357257295754</c:v>
                </c:pt>
                <c:pt idx="525">
                  <c:v>-155.59284971288736</c:v>
                </c:pt>
                <c:pt idx="526">
                  <c:v>-156.10322967405185</c:v>
                </c:pt>
                <c:pt idx="527">
                  <c:v>-156.60474849580851</c:v>
                </c:pt>
                <c:pt idx="528">
                  <c:v>-157.0974497749763</c:v>
                </c:pt>
                <c:pt idx="529">
                  <c:v>-157.58138418194773</c:v>
                </c:pt>
                <c:pt idx="530">
                  <c:v>-158.05660898814438</c:v>
                </c:pt>
                <c:pt idx="531">
                  <c:v>-158.52318760599252</c:v>
                </c:pt>
                <c:pt idx="532">
                  <c:v>-158.98118914237642</c:v>
                </c:pt>
                <c:pt idx="533">
                  <c:v>-159.43068796638059</c:v>
                </c:pt>
                <c:pt idx="534">
                  <c:v>-159.87176329194332</c:v>
                </c:pt>
                <c:pt idx="535">
                  <c:v>-160.30449877592181</c:v>
                </c:pt>
                <c:pt idx="536">
                  <c:v>-160.72898213190871</c:v>
                </c:pt>
                <c:pt idx="537">
                  <c:v>-161.14530476003895</c:v>
                </c:pt>
                <c:pt idx="538">
                  <c:v>-161.55356139289904</c:v>
                </c:pt>
                <c:pt idx="539">
                  <c:v>-161.95384975755772</c:v>
                </c:pt>
                <c:pt idx="540">
                  <c:v>-162.34627025365052</c:v>
                </c:pt>
                <c:pt idx="541">
                  <c:v>-162.73092564736979</c:v>
                </c:pt>
              </c:numCache>
            </c:numRef>
          </c:yVal>
          <c:smooth val="1"/>
          <c:extLst>
            <c:ext xmlns:c16="http://schemas.microsoft.com/office/drawing/2014/chart" uri="{C3380CC4-5D6E-409C-BE32-E72D297353CC}">
              <c16:uniqueId val="{00000009-2860-4C4C-B618-5424CA982335}"/>
            </c:ext>
          </c:extLst>
        </c:ser>
        <c:dLbls>
          <c:showLegendKey val="0"/>
          <c:showVal val="0"/>
          <c:showCatName val="0"/>
          <c:showSerName val="0"/>
          <c:showPercent val="0"/>
          <c:showBubbleSize val="0"/>
        </c:dLbls>
        <c:axId val="377513088"/>
        <c:axId val="377498624"/>
      </c:scatterChart>
      <c:valAx>
        <c:axId val="377478144"/>
        <c:scaling>
          <c:logBase val="10"/>
          <c:orientation val="minMax"/>
          <c:max val="2000000"/>
          <c:min val="10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txPr>
          <a:bodyPr/>
          <a:lstStyle/>
          <a:p>
            <a:pPr>
              <a:defRPr b="1"/>
            </a:pPr>
            <a:endParaRPr lang="en-US"/>
          </a:p>
        </c:txPr>
        <c:crossAx val="377496704"/>
        <c:crosses val="autoZero"/>
        <c:crossBetween val="midCat"/>
      </c:valAx>
      <c:valAx>
        <c:axId val="377496704"/>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b="1">
                <a:solidFill>
                  <a:srgbClr val="FF0000"/>
                </a:solidFill>
              </a:defRPr>
            </a:pPr>
            <a:endParaRPr lang="en-US"/>
          </a:p>
        </c:txPr>
        <c:crossAx val="377478144"/>
        <c:crosses val="autoZero"/>
        <c:crossBetween val="midCat"/>
        <c:majorUnit val="20"/>
        <c:minorUnit val="10"/>
      </c:valAx>
      <c:valAx>
        <c:axId val="377498624"/>
        <c:scaling>
          <c:orientation val="minMax"/>
          <c:max val="180"/>
          <c:min val="-180"/>
        </c:scaling>
        <c:delete val="0"/>
        <c:axPos val="r"/>
        <c:title>
          <c:tx>
            <c:rich>
              <a:bodyPr rot="-5400000" vert="horz"/>
              <a:lstStyle/>
              <a:p>
                <a:pPr>
                  <a:defRPr/>
                </a:pPr>
                <a:r>
                  <a:rPr lang="en-US"/>
                  <a:t>Phase (deg)</a:t>
                </a:r>
              </a:p>
            </c:rich>
          </c:tx>
          <c:overlay val="0"/>
        </c:title>
        <c:numFmt formatCode="General" sourceLinked="1"/>
        <c:majorTickMark val="out"/>
        <c:minorTickMark val="none"/>
        <c:tickLblPos val="nextTo"/>
        <c:txPr>
          <a:bodyPr/>
          <a:lstStyle/>
          <a:p>
            <a:pPr>
              <a:defRPr b="1">
                <a:solidFill>
                  <a:schemeClr val="tx1">
                    <a:lumMod val="95000"/>
                    <a:lumOff val="5000"/>
                  </a:schemeClr>
                </a:solidFill>
              </a:defRPr>
            </a:pPr>
            <a:endParaRPr lang="en-US"/>
          </a:p>
        </c:txPr>
        <c:crossAx val="377513088"/>
        <c:crosses val="max"/>
        <c:crossBetween val="midCat"/>
        <c:majorUnit val="90"/>
        <c:minorUnit val="45"/>
      </c:valAx>
      <c:valAx>
        <c:axId val="377513088"/>
        <c:scaling>
          <c:logBase val="10"/>
          <c:orientation val="minMax"/>
        </c:scaling>
        <c:delete val="1"/>
        <c:axPos val="b"/>
        <c:numFmt formatCode="0.00" sourceLinked="1"/>
        <c:majorTickMark val="out"/>
        <c:minorTickMark val="none"/>
        <c:tickLblPos val="nextTo"/>
        <c:crossAx val="377498624"/>
        <c:crosses val="autoZero"/>
        <c:crossBetween val="midCat"/>
      </c:valAx>
    </c:plotArea>
    <c:legend>
      <c:legendPos val="r"/>
      <c:legendEntry>
        <c:idx val="1"/>
        <c:delete val="1"/>
      </c:legendEntry>
      <c:legendEntry>
        <c:idx val="2"/>
        <c:delete val="1"/>
      </c:legendEntry>
      <c:legendEntry>
        <c:idx val="3"/>
        <c:delete val="1"/>
      </c:legendEntry>
      <c:legendEntry>
        <c:idx val="4"/>
        <c:delete val="1"/>
      </c:legendEntry>
      <c:layout>
        <c:manualLayout>
          <c:xMode val="edge"/>
          <c:yMode val="edge"/>
          <c:x val="0.61392536510371165"/>
          <c:y val="7.0381012799940294E-3"/>
          <c:w val="0.28497500584606611"/>
          <c:h val="7.9643865606846526E-2"/>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Plant Transfer</a:t>
            </a:r>
            <a:r>
              <a:rPr lang="en-US" baseline="0"/>
              <a:t> Function</a:t>
            </a:r>
            <a:endParaRPr lang="en-US"/>
          </a:p>
        </c:rich>
      </c:tx>
      <c:overlay val="0"/>
    </c:title>
    <c:autoTitleDeleted val="0"/>
    <c:plotArea>
      <c:layout/>
      <c:scatterChart>
        <c:scatterStyle val="smoothMarker"/>
        <c:varyColors val="0"/>
        <c:ser>
          <c:idx val="0"/>
          <c:order val="0"/>
          <c:tx>
            <c:v>Gain(dB)</c:v>
          </c:tx>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CCM_Loop_Modeling_non_isolated!$AD$19:$AD$560</c:f>
              <c:numCache>
                <c:formatCode>0.000</c:formatCode>
                <c:ptCount val="542"/>
                <c:pt idx="0">
                  <c:v>50.747870060884878</c:v>
                </c:pt>
                <c:pt idx="1">
                  <c:v>50.62612061297213</c:v>
                </c:pt>
                <c:pt idx="2">
                  <c:v>50.502188865322061</c:v>
                </c:pt>
                <c:pt idx="3">
                  <c:v>50.376098728294451</c:v>
                </c:pt>
                <c:pt idx="4">
                  <c:v>50.247875970457656</c:v>
                </c:pt>
                <c:pt idx="5">
                  <c:v>50.117548120552257</c:v>
                </c:pt>
                <c:pt idx="6">
                  <c:v>49.98514436478154</c:v>
                </c:pt>
                <c:pt idx="7">
                  <c:v>49.850695440199885</c:v>
                </c:pt>
                <c:pt idx="8">
                  <c:v>49.714233524976393</c:v>
                </c:pt>
                <c:pt idx="9">
                  <c:v>49.575792126305018</c:v>
                </c:pt>
                <c:pt idx="10">
                  <c:v>49.435405966719401</c:v>
                </c:pt>
                <c:pt idx="11">
                  <c:v>49.293110869551874</c:v>
                </c:pt>
                <c:pt idx="12">
                  <c:v>49.148943644246323</c:v>
                </c:pt>
                <c:pt idx="13">
                  <c:v>49.00294197220046</c:v>
                </c:pt>
                <c:pt idx="14">
                  <c:v>48.855144293775901</c:v>
                </c:pt>
                <c:pt idx="15">
                  <c:v>48.705589697067978</c:v>
                </c:pt>
                <c:pt idx="16">
                  <c:v>48.554317808981118</c:v>
                </c:pt>
                <c:pt idx="17">
                  <c:v>48.401368689105936</c:v>
                </c:pt>
                <c:pt idx="18">
                  <c:v>48.246782726840458</c:v>
                </c:pt>
                <c:pt idx="19">
                  <c:v>48.090600542147556</c:v>
                </c:pt>
                <c:pt idx="20">
                  <c:v>47.932862890285662</c:v>
                </c:pt>
                <c:pt idx="21">
                  <c:v>47.773610570797729</c:v>
                </c:pt>
                <c:pt idx="22">
                  <c:v>47.61288434099307</c:v>
                </c:pt>
                <c:pt idx="23">
                  <c:v>47.450724834104918</c:v>
                </c:pt>
                <c:pt idx="24">
                  <c:v>47.28717248226198</c:v>
                </c:pt>
                <c:pt idx="25">
                  <c:v>47.122267444363636</c:v>
                </c:pt>
                <c:pt idx="26">
                  <c:v>46.956049538910705</c:v>
                </c:pt>
                <c:pt idx="27">
                  <c:v>46.788558181799672</c:v>
                </c:pt>
                <c:pt idx="28">
                  <c:v>46.619832329058283</c:v>
                </c:pt>
                <c:pt idx="29">
                  <c:v>46.449910424462615</c:v>
                </c:pt>
                <c:pt idx="30">
                  <c:v>46.278830351951882</c:v>
                </c:pt>
                <c:pt idx="31">
                  <c:v>46.10662939272725</c:v>
                </c:pt>
                <c:pt idx="32">
                  <c:v>45.93334418690354</c:v>
                </c:pt>
                <c:pt idx="33">
                  <c:v>45.75901069955875</c:v>
                </c:pt>
                <c:pt idx="34">
                  <c:v>45.583664191016197</c:v>
                </c:pt>
                <c:pt idx="35">
                  <c:v>45.407339191176419</c:v>
                </c:pt>
                <c:pt idx="36">
                  <c:v>45.230069477708739</c:v>
                </c:pt>
                <c:pt idx="37">
                  <c:v>45.051888057904804</c:v>
                </c:pt>
                <c:pt idx="38">
                  <c:v>44.87282715399067</c:v>
                </c:pt>
                <c:pt idx="39">
                  <c:v>44.692918191691014</c:v>
                </c:pt>
                <c:pt idx="40">
                  <c:v>44.512191791839442</c:v>
                </c:pt>
                <c:pt idx="41">
                  <c:v>44.330677764827456</c:v>
                </c:pt>
                <c:pt idx="42">
                  <c:v>44.148405107689882</c:v>
                </c:pt>
                <c:pt idx="43">
                  <c:v>43.965402003624888</c:v>
                </c:pt>
                <c:pt idx="44">
                  <c:v>43.781695823754305</c:v>
                </c:pt>
                <c:pt idx="45">
                  <c:v>43.597313130934161</c:v>
                </c:pt>
                <c:pt idx="46">
                  <c:v>43.41227968543167</c:v>
                </c:pt>
                <c:pt idx="47">
                  <c:v>43.226620452294142</c:v>
                </c:pt>
                <c:pt idx="48">
                  <c:v>43.040359610238959</c:v>
                </c:pt>
                <c:pt idx="49">
                  <c:v>42.853520561906713</c:v>
                </c:pt>
                <c:pt idx="50">
                  <c:v>42.666125945323415</c:v>
                </c:pt>
                <c:pt idx="51">
                  <c:v>42.478197646428683</c:v>
                </c:pt>
                <c:pt idx="52">
                  <c:v>42.289756812534669</c:v>
                </c:pt>
                <c:pt idx="53">
                  <c:v>42.100823866588364</c:v>
                </c:pt>
                <c:pt idx="54">
                  <c:v>41.911418522118623</c:v>
                </c:pt>
                <c:pt idx="55">
                  <c:v>41.721559798757824</c:v>
                </c:pt>
                <c:pt idx="56">
                  <c:v>41.53126603823538</c:v>
                </c:pt>
                <c:pt idx="57">
                  <c:v>41.340554920748588</c:v>
                </c:pt>
                <c:pt idx="58">
                  <c:v>41.149443481622953</c:v>
                </c:pt>
                <c:pt idx="59">
                  <c:v>40.957948128182636</c:v>
                </c:pt>
                <c:pt idx="60">
                  <c:v>40.766084656757727</c:v>
                </c:pt>
                <c:pt idx="61">
                  <c:v>40.573868269760865</c:v>
                </c:pt>
                <c:pt idx="62">
                  <c:v>40.381313592773864</c:v>
                </c:pt>
                <c:pt idx="63">
                  <c:v>40.188434691588341</c:v>
                </c:pt>
                <c:pt idx="64">
                  <c:v>39.995245089153293</c:v>
                </c:pt>
                <c:pt idx="65">
                  <c:v>39.801757782382928</c:v>
                </c:pt>
                <c:pt idx="66">
                  <c:v>39.607985258788581</c:v>
                </c:pt>
                <c:pt idx="67">
                  <c:v>39.413939512897727</c:v>
                </c:pt>
                <c:pt idx="68">
                  <c:v>39.219632062431458</c:v>
                </c:pt>
                <c:pt idx="69">
                  <c:v>39.025073964213107</c:v>
                </c:pt>
                <c:pt idx="70">
                  <c:v>38.830275829785123</c:v>
                </c:pt>
                <c:pt idx="71">
                  <c:v>38.635247840715401</c:v>
                </c:pt>
                <c:pt idx="72">
                  <c:v>38.43999976357599</c:v>
                </c:pt>
                <c:pt idx="73">
                  <c:v>38.244540964580395</c:v>
                </c:pt>
                <c:pt idx="74">
                  <c:v>38.048880423869136</c:v>
                </c:pt>
                <c:pt idx="75">
                  <c:v>37.853026749433724</c:v>
                </c:pt>
                <c:pt idx="76">
                  <c:v>37.656988190673658</c:v>
                </c:pt>
                <c:pt idx="77">
                  <c:v>37.460772651580193</c:v>
                </c:pt>
                <c:pt idx="78">
                  <c:v>37.264387703545268</c:v>
                </c:pt>
                <c:pt idx="79">
                  <c:v>37.06784059779315</c:v>
                </c:pt>
                <c:pt idx="80">
                  <c:v>36.871138277435179</c:v>
                </c:pt>
                <c:pt idx="81">
                  <c:v>36.67428738914839</c:v>
                </c:pt>
                <c:pt idx="82">
                  <c:v>36.477294294480799</c:v>
                </c:pt>
                <c:pt idx="83">
                  <c:v>36.280165080785622</c:v>
                </c:pt>
                <c:pt idx="84">
                  <c:v>36.082905571789574</c:v>
                </c:pt>
                <c:pt idx="85">
                  <c:v>35.885521337799084</c:v>
                </c:pt>
                <c:pt idx="86">
                  <c:v>35.688017705550095</c:v>
                </c:pt>
                <c:pt idx="87">
                  <c:v>35.490399767707871</c:v>
                </c:pt>
                <c:pt idx="88">
                  <c:v>35.292672392022205</c:v>
                </c:pt>
                <c:pt idx="89">
                  <c:v>35.094840230145735</c:v>
                </c:pt>
                <c:pt idx="90">
                  <c:v>34.896907726122031</c:v>
                </c:pt>
                <c:pt idx="91">
                  <c:v>34.698879124550352</c:v>
                </c:pt>
                <c:pt idx="92">
                  <c:v>34.500758478435515</c:v>
                </c:pt>
                <c:pt idx="93">
                  <c:v>34.302549656729589</c:v>
                </c:pt>
                <c:pt idx="94">
                  <c:v>34.104256351573618</c:v>
                </c:pt>
                <c:pt idx="95">
                  <c:v>33.905882085247214</c:v>
                </c:pt>
                <c:pt idx="96">
                  <c:v>33.707430216833274</c:v>
                </c:pt>
                <c:pt idx="97">
                  <c:v>33.508903948605855</c:v>
                </c:pt>
                <c:pt idx="98">
                  <c:v>33.310306332149239</c:v>
                </c:pt>
                <c:pt idx="99">
                  <c:v>33.111640274215347</c:v>
                </c:pt>
                <c:pt idx="100">
                  <c:v>32.912908542326889</c:v>
                </c:pt>
                <c:pt idx="101">
                  <c:v>32.714113770134212</c:v>
                </c:pt>
                <c:pt idx="102">
                  <c:v>32.515258462532429</c:v>
                </c:pt>
                <c:pt idx="103">
                  <c:v>32.316345000546335</c:v>
                </c:pt>
                <c:pt idx="104">
                  <c:v>32.117375645989746</c:v>
                </c:pt>
                <c:pt idx="105">
                  <c:v>31.9183525459066</c:v>
                </c:pt>
                <c:pt idx="106">
                  <c:v>31.719277736798972</c:v>
                </c:pt>
                <c:pt idx="107">
                  <c:v>31.520153148649769</c:v>
                </c:pt>
                <c:pt idx="108">
                  <c:v>31.320980608745671</c:v>
                </c:pt>
                <c:pt idx="109">
                  <c:v>31.121761845306139</c:v>
                </c:pt>
                <c:pt idx="110">
                  <c:v>30.922498490923701</c:v>
                </c:pt>
                <c:pt idx="111">
                  <c:v>30.723192085822333</c:v>
                </c:pt>
                <c:pt idx="112">
                  <c:v>30.523844080937664</c:v>
                </c:pt>
                <c:pt idx="113">
                  <c:v>30.324455840824989</c:v>
                </c:pt>
                <c:pt idx="114">
                  <c:v>30.12502864639924</c:v>
                </c:pt>
                <c:pt idx="115">
                  <c:v>29.925563697512203</c:v>
                </c:pt>
                <c:pt idx="116">
                  <c:v>29.726062115370038</c:v>
                </c:pt>
                <c:pt idx="117">
                  <c:v>29.526524944797266</c:v>
                </c:pt>
                <c:pt idx="118">
                  <c:v>29.326953156348186</c:v>
                </c:pt>
                <c:pt idx="119">
                  <c:v>29.127347648272327</c:v>
                </c:pt>
                <c:pt idx="120">
                  <c:v>28.927709248335205</c:v>
                </c:pt>
                <c:pt idx="121">
                  <c:v>28.728038715498169</c:v>
                </c:pt>
                <c:pt idx="122">
                  <c:v>28.528336741461228</c:v>
                </c:pt>
                <c:pt idx="123">
                  <c:v>28.328603952069695</c:v>
                </c:pt>
                <c:pt idx="124">
                  <c:v>28.128840908588721</c:v>
                </c:pt>
                <c:pt idx="125">
                  <c:v>27.929048108847574</c:v>
                </c:pt>
                <c:pt idx="126">
                  <c:v>27.729225988254896</c:v>
                </c:pt>
                <c:pt idx="127">
                  <c:v>27.529374920688198</c:v>
                </c:pt>
                <c:pt idx="128">
                  <c:v>27.329495219258</c:v>
                </c:pt>
                <c:pt idx="129">
                  <c:v>27.129587136948018</c:v>
                </c:pt>
                <c:pt idx="130">
                  <c:v>26.92965086713415</c:v>
                </c:pt>
                <c:pt idx="131">
                  <c:v>26.729686543980272</c:v>
                </c:pt>
                <c:pt idx="132">
                  <c:v>26.529694242715195</c:v>
                </c:pt>
                <c:pt idx="133">
                  <c:v>26.329673979787739</c:v>
                </c:pt>
                <c:pt idx="134">
                  <c:v>26.129625712903088</c:v>
                </c:pt>
                <c:pt idx="135">
                  <c:v>25.929549340938674</c:v>
                </c:pt>
                <c:pt idx="136">
                  <c:v>25.729444703740274</c:v>
                </c:pt>
                <c:pt idx="137">
                  <c:v>25.529311581797604</c:v>
                </c:pt>
                <c:pt idx="138">
                  <c:v>25.329149695799845</c:v>
                </c:pt>
                <c:pt idx="139">
                  <c:v>25.128958706068264</c:v>
                </c:pt>
                <c:pt idx="140">
                  <c:v>24.928738211867369</c:v>
                </c:pt>
                <c:pt idx="141">
                  <c:v>24.728487750591455</c:v>
                </c:pt>
                <c:pt idx="142">
                  <c:v>24.52820679682624</c:v>
                </c:pt>
                <c:pt idx="143">
                  <c:v>24.327894761283829</c:v>
                </c:pt>
                <c:pt idx="144">
                  <c:v>24.127550989608487</c:v>
                </c:pt>
                <c:pt idx="145">
                  <c:v>23.927174761051823</c:v>
                </c:pt>
                <c:pt idx="146">
                  <c:v>23.72676528701507</c:v>
                </c:pt>
                <c:pt idx="147">
                  <c:v>23.526321709455431</c:v>
                </c:pt>
                <c:pt idx="148">
                  <c:v>23.325843099154532</c:v>
                </c:pt>
                <c:pt idx="149">
                  <c:v>23.125328453845064</c:v>
                </c:pt>
                <c:pt idx="150">
                  <c:v>22.924776696193618</c:v>
                </c:pt>
                <c:pt idx="151">
                  <c:v>22.724186671635497</c:v>
                </c:pt>
                <c:pt idx="152">
                  <c:v>22.523557146057904</c:v>
                </c:pt>
                <c:pt idx="153">
                  <c:v>22.322886803328153</c:v>
                </c:pt>
                <c:pt idx="154">
                  <c:v>22.122174242662538</c:v>
                </c:pt>
                <c:pt idx="155">
                  <c:v>21.921417975831808</c:v>
                </c:pt>
                <c:pt idx="156">
                  <c:v>21.720616424198738</c:v>
                </c:pt>
                <c:pt idx="157">
                  <c:v>21.519767915582271</c:v>
                </c:pt>
                <c:pt idx="158">
                  <c:v>21.318870680945381</c:v>
                </c:pt>
                <c:pt idx="159">
                  <c:v>21.117922850898832</c:v>
                </c:pt>
                <c:pt idx="160">
                  <c:v>20.916922452017989</c:v>
                </c:pt>
                <c:pt idx="161">
                  <c:v>20.71586740296582</c:v>
                </c:pt>
                <c:pt idx="162">
                  <c:v>20.514755510416126</c:v>
                </c:pt>
                <c:pt idx="163">
                  <c:v>20.313584464772497</c:v>
                </c:pt>
                <c:pt idx="164">
                  <c:v>20.112351835675323</c:v>
                </c:pt>
                <c:pt idx="165">
                  <c:v>19.911055067291709</c:v>
                </c:pt>
                <c:pt idx="166">
                  <c:v>19.709691473381746</c:v>
                </c:pt>
                <c:pt idx="167">
                  <c:v>19.508258232133706</c:v>
                </c:pt>
                <c:pt idx="168">
                  <c:v>19.306752380763037</c:v>
                </c:pt>
                <c:pt idx="169">
                  <c:v>19.105170809866816</c:v>
                </c:pt>
                <c:pt idx="170">
                  <c:v>18.903510257527792</c:v>
                </c:pt>
                <c:pt idx="171">
                  <c:v>18.701767303160963</c:v>
                </c:pt>
                <c:pt idx="172">
                  <c:v>18.499938361095182</c:v>
                </c:pt>
                <c:pt idx="173">
                  <c:v>18.298019673883392</c:v>
                </c:pt>
                <c:pt idx="174">
                  <c:v>18.096007305334346</c:v>
                </c:pt>
                <c:pt idx="175">
                  <c:v>17.893897133258683</c:v>
                </c:pt>
                <c:pt idx="176">
                  <c:v>17.69168484192301</c:v>
                </c:pt>
                <c:pt idx="177">
                  <c:v>17.489365914204743</c:v>
                </c:pt>
                <c:pt idx="178">
                  <c:v>17.286935623441916</c:v>
                </c:pt>
                <c:pt idx="179">
                  <c:v>17.084389024971202</c:v>
                </c:pt>
                <c:pt idx="180">
                  <c:v>16.881720947348487</c:v>
                </c:pt>
                <c:pt idx="181">
                  <c:v>16.678925983246454</c:v>
                </c:pt>
                <c:pt idx="182">
                  <c:v>16.475998480024298</c:v>
                </c:pt>
                <c:pt idx="183">
                  <c:v>16.272932529964617</c:v>
                </c:pt>
                <c:pt idx="184">
                  <c:v>16.069721960174018</c:v>
                </c:pt>
                <c:pt idx="185">
                  <c:v>15.8663603221442</c:v>
                </c:pt>
                <c:pt idx="186">
                  <c:v>15.662840880970993</c:v>
                </c:pt>
                <c:pt idx="187">
                  <c:v>15.459156604230195</c:v>
                </c:pt>
                <c:pt idx="188">
                  <c:v>15.255300150509781</c:v>
                </c:pt>
                <c:pt idx="189">
                  <c:v>15.051263857599711</c:v>
                </c:pt>
                <c:pt idx="190">
                  <c:v>14.847039730341047</c:v>
                </c:pt>
                <c:pt idx="191">
                  <c:v>14.642619428138829</c:v>
                </c:pt>
                <c:pt idx="192">
                  <c:v>14.437994252143929</c:v>
                </c:pt>
                <c:pt idx="193">
                  <c:v>14.233155132111099</c:v>
                </c:pt>
                <c:pt idx="194">
                  <c:v>14.028092612943198</c:v>
                </c:pt>
                <c:pt idx="195">
                  <c:v>13.822796840932902</c:v>
                </c:pt>
                <c:pt idx="196">
                  <c:v>13.617257549716182</c:v>
                </c:pt>
                <c:pt idx="197">
                  <c:v>13.411464045954773</c:v>
                </c:pt>
                <c:pt idx="198">
                  <c:v>13.205405194768263</c:v>
                </c:pt>
                <c:pt idx="199">
                  <c:v>12.99906940493733</c:v>
                </c:pt>
                <c:pt idx="200">
                  <c:v>12.792444613906749</c:v>
                </c:pt>
                <c:pt idx="201">
                  <c:v>12.58551827261822</c:v>
                </c:pt>
                <c:pt idx="202">
                  <c:v>12.378277330207819</c:v>
                </c:pt>
                <c:pt idx="203">
                  <c:v>12.170708218606789</c:v>
                </c:pt>
                <c:pt idx="204">
                  <c:v>11.962796837090631</c:v>
                </c:pt>
                <c:pt idx="205">
                  <c:v>11.754528536825667</c:v>
                </c:pt>
                <c:pt idx="206">
                  <c:v>11.545888105466997</c:v>
                </c:pt>
                <c:pt idx="207">
                  <c:v>11.336859751867935</c:v>
                </c:pt>
                <c:pt idx="208">
                  <c:v>11.127427090969315</c:v>
                </c:pt>
                <c:pt idx="209">
                  <c:v>10.917573128940226</c:v>
                </c:pt>
                <c:pt idx="210">
                  <c:v>10.707280248649365</c:v>
                </c:pt>
                <c:pt idx="211">
                  <c:v>10.496530195556566</c:v>
                </c:pt>
                <c:pt idx="212">
                  <c:v>10.285304064116589</c:v>
                </c:pt>
                <c:pt idx="213">
                  <c:v>10.073582284798256</c:v>
                </c:pt>
                <c:pt idx="214">
                  <c:v>9.861344611829562</c:v>
                </c:pt>
                <c:pt idx="215">
                  <c:v>9.6485701117866842</c:v>
                </c:pt>
                <c:pt idx="216">
                  <c:v>9.4352371531536754</c:v>
                </c:pt>
                <c:pt idx="217">
                  <c:v>9.2213233969894617</c:v>
                </c:pt>
                <c:pt idx="218">
                  <c:v>9.0068057888440372</c:v>
                </c:pt>
                <c:pt idx="219">
                  <c:v>8.7916605520789002</c:v>
                </c:pt>
                <c:pt idx="220">
                  <c:v>8.5758631827510463</c:v>
                </c:pt>
                <c:pt idx="221">
                  <c:v>8.359388446230728</c:v>
                </c:pt>
                <c:pt idx="222">
                  <c:v>8.1422103757311941</c:v>
                </c:pt>
                <c:pt idx="223">
                  <c:v>7.9243022729335184</c:v>
                </c:pt>
                <c:pt idx="224">
                  <c:v>7.7056367109010857</c:v>
                </c:pt>
                <c:pt idx="225">
                  <c:v>7.4861855394808652</c:v>
                </c:pt>
                <c:pt idx="226">
                  <c:v>7.2659198933949263</c:v>
                </c:pt>
                <c:pt idx="227">
                  <c:v>7.0448102032329789</c:v>
                </c:pt>
                <c:pt idx="228">
                  <c:v>6.8228262095556156</c:v>
                </c:pt>
                <c:pt idx="229">
                  <c:v>6.5999369803215746</c:v>
                </c:pt>
                <c:pt idx="230">
                  <c:v>6.3761109318562239</c:v>
                </c:pt>
                <c:pt idx="231">
                  <c:v>6.1513158535682697</c:v>
                </c:pt>
                <c:pt idx="232">
                  <c:v>5.925518936628511</c:v>
                </c:pt>
                <c:pt idx="233">
                  <c:v>5.6986868068093717</c:v>
                </c:pt>
                <c:pt idx="234">
                  <c:v>5.4707855616822378</c:v>
                </c:pt>
                <c:pt idx="235">
                  <c:v>5.2417808123541807</c:v>
                </c:pt>
                <c:pt idx="236">
                  <c:v>5.0116377299144377</c:v>
                </c:pt>
                <c:pt idx="237">
                  <c:v>4.7803210967430783</c:v>
                </c:pt>
                <c:pt idx="238">
                  <c:v>4.5477953628136172</c:v>
                </c:pt>
                <c:pt idx="239">
                  <c:v>4.3140247070989446</c:v>
                </c:pt>
                <c:pt idx="240">
                  <c:v>4.0789731041628805</c:v>
                </c:pt>
                <c:pt idx="241">
                  <c:v>3.8426043959879701</c:v>
                </c:pt>
                <c:pt idx="242">
                  <c:v>3.6048823690580041</c:v>
                </c:pt>
                <c:pt idx="243">
                  <c:v>3.3657708366769756</c:v>
                </c:pt>
                <c:pt idx="244">
                  <c:v>3.125233726462517</c:v>
                </c:pt>
                <c:pt idx="245">
                  <c:v>2.8832351729122792</c:v>
                </c:pt>
                <c:pt idx="246">
                  <c:v>2.6397396148936396</c:v>
                </c:pt>
                <c:pt idx="247">
                  <c:v>2.3947118978570798</c:v>
                </c:pt>
                <c:pt idx="248">
                  <c:v>2.1481173805258131</c:v>
                </c:pt>
                <c:pt idx="249">
                  <c:v>1.8999220457585095</c:v>
                </c:pt>
                <c:pt idx="250">
                  <c:v>1.6500926152315607</c:v>
                </c:pt>
                <c:pt idx="251">
                  <c:v>1.3985966675314476</c:v>
                </c:pt>
                <c:pt idx="252">
                  <c:v>1.1454027591967386</c:v>
                </c:pt>
                <c:pt idx="253">
                  <c:v>0.89048054819485911</c:v>
                </c:pt>
                <c:pt idx="254">
                  <c:v>0.63380091927161264</c:v>
                </c:pt>
                <c:pt idx="255">
                  <c:v>0.37533611056195926</c:v>
                </c:pt>
                <c:pt idx="256">
                  <c:v>0.11505984081011059</c:v>
                </c:pt>
                <c:pt idx="257">
                  <c:v>-0.14705256349454646</c:v>
                </c:pt>
                <c:pt idx="258">
                  <c:v>-0.41102404178859864</c:v>
                </c:pt>
                <c:pt idx="259">
                  <c:v>-0.67687567466431586</c:v>
                </c:pt>
                <c:pt idx="260">
                  <c:v>-0.94462656142785395</c:v>
                </c:pt>
                <c:pt idx="261">
                  <c:v>-1.2142937007664081</c:v>
                </c:pt>
                <c:pt idx="262">
                  <c:v>-1.4858918753087382</c:v>
                </c:pt>
                <c:pt idx="263">
                  <c:v>-1.7594335408559727</c:v>
                </c:pt>
                <c:pt idx="264">
                  <c:v>-2.0349287210453606</c:v>
                </c:pt>
                <c:pt idx="265">
                  <c:v>-2.3123849081835637</c:v>
                </c:pt>
                <c:pt idx="266">
                  <c:v>-2.5918069709533578</c:v>
                </c:pt>
                <c:pt idx="267">
                  <c:v>-2.8731970696535187</c:v>
                </c:pt>
                <c:pt idx="268">
                  <c:v>-3.1565545795798871</c:v>
                </c:pt>
                <c:pt idx="269">
                  <c:v>-3.4418760230962335</c:v>
                </c:pt>
                <c:pt idx="270">
                  <c:v>-3.7291550108761395</c:v>
                </c:pt>
                <c:pt idx="271">
                  <c:v>-4.0183821927230863</c:v>
                </c:pt>
                <c:pt idx="272">
                  <c:v>-4.3095452182980125</c:v>
                </c:pt>
                <c:pt idx="273">
                  <c:v>-4.6026287080006378</c:v>
                </c:pt>
                <c:pt idx="274">
                  <c:v>-4.897614234164986</c:v>
                </c:pt>
                <c:pt idx="275">
                  <c:v>-5.1944803126433303</c:v>
                </c:pt>
                <c:pt idx="276">
                  <c:v>-5.4932024047659036</c:v>
                </c:pt>
                <c:pt idx="277">
                  <c:v>-5.7937529295784804</c:v>
                </c:pt>
                <c:pt idx="278">
                  <c:v>-6.096101286178655</c:v>
                </c:pt>
                <c:pt idx="279">
                  <c:v>-6.4002138858918443</c:v>
                </c:pt>
                <c:pt idx="280">
                  <c:v>-6.7060541939585114</c:v>
                </c:pt>
                <c:pt idx="281">
                  <c:v>-7.0135827803346888</c:v>
                </c:pt>
                <c:pt idx="282">
                  <c:v>-7.3227573791536766</c:v>
                </c:pt>
                <c:pt idx="283">
                  <c:v>-7.6335329563427763</c:v>
                </c:pt>
                <c:pt idx="284">
                  <c:v>-7.945861784851437</c:v>
                </c:pt>
                <c:pt idx="285">
                  <c:v>-8.2596935269128196</c:v>
                </c:pt>
                <c:pt idx="286">
                  <c:v>-8.5749753227404106</c:v>
                </c:pt>
                <c:pt idx="287">
                  <c:v>-8.8916518850480948</c:v>
                </c:pt>
                <c:pt idx="288">
                  <c:v>-9.2096655987787361</c:v>
                </c:pt>
                <c:pt idx="289">
                  <c:v>-9.5289566254322882</c:v>
                </c:pt>
                <c:pt idx="290">
                  <c:v>-9.8494630113993793</c:v>
                </c:pt>
                <c:pt idx="291">
                  <c:v>-10.171120799726696</c:v>
                </c:pt>
                <c:pt idx="292">
                  <c:v>-10.493864144772759</c:v>
                </c:pt>
                <c:pt idx="293">
                  <c:v>-10.817625429243341</c:v>
                </c:pt>
                <c:pt idx="294">
                  <c:v>-11.142335383141223</c:v>
                </c:pt>
                <c:pt idx="295">
                  <c:v>-11.467923204204842</c:v>
                </c:pt>
                <c:pt idx="296">
                  <c:v>-11.794316679460984</c:v>
                </c:pt>
                <c:pt idx="297">
                  <c:v>-12.121442307564044</c:v>
                </c:pt>
                <c:pt idx="298">
                  <c:v>-12.449225421643806</c:v>
                </c:pt>
                <c:pt idx="299">
                  <c:v>-12.777590312436324</c:v>
                </c:pt>
                <c:pt idx="300">
                  <c:v>-13.106460351516942</c:v>
                </c:pt>
                <c:pt idx="301">
                  <c:v>-13.435758114502168</c:v>
                </c:pt>
                <c:pt idx="302">
                  <c:v>-13.765405504130872</c:v>
                </c:pt>
                <c:pt idx="303">
                  <c:v>-14.095323873171923</c:v>
                </c:pt>
                <c:pt idx="304">
                  <c:v>-14.425434147140264</c:v>
                </c:pt>
                <c:pt idx="305">
                  <c:v>-14.755656946832156</c:v>
                </c:pt>
                <c:pt idx="306">
                  <c:v>-15.085912710712757</c:v>
                </c:pt>
                <c:pt idx="307">
                  <c:v>-15.416121817205326</c:v>
                </c:pt>
                <c:pt idx="308">
                  <c:v>-15.746204706941121</c:v>
                </c:pt>
                <c:pt idx="309">
                  <c:v>-16.076082005032436</c:v>
                </c:pt>
                <c:pt idx="310">
                  <c:v>-16.405674643428185</c:v>
                </c:pt>
                <c:pt idx="311">
                  <c:v>-16.734903983397519</c:v>
                </c:pt>
                <c:pt idx="312">
                  <c:v>-17.063691938175051</c:v>
                </c:pt>
                <c:pt idx="313">
                  <c:v>-17.391961095774093</c:v>
                </c:pt>
                <c:pt idx="314">
                  <c:v>-17.71963484194535</c:v>
                </c:pt>
                <c:pt idx="315">
                  <c:v>-18.04663748322649</c:v>
                </c:pt>
                <c:pt idx="316">
                  <c:v>-18.372894369986035</c:v>
                </c:pt>
                <c:pt idx="317">
                  <c:v>-18.698332019324454</c:v>
                </c:pt>
                <c:pt idx="318">
                  <c:v>-19.022878237645934</c:v>
                </c:pt>
                <c:pt idx="319">
                  <c:v>-19.34646224266849</c:v>
                </c:pt>
                <c:pt idx="320">
                  <c:v>-19.669014784590992</c:v>
                </c:pt>
                <c:pt idx="321">
                  <c:v>-19.990468266081336</c:v>
                </c:pt>
                <c:pt idx="322">
                  <c:v>-20.310756860705808</c:v>
                </c:pt>
                <c:pt idx="323">
                  <c:v>-20.629816629370232</c:v>
                </c:pt>
                <c:pt idx="324">
                  <c:v>-20.947585634300729</c:v>
                </c:pt>
                <c:pt idx="325">
                  <c:v>-21.264004050048449</c:v>
                </c:pt>
                <c:pt idx="326">
                  <c:v>-21.579014270973772</c:v>
                </c:pt>
                <c:pt idx="327">
                  <c:v>-21.892561014632825</c:v>
                </c:pt>
                <c:pt idx="328">
                  <c:v>-22.204591420467761</c:v>
                </c:pt>
                <c:pt idx="329">
                  <c:v>-22.515055143192871</c:v>
                </c:pt>
                <c:pt idx="330">
                  <c:v>-22.823904440256342</c:v>
                </c:pt>
                <c:pt idx="331">
                  <c:v>-23.131094252771234</c:v>
                </c:pt>
                <c:pt idx="332">
                  <c:v>-23.436582279312187</c:v>
                </c:pt>
                <c:pt idx="333">
                  <c:v>-23.740329042007723</c:v>
                </c:pt>
                <c:pt idx="334">
                  <c:v>-24.042297944382</c:v>
                </c:pt>
                <c:pt idx="335">
                  <c:v>-24.342455320447712</c:v>
                </c:pt>
                <c:pt idx="336">
                  <c:v>-24.640770474599055</c:v>
                </c:pt>
                <c:pt idx="337">
                  <c:v>-24.937215711916178</c:v>
                </c:pt>
                <c:pt idx="338">
                  <c:v>-25.231766358554264</c:v>
                </c:pt>
                <c:pt idx="339">
                  <c:v>-25.524400771968992</c:v>
                </c:pt>
                <c:pt idx="340">
                  <c:v>-25.8151003408029</c:v>
                </c:pt>
                <c:pt idx="341">
                  <c:v>-26.103849474345424</c:v>
                </c:pt>
                <c:pt idx="342">
                  <c:v>-26.390635581558971</c:v>
                </c:pt>
                <c:pt idx="343">
                  <c:v>-26.675449039754024</c:v>
                </c:pt>
                <c:pt idx="344">
                  <c:v>-26.958283153081545</c:v>
                </c:pt>
                <c:pt idx="345">
                  <c:v>-27.23913410109602</c:v>
                </c:pt>
                <c:pt idx="346">
                  <c:v>-27.518000877724941</c:v>
                </c:pt>
                <c:pt idx="347">
                  <c:v>-27.794885221057847</c:v>
                </c:pt>
                <c:pt idx="348">
                  <c:v>-28.069791534444182</c:v>
                </c:pt>
                <c:pt idx="349">
                  <c:v>-28.34272679944975</c:v>
                </c:pt>
                <c:pt idx="350">
                  <c:v>-28.613700481287594</c:v>
                </c:pt>
                <c:pt idx="351">
                  <c:v>-28.882724427383231</c:v>
                </c:pt>
                <c:pt idx="352">
                  <c:v>-29.14981275978208</c:v>
                </c:pt>
                <c:pt idx="353">
                  <c:v>-29.414981762135575</c:v>
                </c:pt>
                <c:pt idx="354">
                  <c:v>-29.678249762030553</c:v>
                </c:pt>
                <c:pt idx="355">
                  <c:v>-29.93963700943565</c:v>
                </c:pt>
                <c:pt idx="356">
                  <c:v>-30.199165552049063</c:v>
                </c:pt>
                <c:pt idx="357">
                  <c:v>-30.456859108325013</c:v>
                </c:pt>
                <c:pt idx="358">
                  <c:v>-30.712742938944871</c:v>
                </c:pt>
                <c:pt idx="359">
                  <c:v>-30.966843717480156</c:v>
                </c:pt>
                <c:pt idx="360">
                  <c:v>-31.21918940096641</c:v>
                </c:pt>
                <c:pt idx="361">
                  <c:v>-31.469809101074247</c:v>
                </c:pt>
                <c:pt idx="362">
                  <c:v>-31.718732956525201</c:v>
                </c:pt>
                <c:pt idx="363">
                  <c:v>-31.965992007355606</c:v>
                </c:pt>
                <c:pt idx="364">
                  <c:v>-32.211618071586685</c:v>
                </c:pt>
                <c:pt idx="365">
                  <c:v>-32.455643624805845</c:v>
                </c:pt>
                <c:pt idx="366">
                  <c:v>-32.698101683116519</c:v>
                </c:pt>
                <c:pt idx="367">
                  <c:v>-32.939025689855882</c:v>
                </c:pt>
                <c:pt idx="368">
                  <c:v>-33.178449406431831</c:v>
                </c:pt>
                <c:pt idx="369">
                  <c:v>-33.416406807572152</c:v>
                </c:pt>
                <c:pt idx="370">
                  <c:v>-33.652931981232186</c:v>
                </c:pt>
                <c:pt idx="371">
                  <c:v>-33.888059033352377</c:v>
                </c:pt>
                <c:pt idx="372">
                  <c:v>-34.121821997613246</c:v>
                </c:pt>
                <c:pt idx="373">
                  <c:v>-34.354254750285698</c:v>
                </c:pt>
                <c:pt idx="374">
                  <c:v>-34.585390930235278</c:v>
                </c:pt>
                <c:pt idx="375">
                  <c:v>-34.815263864096899</c:v>
                </c:pt>
                <c:pt idx="376">
                  <c:v>-35.043906496603164</c:v>
                </c:pt>
                <c:pt idx="377">
                  <c:v>-35.271351326013161</c:v>
                </c:pt>
                <c:pt idx="378">
                  <c:v>-35.497630344562921</c:v>
                </c:pt>
                <c:pt idx="379">
                  <c:v>-35.722774983830348</c:v>
                </c:pt>
                <c:pt idx="380">
                  <c:v>-35.946816064887898</c:v>
                </c:pt>
                <c:pt idx="381">
                  <c:v>-36.169783753094485</c:v>
                </c:pt>
                <c:pt idx="382">
                  <c:v>-36.391707517365049</c:v>
                </c:pt>
                <c:pt idx="383">
                  <c:v>-36.612616093743512</c:v>
                </c:pt>
                <c:pt idx="384">
                  <c:v>-36.832537453093835</c:v>
                </c:pt>
                <c:pt idx="385">
                  <c:v>-37.05149877271969</c:v>
                </c:pt>
                <c:pt idx="386">
                  <c:v>-37.269526411716349</c:v>
                </c:pt>
                <c:pt idx="387">
                  <c:v>-37.486645889860625</c:v>
                </c:pt>
                <c:pt idx="388">
                  <c:v>-37.702881869840155</c:v>
                </c:pt>
                <c:pt idx="389">
                  <c:v>-37.918258142629739</c:v>
                </c:pt>
                <c:pt idx="390">
                  <c:v>-38.132797615825659</c:v>
                </c:pt>
                <c:pt idx="391">
                  <c:v>-38.346522304752767</c:v>
                </c:pt>
                <c:pt idx="392">
                  <c:v>-38.559453326167386</c:v>
                </c:pt>
                <c:pt idx="393">
                  <c:v>-38.771610894388708</c:v>
                </c:pt>
                <c:pt idx="394">
                  <c:v>-38.983014319697183</c:v>
                </c:pt>
                <c:pt idx="395">
                  <c:v>-39.19368200885102</c:v>
                </c:pt>
                <c:pt idx="396">
                  <c:v>-39.403631467581384</c:v>
                </c:pt>
                <c:pt idx="397">
                  <c:v>-39.612879304938481</c:v>
                </c:pt>
                <c:pt idx="398">
                  <c:v>-39.821441239371588</c:v>
                </c:pt>
                <c:pt idx="399">
                  <c:v>-40.029332106438986</c:v>
                </c:pt>
                <c:pt idx="400">
                  <c:v>-40.23656586805572</c:v>
                </c:pt>
                <c:pt idx="401">
                  <c:v>-40.443155623196972</c:v>
                </c:pt>
                <c:pt idx="402">
                  <c:v>-40.649113619990956</c:v>
                </c:pt>
                <c:pt idx="403">
                  <c:v>-40.85445126914405</c:v>
                </c:pt>
                <c:pt idx="404">
                  <c:v>-41.059179158653329</c:v>
                </c:pt>
                <c:pt idx="405">
                  <c:v>-41.263307069775415</c:v>
                </c:pt>
                <c:pt idx="406">
                  <c:v>-41.46684399422773</c:v>
                </c:pt>
                <c:pt idx="407">
                  <c:v>-41.669798152613573</c:v>
                </c:pt>
                <c:pt idx="408">
                  <c:v>-41.872177014070175</c:v>
                </c:pt>
                <c:pt idx="409">
                  <c:v>-42.07398731714764</c:v>
                </c:pt>
                <c:pt idx="410">
                  <c:v>-42.275235091940495</c:v>
                </c:pt>
                <c:pt idx="411">
                  <c:v>-42.475925683495312</c:v>
                </c:pt>
                <c:pt idx="412">
                  <c:v>-42.676063776531954</c:v>
                </c:pt>
                <c:pt idx="413">
                  <c:v>-42.875653421518166</c:v>
                </c:pt>
                <c:pt idx="414">
                  <c:v>-43.074698062144662</c:v>
                </c:pt>
                <c:pt idx="415">
                  <c:v>-43.273200564252711</c:v>
                </c:pt>
                <c:pt idx="416">
                  <c:v>-43.471163246268858</c:v>
                </c:pt>
                <c:pt idx="417">
                  <c:v>-43.668587911203652</c:v>
                </c:pt>
                <c:pt idx="418">
                  <c:v>-43.865475880271759</c:v>
                </c:pt>
                <c:pt idx="419">
                  <c:v>-44.06182802818968</c:v>
                </c:pt>
                <c:pt idx="420">
                  <c:v>-44.257644820205641</c:v>
                </c:pt>
                <c:pt idx="421">
                  <c:v>-44.452926350910495</c:v>
                </c:pt>
                <c:pt idx="422">
                  <c:v>-44.647672384871207</c:v>
                </c:pt>
                <c:pt idx="423">
                  <c:v>-44.841882399123904</c:v>
                </c:pt>
                <c:pt idx="424">
                  <c:v>-45.035555627547865</c:v>
                </c:pt>
                <c:pt idx="425">
                  <c:v>-45.228691107132235</c:v>
                </c:pt>
                <c:pt idx="426">
                  <c:v>-45.421287726132363</c:v>
                </c:pt>
                <c:pt idx="427">
                  <c:v>-45.613344274091745</c:v>
                </c:pt>
                <c:pt idx="428">
                  <c:v>-45.804859493690103</c:v>
                </c:pt>
                <c:pt idx="429">
                  <c:v>-45.995832134354153</c:v>
                </c:pt>
                <c:pt idx="430">
                  <c:v>-46.18626100753989</c:v>
                </c:pt>
                <c:pt idx="431">
                  <c:v>-46.376145043575974</c:v>
                </c:pt>
                <c:pt idx="432">
                  <c:v>-46.565483349920129</c:v>
                </c:pt>
                <c:pt idx="433">
                  <c:v>-46.754275270657629</c:v>
                </c:pt>
                <c:pt idx="434">
                  <c:v>-46.942520447032706</c:v>
                </c:pt>
                <c:pt idx="435">
                  <c:v>-47.130218878773881</c:v>
                </c:pt>
                <c:pt idx="436">
                  <c:v>-47.317370985937487</c:v>
                </c:pt>
                <c:pt idx="437">
                  <c:v>-47.50397767096036</c:v>
                </c:pt>
                <c:pt idx="438">
                  <c:v>-47.690040380575155</c:v>
                </c:pt>
                <c:pt idx="439">
                  <c:v>-47.875561167210243</c:v>
                </c:pt>
                <c:pt idx="440">
                  <c:v>-48.06054274946068</c:v>
                </c:pt>
                <c:pt idx="441">
                  <c:v>-48.244988571186823</c:v>
                </c:pt>
                <c:pt idx="442">
                  <c:v>-48.428902858767621</c:v>
                </c:pt>
                <c:pt idx="443">
                  <c:v>-48.612290676011902</c:v>
                </c:pt>
                <c:pt idx="444">
                  <c:v>-48.795157976208621</c:v>
                </c:pt>
                <c:pt idx="445">
                  <c:v>-48.977511650782752</c:v>
                </c:pt>
                <c:pt idx="446">
                  <c:v>-49.159359574012697</c:v>
                </c:pt>
                <c:pt idx="447">
                  <c:v>-49.340710643261943</c:v>
                </c:pt>
                <c:pt idx="448">
                  <c:v>-49.521574814183076</c:v>
                </c:pt>
                <c:pt idx="449">
                  <c:v>-49.701963130361719</c:v>
                </c:pt>
                <c:pt idx="450">
                  <c:v>-49.881887746892197</c:v>
                </c:pt>
                <c:pt idx="451">
                  <c:v>-50.061361947401423</c:v>
                </c:pt>
                <c:pt idx="452">
                  <c:v>-50.240400154079893</c:v>
                </c:pt>
                <c:pt idx="453">
                  <c:v>-50.419017930324443</c:v>
                </c:pt>
                <c:pt idx="454">
                  <c:v>-50.597231975652818</c:v>
                </c:pt>
                <c:pt idx="455">
                  <c:v>-50.775060112616742</c:v>
                </c:pt>
                <c:pt idx="456">
                  <c:v>-50.952521265511379</c:v>
                </c:pt>
                <c:pt idx="457">
                  <c:v>-51.129635430761809</c:v>
                </c:pt>
                <c:pt idx="458">
                  <c:v>-51.306423638949411</c:v>
                </c:pt>
                <c:pt idx="459">
                  <c:v>-51.482907908536497</c:v>
                </c:pt>
                <c:pt idx="460">
                  <c:v>-51.659111191439671</c:v>
                </c:pt>
                <c:pt idx="461">
                  <c:v>-51.835057310700734</c:v>
                </c:pt>
                <c:pt idx="462">
                  <c:v>-52.010770890600753</c:v>
                </c:pt>
                <c:pt idx="463">
                  <c:v>-52.18627727965859</c:v>
                </c:pt>
                <c:pt idx="464">
                  <c:v>-52.361602467049444</c:v>
                </c:pt>
                <c:pt idx="465">
                  <c:v>-52.536772993063764</c:v>
                </c:pt>
                <c:pt idx="466">
                  <c:v>-52.71181585431183</c:v>
                </c:pt>
                <c:pt idx="467">
                  <c:v>-52.88675840444732</c:v>
                </c:pt>
                <c:pt idx="468">
                  <c:v>-53.061628251248663</c:v>
                </c:pt>
                <c:pt idx="469">
                  <c:v>-53.236453150947469</c:v>
                </c:pt>
                <c:pt idx="470">
                  <c:v>-53.411260900730291</c:v>
                </c:pt>
                <c:pt idx="471">
                  <c:v>-53.58607923036719</c:v>
                </c:pt>
                <c:pt idx="472">
                  <c:v>-53.760935693930563</c:v>
                </c:pt>
                <c:pt idx="473">
                  <c:v>-53.935857562565289</c:v>
                </c:pt>
                <c:pt idx="474">
                  <c:v>-54.110871719254803</c:v>
                </c:pt>
                <c:pt idx="475">
                  <c:v>-54.286004556495456</c:v>
                </c:pt>
                <c:pt idx="476">
                  <c:v>-54.461281877750871</c:v>
                </c:pt>
                <c:pt idx="477">
                  <c:v>-54.636728803497903</c:v>
                </c:pt>
                <c:pt idx="478">
                  <c:v>-54.812369682613692</c:v>
                </c:pt>
                <c:pt idx="479">
                  <c:v>-54.988228009774282</c:v>
                </c:pt>
                <c:pt idx="480">
                  <c:v>-55.164326349451585</c:v>
                </c:pt>
                <c:pt idx="481">
                  <c:v>-55.34068626700693</c:v>
                </c:pt>
                <c:pt idx="482">
                  <c:v>-55.517328267283503</c:v>
                </c:pt>
                <c:pt idx="483">
                  <c:v>-55.694271741002943</c:v>
                </c:pt>
                <c:pt idx="484">
                  <c:v>-55.871534919175545</c:v>
                </c:pt>
                <c:pt idx="485">
                  <c:v>-56.049134835633978</c:v>
                </c:pt>
                <c:pt idx="486">
                  <c:v>-56.227087297709204</c:v>
                </c:pt>
                <c:pt idx="487">
                  <c:v>-56.405406864975745</c:v>
                </c:pt>
                <c:pt idx="488">
                  <c:v>-56.584106835909047</c:v>
                </c:pt>
                <c:pt idx="489">
                  <c:v>-56.763199242222271</c:v>
                </c:pt>
                <c:pt idx="490">
                  <c:v>-56.942694850576117</c:v>
                </c:pt>
                <c:pt idx="491">
                  <c:v>-57.122603171295843</c:v>
                </c:pt>
                <c:pt idx="492">
                  <c:v>-57.302932473676684</c:v>
                </c:pt>
                <c:pt idx="493">
                  <c:v>-57.483689807412127</c:v>
                </c:pt>
                <c:pt idx="494">
                  <c:v>-57.664881029648008</c:v>
                </c:pt>
                <c:pt idx="495">
                  <c:v>-57.8465108371363</c:v>
                </c:pt>
                <c:pt idx="496">
                  <c:v>-58.028582802946275</c:v>
                </c:pt>
                <c:pt idx="497">
                  <c:v>-58.211099417182865</c:v>
                </c:pt>
                <c:pt idx="498">
                  <c:v>-58.394062131157945</c:v>
                </c:pt>
                <c:pt idx="499">
                  <c:v>-58.577471404467829</c:v>
                </c:pt>
                <c:pt idx="500">
                  <c:v>-58.761326754444063</c:v>
                </c:pt>
                <c:pt idx="501">
                  <c:v>-58.945626807457217</c:v>
                </c:pt>
                <c:pt idx="502">
                  <c:v>-59.130369351581031</c:v>
                </c:pt>
                <c:pt idx="503">
                  <c:v>-59.315551390149331</c:v>
                </c:pt>
                <c:pt idx="504">
                  <c:v>-59.501169195765591</c:v>
                </c:pt>
                <c:pt idx="505">
                  <c:v>-59.687218364360604</c:v>
                </c:pt>
                <c:pt idx="506">
                  <c:v>-59.873693868925514</c:v>
                </c:pt>
                <c:pt idx="507">
                  <c:v>-60.060590112583732</c:v>
                </c:pt>
                <c:pt idx="508">
                  <c:v>-60.247900980699285</c:v>
                </c:pt>
                <c:pt idx="509">
                  <c:v>-60.435619891756467</c:v>
                </c:pt>
                <c:pt idx="510">
                  <c:v>-60.623739846778626</c:v>
                </c:pt>
                <c:pt idx="511">
                  <c:v>-60.812253477089484</c:v>
                </c:pt>
                <c:pt idx="512">
                  <c:v>-61.001153090250462</c:v>
                </c:pt>
                <c:pt idx="513">
                  <c:v>-61.190430714041959</c:v>
                </c:pt>
                <c:pt idx="514">
                  <c:v>-61.380078138381286</c:v>
                </c:pt>
                <c:pt idx="515">
                  <c:v>-61.57008695510018</c:v>
                </c:pt>
                <c:pt idx="516">
                  <c:v>-61.760448595528707</c:v>
                </c:pt>
                <c:pt idx="517">
                  <c:v>-61.951154365854478</c:v>
                </c:pt>
                <c:pt idx="518">
                  <c:v>-62.142195480247047</c:v>
                </c:pt>
                <c:pt idx="519">
                  <c:v>-62.333563091755494</c:v>
                </c:pt>
                <c:pt idx="520">
                  <c:v>-62.525248321005087</c:v>
                </c:pt>
                <c:pt idx="521">
                  <c:v>-62.717242282728655</c:v>
                </c:pt>
                <c:pt idx="522">
                  <c:v>-62.909536110185577</c:v>
                </c:pt>
                <c:pt idx="523">
                  <c:v>-63.102120977528074</c:v>
                </c:pt>
                <c:pt idx="524">
                  <c:v>-63.294988120184868</c:v>
                </c:pt>
                <c:pt idx="525">
                  <c:v>-63.488128853336832</c:v>
                </c:pt>
                <c:pt idx="526">
                  <c:v>-63.681534588567629</c:v>
                </c:pt>
                <c:pt idx="527">
                  <c:v>-63.875196848774287</c:v>
                </c:pt>
                <c:pt idx="528">
                  <c:v>-64.06910728142546</c:v>
                </c:pt>
                <c:pt idx="529">
                  <c:v>-64.263257670258881</c:v>
                </c:pt>
                <c:pt idx="530">
                  <c:v>-64.457639945506102</c:v>
                </c:pt>
                <c:pt idx="531">
                  <c:v>-64.652246192738147</c:v>
                </c:pt>
                <c:pt idx="532">
                  <c:v>-64.847068660418842</c:v>
                </c:pt>
                <c:pt idx="533">
                  <c:v>-65.042099766256683</c:v>
                </c:pt>
                <c:pt idx="534">
                  <c:v>-65.237332102438771</c:v>
                </c:pt>
                <c:pt idx="535">
                  <c:v>-65.43275843983298</c:v>
                </c:pt>
                <c:pt idx="536">
                  <c:v>-65.628371731236896</c:v>
                </c:pt>
                <c:pt idx="537">
                  <c:v>-65.824165113753466</c:v>
                </c:pt>
                <c:pt idx="538">
                  <c:v>-66.020131910365706</c:v>
                </c:pt>
                <c:pt idx="539">
                  <c:v>-66.216265630783184</c:v>
                </c:pt>
                <c:pt idx="540">
                  <c:v>-66.412559971626251</c:v>
                </c:pt>
                <c:pt idx="541">
                  <c:v>-66.609008816012945</c:v>
                </c:pt>
              </c:numCache>
            </c:numRef>
          </c:yVal>
          <c:smooth val="1"/>
          <c:extLst>
            <c:ext xmlns:c16="http://schemas.microsoft.com/office/drawing/2014/chart" uri="{C3380CC4-5D6E-409C-BE32-E72D297353CC}">
              <c16:uniqueId val="{00000000-1B3F-4802-9751-4D21F96C72BF}"/>
            </c:ext>
          </c:extLst>
        </c:ser>
        <c:dLbls>
          <c:showLegendKey val="0"/>
          <c:showVal val="0"/>
          <c:showCatName val="0"/>
          <c:showSerName val="0"/>
          <c:showPercent val="0"/>
          <c:showBubbleSize val="0"/>
        </c:dLbls>
        <c:axId val="385819776"/>
        <c:axId val="385821696"/>
      </c:scatterChart>
      <c:scatterChart>
        <c:scatterStyle val="smoothMarker"/>
        <c:varyColors val="0"/>
        <c:ser>
          <c:idx val="1"/>
          <c:order val="1"/>
          <c:tx>
            <c:v>Phase (deg)</c:v>
          </c:tx>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CCM_Loop_Modeling_non_isolated!$AE$19:$AE$560</c:f>
              <c:numCache>
                <c:formatCode>General</c:formatCode>
                <c:ptCount val="542"/>
                <c:pt idx="0">
                  <c:v>-51.091643337566353</c:v>
                </c:pt>
                <c:pt idx="1">
                  <c:v>-51.738578234361754</c:v>
                </c:pt>
                <c:pt idx="2">
                  <c:v>-52.382208021278281</c:v>
                </c:pt>
                <c:pt idx="3">
                  <c:v>-53.022233781590423</c:v>
                </c:pt>
                <c:pt idx="4">
                  <c:v>-53.658365648601396</c:v>
                </c:pt>
                <c:pt idx="5">
                  <c:v>-54.290323379868845</c:v>
                </c:pt>
                <c:pt idx="6">
                  <c:v>-54.917836877599854</c:v>
                </c:pt>
                <c:pt idx="7">
                  <c:v>-55.540646653675083</c:v>
                </c:pt>
                <c:pt idx="8">
                  <c:v>-56.158504238297063</c:v>
                </c:pt>
                <c:pt idx="9">
                  <c:v>-56.771172531770802</c:v>
                </c:pt>
                <c:pt idx="10">
                  <c:v>-57.378426099433419</c:v>
                </c:pt>
                <c:pt idx="11">
                  <c:v>-57.980051410204766</c:v>
                </c:pt>
                <c:pt idx="12">
                  <c:v>-58.575847019697669</c:v>
                </c:pt>
                <c:pt idx="13">
                  <c:v>-59.165623699218209</c:v>
                </c:pt>
                <c:pt idx="14">
                  <c:v>-59.749204512366717</c:v>
                </c:pt>
                <c:pt idx="15">
                  <c:v>-60.326424841278346</c:v>
                </c:pt>
                <c:pt idx="16">
                  <c:v>-60.89713236483135</c:v>
                </c:pt>
                <c:pt idx="17">
                  <c:v>-61.461186991393198</c:v>
                </c:pt>
                <c:pt idx="18">
                  <c:v>-62.018460748883712</c:v>
                </c:pt>
                <c:pt idx="19">
                  <c:v>-62.568837635081579</c:v>
                </c:pt>
                <c:pt idx="20">
                  <c:v>-63.112213431231829</c:v>
                </c:pt>
                <c:pt idx="21">
                  <c:v>-63.648495482078076</c:v>
                </c:pt>
                <c:pt idx="22">
                  <c:v>-64.17760244548947</c:v>
                </c:pt>
                <c:pt idx="23">
                  <c:v>-64.699464014863707</c:v>
                </c:pt>
                <c:pt idx="24">
                  <c:v>-65.214020617444618</c:v>
                </c:pt>
                <c:pt idx="25">
                  <c:v>-65.721223091664413</c:v>
                </c:pt>
                <c:pt idx="26">
                  <c:v>-66.221032346515841</c:v>
                </c:pt>
                <c:pt idx="27">
                  <c:v>-66.713419005878848</c:v>
                </c:pt>
                <c:pt idx="28">
                  <c:v>-67.198363040595368</c:v>
                </c:pt>
                <c:pt idx="29">
                  <c:v>-67.675853390956348</c:v>
                </c:pt>
                <c:pt idx="30">
                  <c:v>-68.145887582116401</c:v>
                </c:pt>
                <c:pt idx="31">
                  <c:v>-68.608471334799304</c:v>
                </c:pt>
                <c:pt idx="32">
                  <c:v>-69.063618173487427</c:v>
                </c:pt>
                <c:pt idx="33">
                  <c:v>-69.511349034133787</c:v>
                </c:pt>
                <c:pt idx="34">
                  <c:v>-69.951691873254006</c:v>
                </c:pt>
                <c:pt idx="35">
                  <c:v>-70.384681280099656</c:v>
                </c:pt>
                <c:pt idx="36">
                  <c:v>-70.810358093440357</c:v>
                </c:pt>
                <c:pt idx="37">
                  <c:v>-71.228769024325345</c:v>
                </c:pt>
                <c:pt idx="38">
                  <c:v>-71.639966286034962</c:v>
                </c:pt>
                <c:pt idx="39">
                  <c:v>-72.044007232284059</c:v>
                </c:pt>
                <c:pt idx="40">
                  <c:v>-72.440954004592172</c:v>
                </c:pt>
                <c:pt idx="41">
                  <c:v>-72.830873189603878</c:v>
                </c:pt>
                <c:pt idx="42">
                  <c:v>-73.213835487008438</c:v>
                </c:pt>
                <c:pt idx="43">
                  <c:v>-73.589915388589489</c:v>
                </c:pt>
                <c:pt idx="44">
                  <c:v>-73.959190868829182</c:v>
                </c:pt>
                <c:pt idx="45">
                  <c:v>-74.321743087380639</c:v>
                </c:pt>
                <c:pt idx="46">
                  <c:v>-74.677656103631691</c:v>
                </c:pt>
                <c:pt idx="47">
                  <c:v>-75.02701660349976</c:v>
                </c:pt>
                <c:pt idx="48">
                  <c:v>-75.369913638514447</c:v>
                </c:pt>
                <c:pt idx="49">
                  <c:v>-75.706438377179637</c:v>
                </c:pt>
                <c:pt idx="50">
                  <c:v>-76.036683868542511</c:v>
                </c:pt>
                <c:pt idx="51">
                  <c:v>-76.360744817841564</c:v>
                </c:pt>
                <c:pt idx="52">
                  <c:v>-76.678717374059701</c:v>
                </c:pt>
                <c:pt idx="53">
                  <c:v>-76.990698929165475</c:v>
                </c:pt>
                <c:pt idx="54">
                  <c:v>-77.296787928787936</c:v>
                </c:pt>
                <c:pt idx="55">
                  <c:v>-77.597083694046887</c:v>
                </c:pt>
                <c:pt idx="56">
                  <c:v>-77.891686254226315</c:v>
                </c:pt>
                <c:pt idx="57">
                  <c:v>-78.180696189966341</c:v>
                </c:pt>
                <c:pt idx="58">
                  <c:v>-78.464214486628705</c:v>
                </c:pt>
                <c:pt idx="59">
                  <c:v>-78.742342397478382</c:v>
                </c:pt>
                <c:pt idx="60">
                  <c:v>-79.015181316319413</c:v>
                </c:pt>
                <c:pt idx="61">
                  <c:v>-79.28283265921138</c:v>
                </c:pt>
                <c:pt idx="62">
                  <c:v>-79.545397754894594</c:v>
                </c:pt>
                <c:pt idx="63">
                  <c:v>-79.802977743550912</c:v>
                </c:pt>
                <c:pt idx="64">
                  <c:v>-80.055673483527514</c:v>
                </c:pt>
                <c:pt idx="65">
                  <c:v>-80.303585465654592</c:v>
                </c:pt>
                <c:pt idx="66">
                  <c:v>-80.546813734796388</c:v>
                </c:pt>
                <c:pt idx="67">
                  <c:v>-80.78545781827664</c:v>
                </c:pt>
                <c:pt idx="68">
                  <c:v>-81.019616660832241</c:v>
                </c:pt>
                <c:pt idx="69">
                  <c:v>-81.249388565753534</c:v>
                </c:pt>
                <c:pt idx="70">
                  <c:v>-81.474871141883256</c:v>
                </c:pt>
                <c:pt idx="71">
                  <c:v>-81.696161256152166</c:v>
                </c:pt>
                <c:pt idx="72">
                  <c:v>-81.913354991344121</c:v>
                </c:pt>
                <c:pt idx="73">
                  <c:v>-82.126547608791782</c:v>
                </c:pt>
                <c:pt idx="74">
                  <c:v>-82.335833515716061</c:v>
                </c:pt>
                <c:pt idx="75">
                  <c:v>-82.541306236934801</c:v>
                </c:pt>
                <c:pt idx="76">
                  <c:v>-82.743058390676651</c:v>
                </c:pt>
                <c:pt idx="77">
                  <c:v>-82.941181668248433</c:v>
                </c:pt>
                <c:pt idx="78">
                  <c:v>-83.135766817314561</c:v>
                </c:pt>
                <c:pt idx="79">
                  <c:v>-83.326903628560203</c:v>
                </c:pt>
                <c:pt idx="80">
                  <c:v>-83.514680925519386</c:v>
                </c:pt>
                <c:pt idx="81">
                  <c:v>-83.699186557360775</c:v>
                </c:pt>
                <c:pt idx="82">
                  <c:v>-83.880507394434559</c:v>
                </c:pt>
                <c:pt idx="83">
                  <c:v>-84.058729326394399</c:v>
                </c:pt>
                <c:pt idx="84">
                  <c:v>-84.233937262717475</c:v>
                </c:pt>
                <c:pt idx="85">
                  <c:v>-84.406215135456847</c:v>
                </c:pt>
                <c:pt idx="86">
                  <c:v>-84.575645904068708</c:v>
                </c:pt>
                <c:pt idx="87">
                  <c:v>-84.742311562165881</c:v>
                </c:pt>
                <c:pt idx="88">
                  <c:v>-84.906293146059127</c:v>
                </c:pt>
                <c:pt idx="89">
                  <c:v>-85.067670744954341</c:v>
                </c:pt>
                <c:pt idx="90">
                  <c:v>-85.226523512682732</c:v>
                </c:pt>
                <c:pt idx="91">
                  <c:v>-85.382929680848775</c:v>
                </c:pt>
                <c:pt idx="92">
                  <c:v>-85.536966573287273</c:v>
                </c:pt>
                <c:pt idx="93">
                  <c:v>-85.68871062172866</c:v>
                </c:pt>
                <c:pt idx="94">
                  <c:v>-85.83823738257756</c:v>
                </c:pt>
                <c:pt idx="95">
                  <c:v>-85.985621554716488</c:v>
                </c:pt>
                <c:pt idx="96">
                  <c:v>-86.130936998251968</c:v>
                </c:pt>
                <c:pt idx="97">
                  <c:v>-86.274256754127009</c:v>
                </c:pt>
                <c:pt idx="98">
                  <c:v>-86.415653064527277</c:v>
                </c:pt>
                <c:pt idx="99">
                  <c:v>-86.55519739401619</c:v>
                </c:pt>
                <c:pt idx="100">
                  <c:v>-86.692960451335992</c:v>
                </c:pt>
                <c:pt idx="101">
                  <c:v>-86.829012211818807</c:v>
                </c:pt>
                <c:pt idx="102">
                  <c:v>-86.963421940354564</c:v>
                </c:pt>
                <c:pt idx="103">
                  <c:v>-87.09625821486695</c:v>
                </c:pt>
                <c:pt idx="104">
                  <c:v>-87.22758895025288</c:v>
                </c:pt>
                <c:pt idx="105">
                  <c:v>-87.357481422743646</c:v>
                </c:pt>
                <c:pt idx="106">
                  <c:v>-87.486002294650248</c:v>
                </c:pt>
                <c:pt idx="107">
                  <c:v>-87.613217639458171</c:v>
                </c:pt>
                <c:pt idx="108">
                  <c:v>-87.739192967238822</c:v>
                </c:pt>
                <c:pt idx="109">
                  <c:v>-87.86399325034975</c:v>
                </c:pt>
                <c:pt idx="110">
                  <c:v>-87.987682949396444</c:v>
                </c:pt>
                <c:pt idx="111">
                  <c:v>-88.110326039431641</c:v>
                </c:pt>
                <c:pt idx="112">
                  <c:v>-88.231986036370856</c:v>
                </c:pt>
                <c:pt idx="113">
                  <c:v>-88.352726023603807</c:v>
                </c:pt>
                <c:pt idx="114">
                  <c:v>-88.472608678784525</c:v>
                </c:pt>
                <c:pt idx="115">
                  <c:v>-88.591696300784164</c:v>
                </c:pt>
                <c:pt idx="116">
                  <c:v>-88.710050836792277</c:v>
                </c:pt>
                <c:pt idx="117">
                  <c:v>-88.827733909553956</c:v>
                </c:pt>
                <c:pt idx="118">
                  <c:v>-88.944806844732213</c:v>
                </c:pt>
                <c:pt idx="119">
                  <c:v>-89.06133069838495</c:v>
                </c:pt>
                <c:pt idx="120">
                  <c:v>-89.177366284549123</c:v>
                </c:pt>
                <c:pt idx="121">
                  <c:v>-89.292974202923943</c:v>
                </c:pt>
                <c:pt idx="122">
                  <c:v>-89.408214866647057</c:v>
                </c:pt>
                <c:pt idx="123">
                  <c:v>-89.523148530158736</c:v>
                </c:pt>
                <c:pt idx="124">
                  <c:v>-89.637835317149012</c:v>
                </c:pt>
                <c:pt idx="125">
                  <c:v>-89.752335248584458</c:v>
                </c:pt>
                <c:pt idx="126">
                  <c:v>-89.86670827081187</c:v>
                </c:pt>
                <c:pt idx="127">
                  <c:v>-89.981014283735732</c:v>
                </c:pt>
                <c:pt idx="128">
                  <c:v>-90.095313169068362</c:v>
                </c:pt>
                <c:pt idx="129">
                  <c:v>-90.209664818651461</c:v>
                </c:pt>
                <c:pt idx="130">
                  <c:v>-90.324129162847115</c:v>
                </c:pt>
                <c:pt idx="131">
                  <c:v>-90.438766198999247</c:v>
                </c:pt>
                <c:pt idx="132">
                  <c:v>-90.553636019963349</c:v>
                </c:pt>
                <c:pt idx="133">
                  <c:v>-90.668798842706167</c:v>
                </c:pt>
                <c:pt idx="134">
                  <c:v>-90.784315036973524</c:v>
                </c:pt>
                <c:pt idx="135">
                  <c:v>-90.900245154027729</c:v>
                </c:pt>
                <c:pt idx="136">
                  <c:v>-91.016649955453644</c:v>
                </c:pt>
                <c:pt idx="137">
                  <c:v>-91.133590442033778</c:v>
                </c:pt>
                <c:pt idx="138">
                  <c:v>-91.251127882691549</c:v>
                </c:pt>
                <c:pt idx="139">
                  <c:v>-91.369323843503452</c:v>
                </c:pt>
                <c:pt idx="140">
                  <c:v>-91.488240216777612</c:v>
                </c:pt>
                <c:pt idx="141">
                  <c:v>-91.607939250199294</c:v>
                </c:pt>
                <c:pt idx="142">
                  <c:v>-91.728483576040716</c:v>
                </c:pt>
                <c:pt idx="143">
                  <c:v>-91.849936240433109</c:v>
                </c:pt>
                <c:pt idx="144">
                  <c:v>-91.972360732699059</c:v>
                </c:pt>
                <c:pt idx="145">
                  <c:v>-92.095821014741048</c:v>
                </c:pt>
                <c:pt idx="146">
                  <c:v>-92.220381550482244</c:v>
                </c:pt>
                <c:pt idx="147">
                  <c:v>-92.346107335354802</c:v>
                </c:pt>
                <c:pt idx="148">
                  <c:v>-92.473063925829422</c:v>
                </c:pt>
                <c:pt idx="149">
                  <c:v>-92.601317468979516</c:v>
                </c:pt>
                <c:pt idx="150">
                  <c:v>-92.730934732071731</c:v>
                </c:pt>
                <c:pt idx="151">
                  <c:v>-92.861983132173549</c:v>
                </c:pt>
                <c:pt idx="152">
                  <c:v>-92.994530765767323</c:v>
                </c:pt>
                <c:pt idx="153">
                  <c:v>-93.128646438358658</c:v>
                </c:pt>
                <c:pt idx="154">
                  <c:v>-93.264399694065531</c:v>
                </c:pt>
                <c:pt idx="155">
                  <c:v>-93.401860845172337</c:v>
                </c:pt>
                <c:pt idx="156">
                  <c:v>-93.541101001632029</c:v>
                </c:pt>
                <c:pt idx="157">
                  <c:v>-93.682192100497403</c:v>
                </c:pt>
                <c:pt idx="158">
                  <c:v>-93.825206935258933</c:v>
                </c:pt>
                <c:pt idx="159">
                  <c:v>-93.970219185067222</c:v>
                </c:pt>
                <c:pt idx="160">
                  <c:v>-94.117303443812617</c:v>
                </c:pt>
                <c:pt idx="161">
                  <c:v>-94.26653524903378</c:v>
                </c:pt>
                <c:pt idx="162">
                  <c:v>-94.417991110623944</c:v>
                </c:pt>
                <c:pt idx="163">
                  <c:v>-94.571748539299705</c:v>
                </c:pt>
                <c:pt idx="164">
                  <c:v>-94.727886074795705</c:v>
                </c:pt>
                <c:pt idx="165">
                  <c:v>-94.886483313742644</c:v>
                </c:pt>
                <c:pt idx="166">
                  <c:v>-95.047620937185201</c:v>
                </c:pt>
                <c:pt idx="167">
                  <c:v>-95.211380737690774</c:v>
                </c:pt>
                <c:pt idx="168">
                  <c:v>-95.377845645996075</c:v>
                </c:pt>
                <c:pt idx="169">
                  <c:v>-95.547099757135214</c:v>
                </c:pt>
                <c:pt idx="170">
                  <c:v>-95.719228355987084</c:v>
                </c:pt>
                <c:pt idx="171">
                  <c:v>-95.894317942175874</c:v>
                </c:pt>
                <c:pt idx="172">
                  <c:v>-96.072456254252742</c:v>
                </c:pt>
                <c:pt idx="173">
                  <c:v>-96.253732293081839</c:v>
                </c:pt>
                <c:pt idx="174">
                  <c:v>-96.438236344347686</c:v>
                </c:pt>
                <c:pt idx="175">
                  <c:v>-96.626060000094469</c:v>
                </c:pt>
                <c:pt idx="176">
                  <c:v>-96.817296179202771</c:v>
                </c:pt>
                <c:pt idx="177">
                  <c:v>-97.012039146700403</c:v>
                </c:pt>
                <c:pt idx="178">
                  <c:v>-97.210384531799463</c:v>
                </c:pt>
                <c:pt idx="179">
                  <c:v>-97.41242934454138</c:v>
                </c:pt>
                <c:pt idx="180">
                  <c:v>-97.618271990927369</c:v>
                </c:pt>
                <c:pt idx="181">
                  <c:v>-97.828012286399598</c:v>
                </c:pt>
                <c:pt idx="182">
                  <c:v>-98.041751467533615</c:v>
                </c:pt>
                <c:pt idx="183">
                  <c:v>-98.259592201791492</c:v>
                </c:pt>
                <c:pt idx="184">
                  <c:v>-98.481638595175909</c:v>
                </c:pt>
                <c:pt idx="185">
                  <c:v>-98.70799619761749</c:v>
                </c:pt>
                <c:pt idx="186">
                  <c:v>-98.938772005915681</c:v>
                </c:pt>
                <c:pt idx="187">
                  <c:v>-99.174074464044764</c:v>
                </c:pt>
                <c:pt idx="188">
                  <c:v>-99.41401346062527</c:v>
                </c:pt>
                <c:pt idx="189">
                  <c:v>-99.658700323350487</c:v>
                </c:pt>
                <c:pt idx="190">
                  <c:v>-99.908247810146634</c:v>
                </c:pt>
                <c:pt idx="191">
                  <c:v>-100.16277009683412</c:v>
                </c:pt>
                <c:pt idx="192">
                  <c:v>-100.42238276104479</c:v>
                </c:pt>
                <c:pt idx="193">
                  <c:v>-100.6872027621399</c:v>
                </c:pt>
                <c:pt idx="194">
                  <c:v>-100.95734841686171</c:v>
                </c:pt>
                <c:pt idx="195">
                  <c:v>-101.23293937043749</c:v>
                </c:pt>
                <c:pt idx="196">
                  <c:v>-101.51409656284704</c:v>
                </c:pt>
                <c:pt idx="197">
                  <c:v>-101.80094218994955</c:v>
                </c:pt>
                <c:pt idx="198">
                  <c:v>-102.09359965915762</c:v>
                </c:pt>
                <c:pt idx="199">
                  <c:v>-102.3921935393323</c:v>
                </c:pt>
                <c:pt idx="200">
                  <c:v>-102.69684950456674</c:v>
                </c:pt>
                <c:pt idx="201">
                  <c:v>-103.00769427151066</c:v>
                </c:pt>
                <c:pt idx="202">
                  <c:v>-103.32485552988693</c:v>
                </c:pt>
                <c:pt idx="203">
                  <c:v>-103.64846186583536</c:v>
                </c:pt>
                <c:pt idx="204">
                  <c:v>-103.9786426777186</c:v>
                </c:pt>
                <c:pt idx="205">
                  <c:v>-104.31552808401726</c:v>
                </c:pt>
                <c:pt idx="206">
                  <c:v>-104.65924882293891</c:v>
                </c:pt>
                <c:pt idx="207">
                  <c:v>-105.0099361433616</c:v>
                </c:pt>
                <c:pt idx="208">
                  <c:v>-105.36772168673852</c:v>
                </c:pt>
                <c:pt idx="209">
                  <c:v>-105.73273735958901</c:v>
                </c:pt>
                <c:pt idx="210">
                  <c:v>-106.10511519620846</c:v>
                </c:pt>
                <c:pt idx="211">
                  <c:v>-106.48498721124179</c:v>
                </c:pt>
                <c:pt idx="212">
                  <c:v>-106.87248524177367</c:v>
                </c:pt>
                <c:pt idx="213">
                  <c:v>-107.26774077861096</c:v>
                </c:pt>
                <c:pt idx="214">
                  <c:v>-107.67088478644828</c:v>
                </c:pt>
                <c:pt idx="215">
                  <c:v>-108.08204751263965</c:v>
                </c:pt>
                <c:pt idx="216">
                  <c:v>-108.50135828432646</c:v>
                </c:pt>
                <c:pt idx="217">
                  <c:v>-108.92894529371077</c:v>
                </c:pt>
                <c:pt idx="218">
                  <c:v>-109.36493537130562</c:v>
                </c:pt>
                <c:pt idx="219">
                  <c:v>-109.80945374704433</c:v>
                </c:pt>
                <c:pt idx="220">
                  <c:v>-110.26262379918587</c:v>
                </c:pt>
                <c:pt idx="221">
                  <c:v>-110.7245667910188</c:v>
                </c:pt>
                <c:pt idx="222">
                  <c:v>-111.19540159543658</c:v>
                </c:pt>
                <c:pt idx="223">
                  <c:v>-111.67524440753785</c:v>
                </c:pt>
                <c:pt idx="224">
                  <c:v>-112.16420844548911</c:v>
                </c:pt>
                <c:pt idx="225">
                  <c:v>-112.66240363999006</c:v>
                </c:pt>
                <c:pt idx="226">
                  <c:v>-113.16993631277958</c:v>
                </c:pt>
                <c:pt idx="227">
                  <c:v>-113.68690884473493</c:v>
                </c:pt>
                <c:pt idx="228">
                  <c:v>-114.21341933424176</c:v>
                </c:pt>
                <c:pt idx="229">
                  <c:v>-114.74956124663824</c:v>
                </c:pt>
                <c:pt idx="230">
                  <c:v>-115.29542305567199</c:v>
                </c:pt>
                <c:pt idx="231">
                  <c:v>-115.85108787805898</c:v>
                </c:pt>
                <c:pt idx="232">
                  <c:v>-116.41663310237598</c:v>
                </c:pt>
                <c:pt idx="233">
                  <c:v>-116.99213001368251</c:v>
                </c:pt>
                <c:pt idx="234">
                  <c:v>-117.57764341542037</c:v>
                </c:pt>
                <c:pt idx="235">
                  <c:v>-118.17323125030508</c:v>
                </c:pt>
                <c:pt idx="236">
                  <c:v>-118.77894422208993</c:v>
                </c:pt>
                <c:pt idx="237">
                  <c:v>-119.3948254202427</c:v>
                </c:pt>
                <c:pt idx="238">
                  <c:v>-120.02090994973327</c:v>
                </c:pt>
                <c:pt idx="239">
                  <c:v>-120.65722456829359</c:v>
                </c:pt>
                <c:pt idx="240">
                  <c:v>-121.30378733364769</c:v>
                </c:pt>
                <c:pt idx="241">
                  <c:v>-121.96060726335485</c:v>
                </c:pt>
                <c:pt idx="242">
                  <c:v>-122.62768401002374</c:v>
                </c:pt>
                <c:pt idx="243">
                  <c:v>-123.3050075547644</c:v>
                </c:pt>
                <c:pt idx="244">
                  <c:v>-123.99255792183254</c:v>
                </c:pt>
                <c:pt idx="245">
                  <c:v>-124.69030491747498</c:v>
                </c:pt>
                <c:pt idx="246">
                  <c:v>-125.39820789602332</c:v>
                </c:pt>
                <c:pt idx="247">
                  <c:v>-126.11621555629175</c:v>
                </c:pt>
                <c:pt idx="248">
                  <c:v>-126.84426577129737</c:v>
                </c:pt>
                <c:pt idx="249">
                  <c:v>-127.58228545426093</c:v>
                </c:pt>
                <c:pt idx="250">
                  <c:v>-128.33019046374366</c:v>
                </c:pt>
                <c:pt idx="251">
                  <c:v>-129.08788555062779</c:v>
                </c:pt>
                <c:pt idx="252">
                  <c:v>-129.85526434946198</c:v>
                </c:pt>
                <c:pt idx="253">
                  <c:v>-130.63220941646608</c:v>
                </c:pt>
                <c:pt idx="254">
                  <c:v>-131.41859231620845</c:v>
                </c:pt>
                <c:pt idx="255">
                  <c:v>-132.21427375866048</c:v>
                </c:pt>
                <c:pt idx="256">
                  <c:v>-133.01910378796322</c:v>
                </c:pt>
                <c:pt idx="257">
                  <c:v>-133.83292202385275</c:v>
                </c:pt>
                <c:pt idx="258">
                  <c:v>-134.65555795624351</c:v>
                </c:pt>
                <c:pt idx="259">
                  <c:v>-135.48683129300937</c:v>
                </c:pt>
                <c:pt idx="260">
                  <c:v>-136.32655236049783</c:v>
                </c:pt>
                <c:pt idx="261">
                  <c:v>-137.1745225557971</c:v>
                </c:pt>
                <c:pt idx="262">
                  <c:v>-138.03053484924021</c:v>
                </c:pt>
                <c:pt idx="263">
                  <c:v>-138.89437433508644</c:v>
                </c:pt>
                <c:pt idx="264">
                  <c:v>-139.76581882777475</c:v>
                </c:pt>
                <c:pt idx="265">
                  <c:v>-140.64463950060824</c:v>
                </c:pt>
                <c:pt idx="266">
                  <c:v>-141.53060156320771</c:v>
                </c:pt>
                <c:pt idx="267">
                  <c:v>-142.42346497357619</c:v>
                </c:pt>
                <c:pt idx="268">
                  <c:v>-143.32298518015068</c:v>
                </c:pt>
                <c:pt idx="269">
                  <c:v>-144.22891388879788</c:v>
                </c:pt>
                <c:pt idx="270">
                  <c:v>-145.14099984933424</c:v>
                </c:pt>
                <c:pt idx="271">
                  <c:v>-146.05898965583614</c:v>
                </c:pt>
                <c:pt idx="272">
                  <c:v>-146.98262855474053</c:v>
                </c:pt>
                <c:pt idx="273">
                  <c:v>-147.91166125456186</c:v>
                </c:pt>
                <c:pt idx="274">
                  <c:v>-148.84583273091354</c:v>
                </c:pt>
                <c:pt idx="275">
                  <c:v>-149.78488902048628</c:v>
                </c:pt>
                <c:pt idx="276">
                  <c:v>-150.72857799766385</c:v>
                </c:pt>
                <c:pt idx="277">
                  <c:v>-151.67665012754605</c:v>
                </c:pt>
                <c:pt idx="278">
                  <c:v>-152.62885918933901</c:v>
                </c:pt>
                <c:pt idx="279">
                  <c:v>-153.58496296429828</c:v>
                </c:pt>
                <c:pt idx="280">
                  <c:v>-154.5447238827372</c:v>
                </c:pt>
                <c:pt idx="281">
                  <c:v>-155.50790962496137</c:v>
                </c:pt>
                <c:pt idx="282">
                  <c:v>-156.47429367143619</c:v>
                </c:pt>
                <c:pt idx="283">
                  <c:v>-157.4436557979478</c:v>
                </c:pt>
                <c:pt idx="284">
                  <c:v>-158.41578251203751</c:v>
                </c:pt>
                <c:pt idx="285">
                  <c:v>-159.39046742753783</c:v>
                </c:pt>
                <c:pt idx="286">
                  <c:v>-160.3675115745946</c:v>
                </c:pt>
                <c:pt idx="287">
                  <c:v>-161.34672364316324</c:v>
                </c:pt>
                <c:pt idx="288">
                  <c:v>-162.3279201585429</c:v>
                </c:pt>
                <c:pt idx="289">
                  <c:v>-163.31092558812179</c:v>
                </c:pt>
                <c:pt idx="290">
                  <c:v>-164.29557237909344</c:v>
                </c:pt>
                <c:pt idx="291">
                  <c:v>-165.28170092747283</c:v>
                </c:pt>
                <c:pt idx="292">
                  <c:v>-166.2691594793225</c:v>
                </c:pt>
                <c:pt idx="293">
                  <c:v>-167.25780396560725</c:v>
                </c:pt>
                <c:pt idx="294">
                  <c:v>-168.24749777263773</c:v>
                </c:pt>
                <c:pt idx="295">
                  <c:v>-169.23811145051738</c:v>
                </c:pt>
                <c:pt idx="296">
                  <c:v>-170.22952236247565</c:v>
                </c:pt>
                <c:pt idx="297">
                  <c:v>-171.22161427836593</c:v>
                </c:pt>
                <c:pt idx="298">
                  <c:v>-172.21427691600218</c:v>
                </c:pt>
                <c:pt idx="299">
                  <c:v>-173.20740543433047</c:v>
                </c:pt>
                <c:pt idx="300">
                  <c:v>-174.20089988275694</c:v>
                </c:pt>
                <c:pt idx="301">
                  <c:v>-175.19466461119936</c:v>
                </c:pt>
                <c:pt idx="302">
                  <c:v>-176.1886076456905</c:v>
                </c:pt>
                <c:pt idx="303">
                  <c:v>-177.18264003453342</c:v>
                </c:pt>
                <c:pt idx="304">
                  <c:v>-178.17667517019731</c:v>
                </c:pt>
                <c:pt idx="305">
                  <c:v>-179.1706280922624</c:v>
                </c:pt>
                <c:pt idx="306">
                  <c:v>179.83558522316625</c:v>
                </c:pt>
                <c:pt idx="307">
                  <c:v>178.84204858209068</c:v>
                </c:pt>
                <c:pt idx="308">
                  <c:v>177.84884629376378</c:v>
                </c:pt>
                <c:pt idx="309">
                  <c:v>176.85606388880154</c:v>
                </c:pt>
                <c:pt idx="310">
                  <c:v>175.86378882873632</c:v>
                </c:pt>
                <c:pt idx="311">
                  <c:v>174.87211120152722</c:v>
                </c:pt>
                <c:pt idx="312">
                  <c:v>173.8811243976196</c:v>
                </c:pt>
                <c:pt idx="313">
                  <c:v>172.89092576125597</c:v>
                </c:pt>
                <c:pt idx="314">
                  <c:v>171.90161721186948</c:v>
                </c:pt>
                <c:pt idx="315">
                  <c:v>170.91330583057044</c:v>
                </c:pt>
                <c:pt idx="316">
                  <c:v>169.92610440692994</c:v>
                </c:pt>
                <c:pt idx="317">
                  <c:v>168.94013194150961</c:v>
                </c:pt>
                <c:pt idx="318">
                  <c:v>167.95551409985544</c:v>
                </c:pt>
                <c:pt idx="319">
                  <c:v>166.97238361398396</c:v>
                </c:pt>
                <c:pt idx="320">
                  <c:v>165.99088062772967</c:v>
                </c:pt>
                <c:pt idx="321">
                  <c:v>165.01115298271156</c:v>
                </c:pt>
                <c:pt idx="322">
                  <c:v>164.03335644208792</c:v>
                </c:pt>
                <c:pt idx="323">
                  <c:v>163.05765484971906</c:v>
                </c:pt>
                <c:pt idx="324">
                  <c:v>162.08422022284404</c:v>
                </c:pt>
                <c:pt idx="325">
                  <c:v>161.11323277689308</c:v>
                </c:pt>
                <c:pt idx="326">
                  <c:v>160.14488088159302</c:v>
                </c:pt>
                <c:pt idx="327">
                  <c:v>159.1793609480836</c:v>
                </c:pt>
                <c:pt idx="328">
                  <c:v>158.21687724735267</c:v>
                </c:pt>
                <c:pt idx="329">
                  <c:v>157.25764166087251</c:v>
                </c:pt>
                <c:pt idx="330">
                  <c:v>156.30187336493429</c:v>
                </c:pt>
                <c:pt idx="331">
                  <c:v>155.34979845075134</c:v>
                </c:pt>
                <c:pt idx="332">
                  <c:v>154.40164948300406</c:v>
                </c:pt>
                <c:pt idx="333">
                  <c:v>153.45766500004979</c:v>
                </c:pt>
                <c:pt idx="334">
                  <c:v>152.51808895957458</c:v>
                </c:pt>
                <c:pt idx="335">
                  <c:v>151.58317013396345</c:v>
                </c:pt>
                <c:pt idx="336">
                  <c:v>150.65316146013532</c:v>
                </c:pt>
                <c:pt idx="337">
                  <c:v>149.72831934900319</c:v>
                </c:pt>
                <c:pt idx="338">
                  <c:v>148.80890296008812</c:v>
                </c:pt>
                <c:pt idx="339">
                  <c:v>147.89517344711103</c:v>
                </c:pt>
                <c:pt idx="340">
                  <c:v>146.98739318062775</c:v>
                </c:pt>
                <c:pt idx="341">
                  <c:v>146.08582495392741</c:v>
                </c:pt>
                <c:pt idx="342">
                  <c:v>145.19073117852091</c:v>
                </c:pt>
                <c:pt idx="343">
                  <c:v>144.3023730755541</c:v>
                </c:pt>
                <c:pt idx="344">
                  <c:v>143.42100986942538</c:v>
                </c:pt>
                <c:pt idx="345">
                  <c:v>142.54689798976563</c:v>
                </c:pt>
                <c:pt idx="346">
                  <c:v>141.68029028773108</c:v>
                </c:pt>
                <c:pt idx="347">
                  <c:v>140.82143527230772</c:v>
                </c:pt>
                <c:pt idx="348">
                  <c:v>139.97057637197955</c:v>
                </c:pt>
                <c:pt idx="349">
                  <c:v>139.12795122675766</c:v>
                </c:pt>
                <c:pt idx="350">
                  <c:v>138.29379101512154</c:v>
                </c:pt>
                <c:pt idx="351">
                  <c:v>137.46831981995726</c:v>
                </c:pt>
                <c:pt idx="352">
                  <c:v>136.65175403708284</c:v>
                </c:pt>
                <c:pt idx="353">
                  <c:v>135.8443018294231</c:v>
                </c:pt>
                <c:pt idx="354">
                  <c:v>135.04616262935266</c:v>
                </c:pt>
                <c:pt idx="355">
                  <c:v>134.25752669118862</c:v>
                </c:pt>
                <c:pt idx="356">
                  <c:v>133.47857469525735</c:v>
                </c:pt>
                <c:pt idx="357">
                  <c:v>132.70947740443862</c:v>
                </c:pt>
                <c:pt idx="358">
                  <c:v>131.95039537355697</c:v>
                </c:pt>
                <c:pt idx="359">
                  <c:v>131.20147871150419</c:v>
                </c:pt>
                <c:pt idx="360">
                  <c:v>130.46286689550411</c:v>
                </c:pt>
                <c:pt idx="361">
                  <c:v>129.73468863649546</c:v>
                </c:pt>
                <c:pt idx="362">
                  <c:v>129.01706179421535</c:v>
                </c:pt>
                <c:pt idx="363">
                  <c:v>128.31009334020234</c:v>
                </c:pt>
                <c:pt idx="364">
                  <c:v>127.61387936662696</c:v>
                </c:pt>
                <c:pt idx="365">
                  <c:v>126.92850513858664</c:v>
                </c:pt>
                <c:pt idx="366">
                  <c:v>126.2540451872643</c:v>
                </c:pt>
                <c:pt idx="367">
                  <c:v>125.59056344117941</c:v>
                </c:pt>
                <c:pt idx="368">
                  <c:v>124.9381133926012</c:v>
                </c:pt>
                <c:pt idx="369">
                  <c:v>124.29673829610275</c:v>
                </c:pt>
                <c:pt idx="370">
                  <c:v>123.66647139616707</c:v>
                </c:pt>
                <c:pt idx="371">
                  <c:v>123.04733618072156</c:v>
                </c:pt>
                <c:pt idx="372">
                  <c:v>122.43934665749187</c:v>
                </c:pt>
                <c:pt idx="373">
                  <c:v>121.84250765009325</c:v>
                </c:pt>
                <c:pt idx="374">
                  <c:v>121.25681511083774</c:v>
                </c:pt>
                <c:pt idx="375">
                  <c:v>120.68225644732401</c:v>
                </c:pt>
                <c:pt idx="376">
                  <c:v>120.11881085997368</c:v>
                </c:pt>
                <c:pt idx="377">
                  <c:v>119.5664496878052</c:v>
                </c:pt>
                <c:pt idx="378">
                  <c:v>119.02513675986253</c:v>
                </c:pt>
                <c:pt idx="379">
                  <c:v>118.49482874986552</c:v>
                </c:pt>
                <c:pt idx="380">
                  <c:v>117.97547553179776</c:v>
                </c:pt>
                <c:pt idx="381">
                  <c:v>117.46702053430649</c:v>
                </c:pt>
                <c:pt idx="382">
                  <c:v>116.96940109194388</c:v>
                </c:pt>
                <c:pt idx="383">
                  <c:v>116.48254879144888</c:v>
                </c:pt>
                <c:pt idx="384">
                  <c:v>116.00638981141584</c:v>
                </c:pt>
                <c:pt idx="385">
                  <c:v>115.54084525386577</c:v>
                </c:pt>
                <c:pt idx="386">
                  <c:v>115.0858314663773</c:v>
                </c:pt>
                <c:pt idx="387">
                  <c:v>114.6412603535895</c:v>
                </c:pt>
                <c:pt idx="388">
                  <c:v>114.20703967702734</c:v>
                </c:pt>
                <c:pt idx="389">
                  <c:v>113.78307334233631</c:v>
                </c:pt>
                <c:pt idx="390">
                  <c:v>113.36926167314141</c:v>
                </c:pt>
                <c:pt idx="391">
                  <c:v>112.96550167086386</c:v>
                </c:pt>
                <c:pt idx="392">
                  <c:v>112.57168725994478</c:v>
                </c:pt>
                <c:pt idx="393">
                  <c:v>112.18770951803143</c:v>
                </c:pt>
                <c:pt idx="394">
                  <c:v>111.81345689077467</c:v>
                </c:pt>
                <c:pt idx="395">
                  <c:v>111.4488153909857</c:v>
                </c:pt>
                <c:pt idx="396">
                  <c:v>111.09366878197631</c:v>
                </c:pt>
                <c:pt idx="397">
                  <c:v>110.74789874499245</c:v>
                </c:pt>
                <c:pt idx="398">
                  <c:v>110.41138503071868</c:v>
                </c:pt>
                <c:pt idx="399">
                  <c:v>110.08400559490079</c:v>
                </c:pt>
                <c:pt idx="400">
                  <c:v>109.76563671819524</c:v>
                </c:pt>
                <c:pt idx="401">
                  <c:v>109.45615311041328</c:v>
                </c:pt>
                <c:pt idx="402">
                  <c:v>109.15542799938351</c:v>
                </c:pt>
                <c:pt idx="403">
                  <c:v>108.86333320470719</c:v>
                </c:pt>
                <c:pt idx="404">
                  <c:v>108.57973919673326</c:v>
                </c:pt>
                <c:pt idx="405">
                  <c:v>108.30451514112742</c:v>
                </c:pt>
                <c:pt idx="406">
                  <c:v>108.03752892945818</c:v>
                </c:pt>
                <c:pt idx="407">
                  <c:v>107.77864719627148</c:v>
                </c:pt>
                <c:pt idx="408">
                  <c:v>107.52773532317305</c:v>
                </c:pt>
                <c:pt idx="409">
                  <c:v>107.28465743048504</c:v>
                </c:pt>
                <c:pt idx="410">
                  <c:v>107.04927635710175</c:v>
                </c:pt>
                <c:pt idx="411">
                  <c:v>106.82145362921129</c:v>
                </c:pt>
                <c:pt idx="412">
                  <c:v>106.60104941861117</c:v>
                </c:pt>
                <c:pt idx="413">
                  <c:v>106.38792249140641</c:v>
                </c:pt>
                <c:pt idx="414">
                  <c:v>106.18193014793144</c:v>
                </c:pt>
                <c:pt idx="415">
                  <c:v>105.98292815480545</c:v>
                </c:pt>
                <c:pt idx="416">
                  <c:v>105.79077067009955</c:v>
                </c:pt>
                <c:pt idx="417">
                  <c:v>105.60531016265608</c:v>
                </c:pt>
                <c:pt idx="418">
                  <c:v>105.42639732668096</c:v>
                </c:pt>
                <c:pt idx="419">
                  <c:v>105.2538809928021</c:v>
                </c:pt>
                <c:pt idx="420">
                  <c:v>105.08760803686044</c:v>
                </c:pt>
                <c:pt idx="421">
                  <c:v>104.92742328778476</c:v>
                </c:pt>
                <c:pt idx="422">
                  <c:v>104.77316943597631</c:v>
                </c:pt>
                <c:pt idx="423">
                  <c:v>104.62468694370945</c:v>
                </c:pt>
                <c:pt idx="424">
                  <c:v>104.48181395913298</c:v>
                </c:pt>
                <c:pt idx="425">
                  <c:v>104.34438623552934</c:v>
                </c:pt>
                <c:pt idx="426">
                  <c:v>104.21223705756152</c:v>
                </c:pt>
                <c:pt idx="427">
                  <c:v>104.08519717630165</c:v>
                </c:pt>
                <c:pt idx="428">
                  <c:v>103.9630947548887</c:v>
                </c:pt>
                <c:pt idx="429">
                  <c:v>103.84575532671579</c:v>
                </c:pt>
                <c:pt idx="430">
                  <c:v>103.73300176807589</c:v>
                </c:pt>
                <c:pt idx="431">
                  <c:v>103.62465428721758</c:v>
                </c:pt>
                <c:pt idx="432">
                  <c:v>103.52053043176946</c:v>
                </c:pt>
                <c:pt idx="433">
                  <c:v>103.42044511646705</c:v>
                </c:pt>
                <c:pt idx="434">
                  <c:v>103.32421067309168</c:v>
                </c:pt>
                <c:pt idx="435">
                  <c:v>103.23163692445426</c:v>
                </c:pt>
                <c:pt idx="436">
                  <c:v>103.14253128418198</c:v>
                </c:pt>
                <c:pt idx="437">
                  <c:v>103.05669888394431</c:v>
                </c:pt>
                <c:pt idx="438">
                  <c:v>102.97394272960321</c:v>
                </c:pt>
                <c:pt idx="439">
                  <c:v>102.89406388760464</c:v>
                </c:pt>
                <c:pt idx="440">
                  <c:v>102.81686170270764</c:v>
                </c:pt>
                <c:pt idx="441">
                  <c:v>102.74213404790602</c:v>
                </c:pt>
                <c:pt idx="442">
                  <c:v>102.66967760712205</c:v>
                </c:pt>
                <c:pt idx="443">
                  <c:v>102.5992881909354</c:v>
                </c:pt>
                <c:pt idx="444">
                  <c:v>102.53076108527419</c:v>
                </c:pt>
                <c:pt idx="445">
                  <c:v>102.46389143262095</c:v>
                </c:pt>
                <c:pt idx="446">
                  <c:v>102.39847464489144</c:v>
                </c:pt>
                <c:pt idx="447">
                  <c:v>102.33430684672581</c:v>
                </c:pt>
                <c:pt idx="448">
                  <c:v>102.27118534750051</c:v>
                </c:pt>
                <c:pt idx="449">
                  <c:v>102.20890913991693</c:v>
                </c:pt>
                <c:pt idx="450">
                  <c:v>102.14727942258686</c:v>
                </c:pt>
                <c:pt idx="451">
                  <c:v>102.08610014357082</c:v>
                </c:pt>
                <c:pt idx="452">
                  <c:v>102.02517856140865</c:v>
                </c:pt>
                <c:pt idx="453">
                  <c:v>101.96432581975806</c:v>
                </c:pt>
                <c:pt idx="454">
                  <c:v>101.90335753136819</c:v>
                </c:pt>
                <c:pt idx="455">
                  <c:v>101.84209436677573</c:v>
                </c:pt>
                <c:pt idx="456">
                  <c:v>101.78036264279895</c:v>
                </c:pt>
                <c:pt idx="457">
                  <c:v>101.71799490566457</c:v>
                </c:pt>
                <c:pt idx="458">
                  <c:v>101.65483050341096</c:v>
                </c:pt>
                <c:pt idx="459">
                  <c:v>101.59071614209994</c:v>
                </c:pt>
                <c:pt idx="460">
                  <c:v>101.52550642032537</c:v>
                </c:pt>
                <c:pt idx="461">
                  <c:v>101.45906433654427</c:v>
                </c:pt>
                <c:pt idx="462">
                  <c:v>101.39126176388179</c:v>
                </c:pt>
                <c:pt idx="463">
                  <c:v>101.3219798872601</c:v>
                </c:pt>
                <c:pt idx="464">
                  <c:v>101.2511095979965</c:v>
                </c:pt>
                <c:pt idx="465">
                  <c:v>101.17855184137696</c:v>
                </c:pt>
                <c:pt idx="466">
                  <c:v>101.10421791316553</c:v>
                </c:pt>
                <c:pt idx="467">
                  <c:v>101.02802970151812</c:v>
                </c:pt>
                <c:pt idx="468">
                  <c:v>100.94991987135717</c:v>
                </c:pt>
                <c:pt idx="469">
                  <c:v>100.86983198887904</c:v>
                </c:pt>
                <c:pt idx="470">
                  <c:v>100.78772058456515</c:v>
                </c:pt>
                <c:pt idx="471">
                  <c:v>100.70355115373881</c:v>
                </c:pt>
                <c:pt idx="472">
                  <c:v>100.6173000944647</c:v>
                </c:pt>
                <c:pt idx="473">
                  <c:v>100.52895458328598</c:v>
                </c:pt>
                <c:pt idx="474">
                  <c:v>100.43851239002433</c:v>
                </c:pt>
                <c:pt idx="475">
                  <c:v>100.34598163356176</c:v>
                </c:pt>
                <c:pt idx="476">
                  <c:v>100.2513804811784</c:v>
                </c:pt>
                <c:pt idx="477">
                  <c:v>100.15473679462879</c:v>
                </c:pt>
                <c:pt idx="478">
                  <c:v>100.05608772671691</c:v>
                </c:pt>
                <c:pt idx="479">
                  <c:v>99.955479272586246</c:v>
                </c:pt>
                <c:pt idx="480">
                  <c:v>99.852965780399074</c:v>
                </c:pt>
                <c:pt idx="481">
                  <c:v>99.748609426386153</c:v>
                </c:pt>
                <c:pt idx="482">
                  <c:v>99.642479659521285</c:v>
                </c:pt>
                <c:pt idx="483">
                  <c:v>99.534652621258218</c:v>
                </c:pt>
                <c:pt idx="484">
                  <c:v>99.425210545831646</c:v>
                </c:pt>
                <c:pt idx="485">
                  <c:v>99.314241146665012</c:v>
                </c:pt>
                <c:pt idx="486">
                  <c:v>99.201836994335636</c:v>
                </c:pt>
                <c:pt idx="487">
                  <c:v>99.08809489142115</c:v>
                </c:pt>
                <c:pt idx="488">
                  <c:v>98.973115249336544</c:v>
                </c:pt>
                <c:pt idx="489">
                  <c:v>98.857001472001201</c:v>
                </c:pt>
                <c:pt idx="490">
                  <c:v>98.739859350872251</c:v>
                </c:pt>
                <c:pt idx="491">
                  <c:v>98.621796475498869</c:v>
                </c:pt>
                <c:pt idx="492">
                  <c:v>98.502921663373172</c:v>
                </c:pt>
                <c:pt idx="493">
                  <c:v>98.383344412425458</c:v>
                </c:pt>
                <c:pt idx="494">
                  <c:v>98.263174379081249</c:v>
                </c:pt>
                <c:pt idx="495">
                  <c:v>98.142520884348102</c:v>
                </c:pt>
                <c:pt idx="496">
                  <c:v>98.02149244996113</c:v>
                </c:pt>
                <c:pt idx="497">
                  <c:v>97.900196366173034</c:v>
                </c:pt>
                <c:pt idx="498">
                  <c:v>97.778738292359819</c:v>
                </c:pt>
                <c:pt idx="499">
                  <c:v>97.657221891199285</c:v>
                </c:pt>
                <c:pt idx="500">
                  <c:v>97.535748496803762</c:v>
                </c:pt>
                <c:pt idx="501">
                  <c:v>97.414416816830609</c:v>
                </c:pt>
                <c:pt idx="502">
                  <c:v>97.293322668276218</c:v>
                </c:pt>
                <c:pt idx="503">
                  <c:v>97.172558746357325</c:v>
                </c:pt>
                <c:pt idx="504">
                  <c:v>97.052214425634048</c:v>
                </c:pt>
                <c:pt idx="505">
                  <c:v>96.932375592300303</c:v>
                </c:pt>
                <c:pt idx="506">
                  <c:v>96.813124506374905</c:v>
                </c:pt>
                <c:pt idx="507">
                  <c:v>96.694539692369247</c:v>
                </c:pt>
                <c:pt idx="508">
                  <c:v>96.576695856882552</c:v>
                </c:pt>
                <c:pt idx="509">
                  <c:v>96.459663831475581</c:v>
                </c:pt>
                <c:pt idx="510">
                  <c:v>96.343510539108834</c:v>
                </c:pt>
                <c:pt idx="511">
                  <c:v>96.228298982383038</c:v>
                </c:pt>
                <c:pt idx="512">
                  <c:v>96.114088251807885</c:v>
                </c:pt>
                <c:pt idx="513">
                  <c:v>96.00093355232012</c:v>
                </c:pt>
                <c:pt idx="514">
                  <c:v>95.888886246295186</c:v>
                </c:pt>
                <c:pt idx="515">
                  <c:v>95.777993911337006</c:v>
                </c:pt>
                <c:pt idx="516">
                  <c:v>95.668300411170947</c:v>
                </c:pt>
                <c:pt idx="517">
                  <c:v>95.559845978040826</c:v>
                </c:pt>
                <c:pt idx="518">
                  <c:v>95.452667305067692</c:v>
                </c:pt>
                <c:pt idx="519">
                  <c:v>95.346797647119956</c:v>
                </c:pt>
                <c:pt idx="520">
                  <c:v>95.242266928814772</c:v>
                </c:pt>
                <c:pt idx="521">
                  <c:v>95.139101858373451</c:v>
                </c:pt>
                <c:pt idx="522">
                  <c:v>95.037326046128143</c:v>
                </c:pt>
                <c:pt idx="523">
                  <c:v>94.936960126580303</c:v>
                </c:pt>
                <c:pt idx="524">
                  <c:v>94.838021882994241</c:v>
                </c:pt>
                <c:pt idx="525">
                  <c:v>94.740526373600588</c:v>
                </c:pt>
                <c:pt idx="526">
                  <c:v>94.64448605857379</c:v>
                </c:pt>
                <c:pt idx="527">
                  <c:v>94.549910927027184</c:v>
                </c:pt>
                <c:pt idx="528">
                  <c:v>94.456808623355215</c:v>
                </c:pt>
                <c:pt idx="529">
                  <c:v>94.365184572324168</c:v>
                </c:pt>
                <c:pt idx="530">
                  <c:v>94.275042102391012</c:v>
                </c:pt>
                <c:pt idx="531">
                  <c:v>94.186382566794634</c:v>
                </c:pt>
                <c:pt idx="532">
                  <c:v>94.099205462028522</c:v>
                </c:pt>
                <c:pt idx="533">
                  <c:v>94.013508543364182</c:v>
                </c:pt>
                <c:pt idx="534">
                  <c:v>93.929287937151344</c:v>
                </c:pt>
                <c:pt idx="535">
                  <c:v>93.846538249664633</c:v>
                </c:pt>
                <c:pt idx="536">
                  <c:v>93.765252672323058</c:v>
                </c:pt>
                <c:pt idx="537">
                  <c:v>93.685423083140066</c:v>
                </c:pt>
                <c:pt idx="538">
                  <c:v>93.607040144306126</c:v>
                </c:pt>
                <c:pt idx="539">
                  <c:v>93.530093395838605</c:v>
                </c:pt>
                <c:pt idx="540">
                  <c:v>93.454571345261769</c:v>
                </c:pt>
                <c:pt idx="541">
                  <c:v>93.380461553308251</c:v>
                </c:pt>
              </c:numCache>
            </c:numRef>
          </c:yVal>
          <c:smooth val="1"/>
          <c:extLst>
            <c:ext xmlns:c16="http://schemas.microsoft.com/office/drawing/2014/chart" uri="{C3380CC4-5D6E-409C-BE32-E72D297353CC}">
              <c16:uniqueId val="{00000001-1B3F-4802-9751-4D21F96C72BF}"/>
            </c:ext>
          </c:extLst>
        </c:ser>
        <c:dLbls>
          <c:showLegendKey val="0"/>
          <c:showVal val="0"/>
          <c:showCatName val="0"/>
          <c:showSerName val="0"/>
          <c:showPercent val="0"/>
          <c:showBubbleSize val="0"/>
        </c:dLbls>
        <c:axId val="385829504"/>
        <c:axId val="385827968"/>
      </c:scatterChart>
      <c:valAx>
        <c:axId val="385819776"/>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85821696"/>
        <c:crosses val="autoZero"/>
        <c:crossBetween val="midCat"/>
      </c:valAx>
      <c:valAx>
        <c:axId val="385821696"/>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85819776"/>
        <c:crosses val="autoZero"/>
        <c:crossBetween val="midCat"/>
        <c:majorUnit val="20"/>
        <c:minorUnit val="10"/>
      </c:valAx>
      <c:valAx>
        <c:axId val="385827968"/>
        <c:scaling>
          <c:orientation val="minMax"/>
          <c:max val="180"/>
          <c:min val="-180"/>
        </c:scaling>
        <c:delete val="0"/>
        <c:axPos val="r"/>
        <c:numFmt formatCode="General" sourceLinked="1"/>
        <c:majorTickMark val="out"/>
        <c:minorTickMark val="none"/>
        <c:tickLblPos val="nextTo"/>
        <c:crossAx val="385829504"/>
        <c:crosses val="max"/>
        <c:crossBetween val="midCat"/>
        <c:majorUnit val="90"/>
        <c:minorUnit val="45"/>
      </c:valAx>
      <c:valAx>
        <c:axId val="385829504"/>
        <c:scaling>
          <c:logBase val="10"/>
          <c:orientation val="minMax"/>
        </c:scaling>
        <c:delete val="1"/>
        <c:axPos val="b"/>
        <c:numFmt formatCode="0.00" sourceLinked="1"/>
        <c:majorTickMark val="out"/>
        <c:minorTickMark val="none"/>
        <c:tickLblPos val="nextTo"/>
        <c:crossAx val="385827968"/>
        <c:crosses val="autoZero"/>
        <c:crossBetween val="midCat"/>
      </c:valAx>
    </c:plotArea>
    <c:legend>
      <c:legendPos val="r"/>
      <c:layout>
        <c:manualLayout>
          <c:xMode val="edge"/>
          <c:yMode val="edge"/>
          <c:x val="0.79880558209512509"/>
          <c:y val="0.14321997959862004"/>
          <c:w val="0.13459449276057311"/>
          <c:h val="0.10691609861199437"/>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Error</a:t>
            </a:r>
            <a:r>
              <a:rPr lang="en-US" baseline="0"/>
              <a:t> Amplifier Transfer</a:t>
            </a:r>
          </a:p>
        </c:rich>
      </c:tx>
      <c:overlay val="0"/>
    </c:title>
    <c:autoTitleDeleted val="0"/>
    <c:plotArea>
      <c:layout/>
      <c:scatterChart>
        <c:scatterStyle val="smoothMarker"/>
        <c:varyColors val="0"/>
        <c:ser>
          <c:idx val="0"/>
          <c:order val="0"/>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CCM_Loop_Modeling_non_isolated!$AQ$19:$AQ$560</c:f>
              <c:numCache>
                <c:formatCode>General</c:formatCode>
                <c:ptCount val="542"/>
                <c:pt idx="0">
                  <c:v>51.123714307072717</c:v>
                </c:pt>
                <c:pt idx="1">
                  <c:v>50.923894953614621</c:v>
                </c:pt>
                <c:pt idx="2">
                  <c:v>50.724084105311235</c:v>
                </c:pt>
                <c:pt idx="3">
                  <c:v>50.524282162183241</c:v>
                </c:pt>
                <c:pt idx="4">
                  <c:v>50.324489543025372</c:v>
                </c:pt>
                <c:pt idx="5">
                  <c:v>50.124706686283325</c:v>
                </c:pt>
                <c:pt idx="6">
                  <c:v>49.924934050971942</c:v>
                </c:pt>
                <c:pt idx="7">
                  <c:v>49.725172117635168</c:v>
                </c:pt>
                <c:pt idx="8">
                  <c:v>49.525421389351237</c:v>
                </c:pt>
                <c:pt idx="9">
                  <c:v>49.325682392783094</c:v>
                </c:pt>
                <c:pt idx="10">
                  <c:v>49.125955679278633</c:v>
                </c:pt>
                <c:pt idx="11">
                  <c:v>48.926241826020544</c:v>
                </c:pt>
                <c:pt idx="12">
                  <c:v>48.726541437229585</c:v>
                </c:pt>
                <c:pt idx="13">
                  <c:v>48.526855145423291</c:v>
                </c:pt>
                <c:pt idx="14">
                  <c:v>48.327183612732078</c:v>
                </c:pt>
                <c:pt idx="15">
                  <c:v>48.127527532276055</c:v>
                </c:pt>
                <c:pt idx="16">
                  <c:v>47.927887629604847</c:v>
                </c:pt>
                <c:pt idx="17">
                  <c:v>47.728264664203259</c:v>
                </c:pt>
                <c:pt idx="18">
                  <c:v>47.528659431065527</c:v>
                </c:pt>
                <c:pt idx="19">
                  <c:v>47.329072762341937</c:v>
                </c:pt>
                <c:pt idx="20">
                  <c:v>47.129505529059642</c:v>
                </c:pt>
                <c:pt idx="21">
                  <c:v>46.929958642922415</c:v>
                </c:pt>
                <c:pt idx="22">
                  <c:v>46.730433058191679</c:v>
                </c:pt>
                <c:pt idx="23">
                  <c:v>46.530929773653178</c:v>
                </c:pt>
                <c:pt idx="24">
                  <c:v>46.331449834671758</c:v>
                </c:pt>
                <c:pt idx="25">
                  <c:v>46.131994335339868</c:v>
                </c:pt>
                <c:pt idx="26">
                  <c:v>45.932564420722137</c:v>
                </c:pt>
                <c:pt idx="27">
                  <c:v>45.733161289200993</c:v>
                </c:pt>
                <c:pt idx="28">
                  <c:v>45.53378619492765</c:v>
                </c:pt>
                <c:pt idx="29">
                  <c:v>45.334440450381933</c:v>
                </c:pt>
                <c:pt idx="30">
                  <c:v>45.135125429047314</c:v>
                </c:pt>
                <c:pt idx="31">
                  <c:v>44.935842568204279</c:v>
                </c:pt>
                <c:pt idx="32">
                  <c:v>44.736593371847526</c:v>
                </c:pt>
                <c:pt idx="33">
                  <c:v>44.537379413732353</c:v>
                </c:pt>
                <c:pt idx="34">
                  <c:v>44.338202340555426</c:v>
                </c:pt>
                <c:pt idx="35">
                  <c:v>44.139063875274829</c:v>
                </c:pt>
                <c:pt idx="36">
                  <c:v>43.939965820575836</c:v>
                </c:pt>
                <c:pt idx="37">
                  <c:v>43.740910062487828</c:v>
                </c:pt>
                <c:pt idx="38">
                  <c:v>43.541898574157685</c:v>
                </c:pt>
                <c:pt idx="39">
                  <c:v>43.342933419787606</c:v>
                </c:pt>
                <c:pt idx="40">
                  <c:v>43.144016758741131</c:v>
                </c:pt>
                <c:pt idx="41">
                  <c:v>42.945150849826192</c:v>
                </c:pt>
                <c:pt idx="42">
                  <c:v>42.746338055760482</c:v>
                </c:pt>
                <c:pt idx="43">
                  <c:v>42.547580847826538</c:v>
                </c:pt>
                <c:pt idx="44">
                  <c:v>42.348881810723206</c:v>
                </c:pt>
                <c:pt idx="45">
                  <c:v>42.150243647620712</c:v>
                </c:pt>
                <c:pt idx="46">
                  <c:v>41.951669185426951</c:v>
                </c:pt>
                <c:pt idx="47">
                  <c:v>41.753161380271521</c:v>
                </c:pt>
                <c:pt idx="48">
                  <c:v>41.554723323216194</c:v>
                </c:pt>
                <c:pt idx="49">
                  <c:v>41.356358246198475</c:v>
                </c:pt>
                <c:pt idx="50">
                  <c:v>41.158069528216565</c:v>
                </c:pt>
                <c:pt idx="51">
                  <c:v>40.959860701762587</c:v>
                </c:pt>
                <c:pt idx="52">
                  <c:v>40.76173545951346</c:v>
                </c:pt>
                <c:pt idx="53">
                  <c:v>40.563697661285765</c:v>
                </c:pt>
                <c:pt idx="54">
                  <c:v>40.365751341262936</c:v>
                </c:pt>
                <c:pt idx="55">
                  <c:v>40.167900715502554</c:v>
                </c:pt>
                <c:pt idx="56">
                  <c:v>39.970150189731918</c:v>
                </c:pt>
                <c:pt idx="57">
                  <c:v>39.772504367438735</c:v>
                </c:pt>
                <c:pt idx="58">
                  <c:v>39.574968058263735</c:v>
                </c:pt>
                <c:pt idx="59">
                  <c:v>39.37754628670482</c:v>
                </c:pt>
                <c:pt idx="60">
                  <c:v>39.180244301136398</c:v>
                </c:pt>
                <c:pt idx="61">
                  <c:v>38.983067583153286</c:v>
                </c:pt>
                <c:pt idx="62">
                  <c:v>38.786021857243092</c:v>
                </c:pt>
                <c:pt idx="63">
                  <c:v>38.589113100794208</c:v>
                </c:pt>
                <c:pt idx="64">
                  <c:v>38.392347554444115</c:v>
                </c:pt>
                <c:pt idx="65">
                  <c:v>38.195731732771421</c:v>
                </c:pt>
                <c:pt idx="66">
                  <c:v>37.999272435337041</c:v>
                </c:pt>
                <c:pt idx="67">
                  <c:v>37.802976758075339</c:v>
                </c:pt>
                <c:pt idx="68">
                  <c:v>37.606852105038342</c:v>
                </c:pt>
                <c:pt idx="69">
                  <c:v>37.410906200493301</c:v>
                </c:pt>
                <c:pt idx="70">
                  <c:v>37.215147101372239</c:v>
                </c:pt>
                <c:pt idx="71">
                  <c:v>37.01958321007244</c:v>
                </c:pt>
                <c:pt idx="72">
                  <c:v>36.824223287603573</c:v>
                </c:pt>
                <c:pt idx="73">
                  <c:v>36.629076467075919</c:v>
                </c:pt>
                <c:pt idx="74">
                  <c:v>36.434152267522677</c:v>
                </c:pt>
                <c:pt idx="75">
                  <c:v>36.239460608046812</c:v>
                </c:pt>
                <c:pt idx="76">
                  <c:v>36.045011822279747</c:v>
                </c:pt>
                <c:pt idx="77">
                  <c:v>35.85081667313878</c:v>
                </c:pt>
                <c:pt idx="78">
                  <c:v>35.656886367864104</c:v>
                </c:pt>
                <c:pt idx="79">
                  <c:v>35.463232573316567</c:v>
                </c:pt>
                <c:pt idx="80">
                  <c:v>35.269867431511329</c:v>
                </c:pt>
                <c:pt idx="81">
                  <c:v>35.076803575360216</c:v>
                </c:pt>
                <c:pt idx="82">
                  <c:v>34.884054144591175</c:v>
                </c:pt>
                <c:pt idx="83">
                  <c:v>34.691632801809632</c:v>
                </c:pt>
                <c:pt idx="84">
                  <c:v>34.49955374866056</c:v>
                </c:pt>
                <c:pt idx="85">
                  <c:v>34.307831742046908</c:v>
                </c:pt>
                <c:pt idx="86">
                  <c:v>34.116482110353523</c:v>
                </c:pt>
                <c:pt idx="87">
                  <c:v>33.92552076962054</c:v>
                </c:pt>
                <c:pt idx="88">
                  <c:v>33.73496423960443</c:v>
                </c:pt>
                <c:pt idx="89">
                  <c:v>33.54482965965849</c:v>
                </c:pt>
                <c:pt idx="90">
                  <c:v>33.355134804357689</c:v>
                </c:pt>
                <c:pt idx="91">
                  <c:v>33.165898098786599</c:v>
                </c:pt>
                <c:pt idx="92">
                  <c:v>32.977138633400543</c:v>
                </c:pt>
                <c:pt idx="93">
                  <c:v>32.788876178364688</c:v>
                </c:pt>
                <c:pt idx="94">
                  <c:v>32.601131197265126</c:v>
                </c:pt>
                <c:pt idx="95">
                  <c:v>32.413924860080634</c:v>
                </c:pt>
                <c:pt idx="96">
                  <c:v>32.227279055293813</c:v>
                </c:pt>
                <c:pt idx="97">
                  <c:v>32.041216401012427</c:v>
                </c:pt>
                <c:pt idx="98">
                  <c:v>31.855760254963123</c:v>
                </c:pt>
                <c:pt idx="99">
                  <c:v>31.670934723211793</c:v>
                </c:pt>
                <c:pt idx="100">
                  <c:v>31.486764667454743</c:v>
                </c:pt>
                <c:pt idx="101">
                  <c:v>31.303275710718282</c:v>
                </c:pt>
                <c:pt idx="102">
                  <c:v>31.120494241295212</c:v>
                </c:pt>
                <c:pt idx="103">
                  <c:v>30.938447414738619</c:v>
                </c:pt>
                <c:pt idx="104">
                  <c:v>30.757163153727099</c:v>
                </c:pt>
                <c:pt idx="105">
                  <c:v>30.576670145607917</c:v>
                </c:pt>
                <c:pt idx="106">
                  <c:v>30.396997837418876</c:v>
                </c:pt>
                <c:pt idx="107">
                  <c:v>30.218176428185643</c:v>
                </c:pt>
                <c:pt idx="108">
                  <c:v>30.040236858285169</c:v>
                </c:pt>
                <c:pt idx="109">
                  <c:v>29.863210795666557</c:v>
                </c:pt>
                <c:pt idx="110">
                  <c:v>29.687130618715976</c:v>
                </c:pt>
                <c:pt idx="111">
                  <c:v>29.51202939555629</c:v>
                </c:pt>
                <c:pt idx="112">
                  <c:v>29.337940859572264</c:v>
                </c:pt>
                <c:pt idx="113">
                  <c:v>29.164899380957824</c:v>
                </c:pt>
                <c:pt idx="114">
                  <c:v>28.992939934089328</c:v>
                </c:pt>
                <c:pt idx="115">
                  <c:v>28.822098060537442</c:v>
                </c:pt>
                <c:pt idx="116">
                  <c:v>28.652409827543416</c:v>
                </c:pt>
                <c:pt idx="117">
                  <c:v>28.483911781800508</c:v>
                </c:pt>
                <c:pt idx="118">
                  <c:v>28.316640898399825</c:v>
                </c:pt>
                <c:pt idx="119">
                  <c:v>28.150634524821641</c:v>
                </c:pt>
                <c:pt idx="120">
                  <c:v>27.985930319877848</c:v>
                </c:pt>
                <c:pt idx="121">
                  <c:v>27.822566187540254</c:v>
                </c:pt>
                <c:pt idx="122">
                  <c:v>27.660580205620917</c:v>
                </c:pt>
                <c:pt idx="123">
                  <c:v>27.500010549305895</c:v>
                </c:pt>
                <c:pt idx="124">
                  <c:v>27.340895409582785</c:v>
                </c:pt>
                <c:pt idx="125">
                  <c:v>27.183272906643843</c:v>
                </c:pt>
                <c:pt idx="126">
                  <c:v>27.027180998390889</c:v>
                </c:pt>
                <c:pt idx="127">
                  <c:v>26.872657384215973</c:v>
                </c:pt>
                <c:pt idx="128">
                  <c:v>26.719739404280901</c:v>
                </c:pt>
                <c:pt idx="129">
                  <c:v>26.568463934569539</c:v>
                </c:pt>
                <c:pt idx="130">
                  <c:v>26.418867278040373</c:v>
                </c:pt>
                <c:pt idx="131">
                  <c:v>26.270985052258048</c:v>
                </c:pt>
                <c:pt idx="132">
                  <c:v>26.124852073936765</c:v>
                </c:pt>
                <c:pt idx="133">
                  <c:v>25.980502240879787</c:v>
                </c:pt>
                <c:pt idx="134">
                  <c:v>25.837968411850149</c:v>
                </c:pt>
                <c:pt idx="135">
                  <c:v>25.697282284953285</c:v>
                </c:pt>
                <c:pt idx="136">
                  <c:v>25.558474275159515</c:v>
                </c:pt>
                <c:pt idx="137">
                  <c:v>25.421573391631359</c:v>
                </c:pt>
                <c:pt idx="138">
                  <c:v>25.286607115556446</c:v>
                </c:pt>
                <c:pt idx="139">
                  <c:v>25.153601279215341</c:v>
                </c:pt>
                <c:pt idx="140">
                  <c:v>25.022579947033186</c:v>
                </c:pt>
                <c:pt idx="141">
                  <c:v>24.893565299381287</c:v>
                </c:pt>
                <c:pt idx="142">
                  <c:v>24.766577519895371</c:v>
                </c:pt>
                <c:pt idx="143">
                  <c:v>24.641634687078721</c:v>
                </c:pt>
                <c:pt idx="144">
                  <c:v>24.518752670941105</c:v>
                </c:pt>
                <c:pt idx="145">
                  <c:v>24.397945035406217</c:v>
                </c:pt>
                <c:pt idx="146">
                  <c:v>24.279222947185879</c:v>
                </c:pt>
                <c:pt idx="147">
                  <c:v>24.162595091779306</c:v>
                </c:pt>
                <c:pt idx="148">
                  <c:v>24.04806759720546</c:v>
                </c:pt>
                <c:pt idx="149">
                  <c:v>23.935643966018411</c:v>
                </c:pt>
                <c:pt idx="150">
                  <c:v>23.825325016088037</c:v>
                </c:pt>
                <c:pt idx="151">
                  <c:v>23.717108830555421</c:v>
                </c:pt>
                <c:pt idx="152">
                  <c:v>23.610990717293632</c:v>
                </c:pt>
                <c:pt idx="153">
                  <c:v>23.50696317811866</c:v>
                </c:pt>
                <c:pt idx="154">
                  <c:v>23.405015887908796</c:v>
                </c:pt>
                <c:pt idx="155">
                  <c:v>23.305135683699966</c:v>
                </c:pt>
                <c:pt idx="156">
                  <c:v>23.207306563735756</c:v>
                </c:pt>
                <c:pt idx="157">
                  <c:v>23.111509696357434</c:v>
                </c:pt>
                <c:pt idx="158">
                  <c:v>23.017723438533974</c:v>
                </c:pt>
                <c:pt idx="159">
                  <c:v>22.92592336374835</c:v>
                </c:pt>
                <c:pt idx="160">
                  <c:v>22.83608229887443</c:v>
                </c:pt>
                <c:pt idx="161">
                  <c:v>22.748170369607713</c:v>
                </c:pt>
                <c:pt idx="162">
                  <c:v>22.662155053944414</c:v>
                </c:pt>
                <c:pt idx="163">
                  <c:v>22.578001243148282</c:v>
                </c:pt>
                <c:pt idx="164">
                  <c:v>22.495671309592552</c:v>
                </c:pt>
                <c:pt idx="165">
                  <c:v>22.415125180823757</c:v>
                </c:pt>
                <c:pt idx="166">
                  <c:v>22.336320419167635</c:v>
                </c:pt>
                <c:pt idx="167">
                  <c:v>22.259212306171527</c:v>
                </c:pt>
                <c:pt idx="168">
                  <c:v>22.183753931171335</c:v>
                </c:pt>
                <c:pt idx="169">
                  <c:v>22.109896283268139</c:v>
                </c:pt>
                <c:pt idx="170">
                  <c:v>22.037588346008292</c:v>
                </c:pt>
                <c:pt idx="171">
                  <c:v>21.966777194079604</c:v>
                </c:pt>
                <c:pt idx="172">
                  <c:v>21.897408091359321</c:v>
                </c:pt>
                <c:pt idx="173">
                  <c:v>21.82942458968661</c:v>
                </c:pt>
                <c:pt idx="174">
                  <c:v>21.762768627767933</c:v>
                </c:pt>
                <c:pt idx="175">
                  <c:v>21.697380629674186</c:v>
                </c:pt>
                <c:pt idx="176">
                  <c:v>21.633199602435166</c:v>
                </c:pt>
                <c:pt idx="177">
                  <c:v>21.570163232294767</c:v>
                </c:pt>
                <c:pt idx="178">
                  <c:v>21.508207979246379</c:v>
                </c:pt>
                <c:pt idx="179">
                  <c:v>21.44726916952882</c:v>
                </c:pt>
                <c:pt idx="180">
                  <c:v>21.387281085824053</c:v>
                </c:pt>
                <c:pt idx="181">
                  <c:v>21.328177054958797</c:v>
                </c:pt>
                <c:pt idx="182">
                  <c:v>21.269889532973878</c:v>
                </c:pt>
                <c:pt idx="183">
                  <c:v>21.212350187484851</c:v>
                </c:pt>
                <c:pt idx="184">
                  <c:v>21.155489977314019</c:v>
                </c:pt>
                <c:pt idx="185">
                  <c:v>21.099239229430363</c:v>
                </c:pt>
                <c:pt idx="186">
                  <c:v>21.043527713285638</c:v>
                </c:pt>
                <c:pt idx="187">
                  <c:v>20.988284712682336</c:v>
                </c:pt>
                <c:pt idx="188">
                  <c:v>20.933439095354956</c:v>
                </c:pt>
                <c:pt idx="189">
                  <c:v>20.878919380484394</c:v>
                </c:pt>
                <c:pt idx="190">
                  <c:v>20.824653804401958</c:v>
                </c:pt>
                <c:pt idx="191">
                  <c:v>20.770570384768035</c:v>
                </c:pt>
                <c:pt idx="192">
                  <c:v>20.716596983536732</c:v>
                </c:pt>
                <c:pt idx="193">
                  <c:v>20.662661369036993</c:v>
                </c:pt>
                <c:pt idx="194">
                  <c:v>20.60869127751414</c:v>
                </c:pt>
                <c:pt idx="195">
                  <c:v>20.554614474485358</c:v>
                </c:pt>
                <c:pt idx="196">
                  <c:v>20.500358816265305</c:v>
                </c:pt>
                <c:pt idx="197">
                  <c:v>20.445852312014377</c:v>
                </c:pt>
                <c:pt idx="198">
                  <c:v>20.391023186655929</c:v>
                </c:pt>
                <c:pt idx="199">
                  <c:v>20.335799944992242</c:v>
                </c:pt>
                <c:pt idx="200">
                  <c:v>20.280111437332209</c:v>
                </c:pt>
                <c:pt idx="201">
                  <c:v>20.223886926916983</c:v>
                </c:pt>
                <c:pt idx="202">
                  <c:v>20.167056159401405</c:v>
                </c:pt>
                <c:pt idx="203">
                  <c:v>20.10954943461314</c:v>
                </c:pt>
                <c:pt idx="204">
                  <c:v>20.051297680772233</c:v>
                </c:pt>
                <c:pt idx="205">
                  <c:v>19.99223253130932</c:v>
                </c:pt>
                <c:pt idx="206">
                  <c:v>19.932286404373631</c:v>
                </c:pt>
                <c:pt idx="207">
                  <c:v>19.871392585068126</c:v>
                </c:pt>
                <c:pt idx="208">
                  <c:v>19.809485310396166</c:v>
                </c:pt>
                <c:pt idx="209">
                  <c:v>19.746499856845304</c:v>
                </c:pt>
                <c:pt idx="210">
                  <c:v>19.682372630474131</c:v>
                </c:pt>
                <c:pt idx="211">
                  <c:v>19.617041259308404</c:v>
                </c:pt>
                <c:pt idx="212">
                  <c:v>19.55044468778949</c:v>
                </c:pt>
                <c:pt idx="213">
                  <c:v>19.482523272958503</c:v>
                </c:pt>
                <c:pt idx="214">
                  <c:v>19.413218881998972</c:v>
                </c:pt>
                <c:pt idx="215">
                  <c:v>19.342474990702364</c:v>
                </c:pt>
                <c:pt idx="216">
                  <c:v>19.270236782366883</c:v>
                </c:pt>
                <c:pt idx="217">
                  <c:v>19.196451246588119</c:v>
                </c:pt>
                <c:pt idx="218">
                  <c:v>19.121067277354072</c:v>
                </c:pt>
                <c:pt idx="219">
                  <c:v>19.044035769817203</c:v>
                </c:pt>
                <c:pt idx="220">
                  <c:v>18.965309715081855</c:v>
                </c:pt>
                <c:pt idx="221">
                  <c:v>18.884844292320157</c:v>
                </c:pt>
                <c:pt idx="222">
                  <c:v>18.802596957510367</c:v>
                </c:pt>
                <c:pt idx="223">
                  <c:v>18.718527528084486</c:v>
                </c:pt>
                <c:pt idx="224">
                  <c:v>18.632598262770291</c:v>
                </c:pt>
                <c:pt idx="225">
                  <c:v>18.54477393592482</c:v>
                </c:pt>
                <c:pt idx="226">
                  <c:v>18.455021905675736</c:v>
                </c:pt>
                <c:pt idx="227">
                  <c:v>18.363312175216233</c:v>
                </c:pt>
                <c:pt idx="228">
                  <c:v>18.269617446640368</c:v>
                </c:pt>
                <c:pt idx="229">
                  <c:v>18.17391316675376</c:v>
                </c:pt>
                <c:pt idx="230">
                  <c:v>18.076177564352346</c:v>
                </c:pt>
                <c:pt idx="231">
                  <c:v>17.976391678528806</c:v>
                </c:pt>
                <c:pt idx="232">
                  <c:v>17.874539377638214</c:v>
                </c:pt>
                <c:pt idx="233">
                  <c:v>17.770607368635122</c:v>
                </c:pt>
                <c:pt idx="234">
                  <c:v>17.6645851965764</c:v>
                </c:pt>
                <c:pt idx="235">
                  <c:v>17.556465234174478</c:v>
                </c:pt>
                <c:pt idx="236">
                  <c:v>17.44624266137258</c:v>
                </c:pt>
                <c:pt idx="237">
                  <c:v>17.333915435006947</c:v>
                </c:pt>
                <c:pt idx="238">
                  <c:v>17.219484248709147</c:v>
                </c:pt>
                <c:pt idx="239">
                  <c:v>17.102952483290778</c:v>
                </c:pt>
                <c:pt idx="240">
                  <c:v>16.984326147935416</c:v>
                </c:pt>
                <c:pt idx="241">
                  <c:v>16.863613812606008</c:v>
                </c:pt>
                <c:pt idx="242">
                  <c:v>16.740826532144656</c:v>
                </c:pt>
                <c:pt idx="243">
                  <c:v>16.615977762613618</c:v>
                </c:pt>
                <c:pt idx="244">
                  <c:v>16.489083270481515</c:v>
                </c:pt>
                <c:pt idx="245">
                  <c:v>16.360161035312025</c:v>
                </c:pt>
                <c:pt idx="246">
                  <c:v>16.229231146651458</c:v>
                </c:pt>
                <c:pt idx="247">
                  <c:v>16.096315695845842</c:v>
                </c:pt>
                <c:pt idx="248">
                  <c:v>15.961438663539365</c:v>
                </c:pt>
                <c:pt idx="249">
                  <c:v>15.824625803619494</c:v>
                </c:pt>
                <c:pt idx="250">
                  <c:v>15.685904524378429</c:v>
                </c:pt>
                <c:pt idx="251">
                  <c:v>15.545303767654932</c:v>
                </c:pt>
                <c:pt idx="252">
                  <c:v>15.402853886707778</c:v>
                </c:pt>
                <c:pt idx="253">
                  <c:v>15.258586523550663</c:v>
                </c:pt>
                <c:pt idx="254">
                  <c:v>15.112534486451006</c:v>
                </c:pt>
                <c:pt idx="255">
                  <c:v>14.964731628258821</c:v>
                </c:pt>
                <c:pt idx="256">
                  <c:v>14.815212726196672</c:v>
                </c:pt>
                <c:pt idx="257">
                  <c:v>14.664013363692231</c:v>
                </c:pt>
                <c:pt idx="258">
                  <c:v>14.511169814791231</c:v>
                </c:pt>
                <c:pt idx="259">
                  <c:v>14.35671893163784</c:v>
                </c:pt>
                <c:pt idx="260">
                  <c:v>14.200698035457124</c:v>
                </c:pt>
                <c:pt idx="261">
                  <c:v>14.043144811421509</c:v>
                </c:pt>
                <c:pt idx="262">
                  <c:v>13.884097207730008</c:v>
                </c:pt>
                <c:pt idx="263">
                  <c:v>13.723593339177382</c:v>
                </c:pt>
                <c:pt idx="264">
                  <c:v>13.561671395438989</c:v>
                </c:pt>
                <c:pt idx="265">
                  <c:v>13.398369554245736</c:v>
                </c:pt>
                <c:pt idx="266">
                  <c:v>13.23372589957993</c:v>
                </c:pt>
                <c:pt idx="267">
                  <c:v>13.067778344973721</c:v>
                </c:pt>
                <c:pt idx="268">
                  <c:v>12.900564561953338</c:v>
                </c:pt>
                <c:pt idx="269">
                  <c:v>12.732121913632277</c:v>
                </c:pt>
                <c:pt idx="270">
                  <c:v>12.56248739342043</c:v>
                </c:pt>
                <c:pt idx="271">
                  <c:v>12.391697568786386</c:v>
                </c:pt>
                <c:pt idx="272">
                  <c:v>12.219788529978224</c:v>
                </c:pt>
                <c:pt idx="273">
                  <c:v>12.046795843586999</c:v>
                </c:pt>
                <c:pt idx="274">
                  <c:v>11.872754510810728</c:v>
                </c:pt>
                <c:pt idx="275">
                  <c:v>11.697698930262641</c:v>
                </c:pt>
                <c:pt idx="276">
                  <c:v>11.521662865148505</c:v>
                </c:pt>
                <c:pt idx="277">
                  <c:v>11.344679414627031</c:v>
                </c:pt>
                <c:pt idx="278">
                  <c:v>11.16678098915725</c:v>
                </c:pt>
                <c:pt idx="279">
                  <c:v>10.987999289629469</c:v>
                </c:pt>
                <c:pt idx="280">
                  <c:v>10.808365290072157</c:v>
                </c:pt>
                <c:pt idx="281">
                  <c:v>10.627909223723089</c:v>
                </c:pt>
                <c:pt idx="282">
                  <c:v>10.446660572253716</c:v>
                </c:pt>
                <c:pt idx="283">
                  <c:v>10.264648057936707</c:v>
                </c:pt>
                <c:pt idx="284">
                  <c:v>10.081899638547366</c:v>
                </c:pt>
                <c:pt idx="285">
                  <c:v>9.8984425047958098</c:v>
                </c:pt>
                <c:pt idx="286">
                  <c:v>9.7143030800901382</c:v>
                </c:pt>
                <c:pt idx="287">
                  <c:v>9.5295070224366558</c:v>
                </c:pt>
                <c:pt idx="288">
                  <c:v>9.344079228291676</c:v>
                </c:pt>
                <c:pt idx="289">
                  <c:v>9.1580438381837883</c:v>
                </c:pt>
                <c:pt idx="290">
                  <c:v>8.9714242439360348</c:v>
                </c:pt>
                <c:pt idx="291">
                  <c:v>8.784243097324282</c:v>
                </c:pt>
                <c:pt idx="292">
                  <c:v>8.5965223200154135</c:v>
                </c:pt>
                <c:pt idx="293">
                  <c:v>8.408283114640783</c:v>
                </c:pt>
                <c:pt idx="294">
                  <c:v>8.2195459768645858</c:v>
                </c:pt>
                <c:pt idx="295">
                  <c:v>8.0303307083184308</c:v>
                </c:pt>
                <c:pt idx="296">
                  <c:v>7.8406564302822694</c:v>
                </c:pt>
                <c:pt idx="297">
                  <c:v>7.6505415979955762</c:v>
                </c:pt>
                <c:pt idx="298">
                  <c:v>7.4600040154980549</c:v>
                </c:pt>
                <c:pt idx="299">
                  <c:v>7.2690608508990806</c:v>
                </c:pt>
                <c:pt idx="300">
                  <c:v>7.0777286519896432</c:v>
                </c:pt>
                <c:pt idx="301">
                  <c:v>6.8860233621124571</c:v>
                </c:pt>
                <c:pt idx="302">
                  <c:v>6.6939603362161169</c:v>
                </c:pt>
                <c:pt idx="303">
                  <c:v>6.5015543570253476</c:v>
                </c:pt>
                <c:pt idx="304">
                  <c:v>6.3088196512630956</c:v>
                </c:pt>
                <c:pt idx="305">
                  <c:v>6.1157699058711792</c:v>
                </c:pt>
                <c:pt idx="306">
                  <c:v>5.9224182841751301</c:v>
                </c:pt>
                <c:pt idx="307">
                  <c:v>5.7287774419517623</c:v>
                </c:pt>
                <c:pt idx="308">
                  <c:v>5.5348595433556174</c:v>
                </c:pt>
                <c:pt idx="309">
                  <c:v>5.3406762766700684</c:v>
                </c:pt>
                <c:pt idx="310">
                  <c:v>5.1462388698516275</c:v>
                </c:pt>
                <c:pt idx="311">
                  <c:v>4.9515581058382878</c:v>
                </c:pt>
                <c:pt idx="312">
                  <c:v>4.7566443375997949</c:v>
                </c:pt>
                <c:pt idx="313">
                  <c:v>4.5615075029076166</c:v>
                </c:pt>
                <c:pt idx="314">
                  <c:v>4.3661571388081644</c:v>
                </c:pt>
                <c:pt idx="315">
                  <c:v>4.1706023957837033</c:v>
                </c:pt>
                <c:pt idx="316">
                  <c:v>3.9748520515901271</c:v>
                </c:pt>
                <c:pt idx="317">
                  <c:v>3.7789145247605171</c:v>
                </c:pt>
                <c:pt idx="318">
                  <c:v>3.582797887768161</c:v>
                </c:pt>
                <c:pt idx="319">
                  <c:v>3.3865098798427695</c:v>
                </c:pt>
                <c:pt idx="320">
                  <c:v>3.1900579194364438</c:v>
                </c:pt>
                <c:pt idx="321">
                  <c:v>2.9934491163370724</c:v>
                </c:pt>
                <c:pt idx="322">
                  <c:v>2.7966902834286884</c:v>
                </c:pt>
                <c:pt idx="323">
                  <c:v>2.5997879480996318</c:v>
                </c:pt>
                <c:pt idx="324">
                  <c:v>2.4027483632981248</c:v>
                </c:pt>
                <c:pt idx="325">
                  <c:v>2.2055775182418498</c:v>
                </c:pt>
                <c:pt idx="326">
                  <c:v>2.0082811487808678</c:v>
                </c:pt>
                <c:pt idx="327">
                  <c:v>1.8108647474214656</c:v>
                </c:pt>
                <c:pt idx="328">
                  <c:v>1.6133335730137321</c:v>
                </c:pt>
                <c:pt idx="329">
                  <c:v>1.4156926601103279</c:v>
                </c:pt>
                <c:pt idx="330">
                  <c:v>1.2179468280007173</c:v>
                </c:pt>
                <c:pt idx="331">
                  <c:v>1.020100689429198</c:v>
                </c:pt>
                <c:pt idx="332">
                  <c:v>0.82215865900242302</c:v>
                </c:pt>
                <c:pt idx="333">
                  <c:v>0.62412496129267114</c:v>
                </c:pt>
                <c:pt idx="334">
                  <c:v>0.42600363864792717</c:v>
                </c:pt>
                <c:pt idx="335">
                  <c:v>0.22779855871126159</c:v>
                </c:pt>
                <c:pt idx="336">
                  <c:v>2.9513421661049366E-2</c:v>
                </c:pt>
                <c:pt idx="337">
                  <c:v>-0.16884823282149541</c:v>
                </c:pt>
                <c:pt idx="338">
                  <c:v>-0.36728301885041381</c:v>
                </c:pt>
                <c:pt idx="339">
                  <c:v>-0.56578769788902616</c:v>
                </c:pt>
                <c:pt idx="340">
                  <c:v>-0.76435917255488195</c:v>
                </c:pt>
                <c:pt idx="341">
                  <c:v>-0.96299448066429516</c:v>
                </c:pt>
                <c:pt idx="342">
                  <c:v>-1.1616907895122714</c:v>
                </c:pt>
                <c:pt idx="343">
                  <c:v>-1.3604453903775622</c:v>
                </c:pt>
                <c:pt idx="344">
                  <c:v>-1.5592556932470694</c:v>
                </c:pt>
                <c:pt idx="345">
                  <c:v>-1.7581192217507708</c:v>
                </c:pt>
                <c:pt idx="346">
                  <c:v>-1.9570336083016384</c:v>
                </c:pt>
                <c:pt idx="347">
                  <c:v>-2.1559965894312265</c:v>
                </c:pt>
                <c:pt idx="348">
                  <c:v>-2.3550060013159637</c:v>
                </c:pt>
                <c:pt idx="349">
                  <c:v>-2.5540597754861643</c:v>
                </c:pt>
                <c:pt idx="350">
                  <c:v>-2.7531559347114505</c:v>
                </c:pt>
                <c:pt idx="351">
                  <c:v>-2.9522925890558098</c:v>
                </c:pt>
                <c:pt idx="352">
                  <c:v>-3.151467932096923</c:v>
                </c:pt>
                <c:pt idx="353">
                  <c:v>-3.350680237301483</c:v>
                </c:pt>
                <c:pt idx="354">
                  <c:v>-3.5499278545535988</c:v>
                </c:pt>
                <c:pt idx="355">
                  <c:v>-3.7492092068274738</c:v>
                </c:pt>
                <c:pt idx="356">
                  <c:v>-3.9485227870008588</c:v>
                </c:pt>
                <c:pt idx="357">
                  <c:v>-4.1478671548020056</c:v>
                </c:pt>
                <c:pt idx="358">
                  <c:v>-4.3472409338874645</c:v>
                </c:pt>
                <c:pt idx="359">
                  <c:v>-4.5466428090422877</c:v>
                </c:pt>
                <c:pt idx="360">
                  <c:v>-4.7460715235007713</c:v>
                </c:pt>
                <c:pt idx="361">
                  <c:v>-4.9455258763800849</c:v>
                </c:pt>
                <c:pt idx="362">
                  <c:v>-5.145004720225713</c:v>
                </c:pt>
                <c:pt idx="363">
                  <c:v>-5.3445069586603537</c:v>
                </c:pt>
                <c:pt idx="364">
                  <c:v>-5.5440315441346701</c:v>
                </c:pt>
                <c:pt idx="365">
                  <c:v>-5.7435774757753011</c:v>
                </c:pt>
                <c:pt idx="366">
                  <c:v>-5.9431437973250194</c:v>
                </c:pt>
                <c:pt idx="367">
                  <c:v>-6.1427295951723773</c:v>
                </c:pt>
                <c:pt idx="368">
                  <c:v>-6.3423339964670973</c:v>
                </c:pt>
                <c:pt idx="369">
                  <c:v>-6.5419561673163447</c:v>
                </c:pt>
                <c:pt idx="370">
                  <c:v>-6.7415953110606255</c:v>
                </c:pt>
                <c:pt idx="371">
                  <c:v>-6.9412506666235618</c:v>
                </c:pt>
                <c:pt idx="372">
                  <c:v>-7.140921506934637</c:v>
                </c:pt>
                <c:pt idx="373">
                  <c:v>-7.3406071374202462</c:v>
                </c:pt>
                <c:pt idx="374">
                  <c:v>-7.5403068945610325</c:v>
                </c:pt>
                <c:pt idx="375">
                  <c:v>-7.740020144512469</c:v>
                </c:pt>
                <c:pt idx="376">
                  <c:v>-7.9397462817855047</c:v>
                </c:pt>
                <c:pt idx="377">
                  <c:v>-8.1394847279856659</c:v>
                </c:pt>
                <c:pt idx="378">
                  <c:v>-8.3392349306074856</c:v>
                </c:pt>
                <c:pt idx="379">
                  <c:v>-8.5389963618815639</c:v>
                </c:pt>
                <c:pt idx="380">
                  <c:v>-8.7387685176728276</c:v>
                </c:pt>
                <c:pt idx="381">
                  <c:v>-8.9385509164274008</c:v>
                </c:pt>
                <c:pt idx="382">
                  <c:v>-9.138343098165743</c:v>
                </c:pt>
                <c:pt idx="383">
                  <c:v>-9.3381446235202894</c:v>
                </c:pt>
                <c:pt idx="384">
                  <c:v>-9.5379550728157643</c:v>
                </c:pt>
                <c:pt idx="385">
                  <c:v>-9.7377740451902035</c:v>
                </c:pt>
                <c:pt idx="386">
                  <c:v>-9.9376011577545675</c:v>
                </c:pt>
                <c:pt idx="387">
                  <c:v>-10.137436044790146</c:v>
                </c:pt>
                <c:pt idx="388">
                  <c:v>-10.337278356981066</c:v>
                </c:pt>
                <c:pt idx="389">
                  <c:v>-10.537127760681317</c:v>
                </c:pt>
                <c:pt idx="390">
                  <c:v>-10.736983937213651</c:v>
                </c:pt>
                <c:pt idx="391">
                  <c:v>-10.936846582200513</c:v>
                </c:pt>
                <c:pt idx="392">
                  <c:v>-11.136715404923791</c:v>
                </c:pt>
                <c:pt idx="393">
                  <c:v>-11.336590127714064</c:v>
                </c:pt>
                <c:pt idx="394">
                  <c:v>-11.536470485365912</c:v>
                </c:pt>
                <c:pt idx="395">
                  <c:v>-11.736356224580316</c:v>
                </c:pt>
                <c:pt idx="396">
                  <c:v>-11.936247103431146</c:v>
                </c:pt>
                <c:pt idx="397">
                  <c:v>-12.136142890855616</c:v>
                </c:pt>
                <c:pt idx="398">
                  <c:v>-12.336043366167896</c:v>
                </c:pt>
                <c:pt idx="399">
                  <c:v>-12.535948318593901</c:v>
                </c:pt>
                <c:pt idx="400">
                  <c:v>-12.735857546826715</c:v>
                </c:pt>
                <c:pt idx="401">
                  <c:v>-12.935770858602776</c:v>
                </c:pt>
                <c:pt idx="402">
                  <c:v>-13.135688070295892</c:v>
                </c:pt>
                <c:pt idx="403">
                  <c:v>-13.335609006529925</c:v>
                </c:pt>
                <c:pt idx="404">
                  <c:v>-13.535533499808984</c:v>
                </c:pt>
                <c:pt idx="405">
                  <c:v>-13.735461390163767</c:v>
                </c:pt>
                <c:pt idx="406">
                  <c:v>-13.935392524813848</c:v>
                </c:pt>
                <c:pt idx="407">
                  <c:v>-14.13532675784513</c:v>
                </c:pt>
                <c:pt idx="408">
                  <c:v>-14.335263949901588</c:v>
                </c:pt>
                <c:pt idx="409">
                  <c:v>-14.535203967890951</c:v>
                </c:pt>
                <c:pt idx="410">
                  <c:v>-14.735146684703649</c:v>
                </c:pt>
                <c:pt idx="411">
                  <c:v>-14.935091978943976</c:v>
                </c:pt>
                <c:pt idx="412">
                  <c:v>-15.135039734673757</c:v>
                </c:pt>
                <c:pt idx="413">
                  <c:v>-15.334989841167177</c:v>
                </c:pt>
                <c:pt idx="414">
                  <c:v>-15.534942192676628</c:v>
                </c:pt>
                <c:pt idx="415">
                  <c:v>-15.734896688208959</c:v>
                </c:pt>
                <c:pt idx="416">
                  <c:v>-15.934853231312516</c:v>
                </c:pt>
                <c:pt idx="417">
                  <c:v>-16.134811729872442</c:v>
                </c:pt>
                <c:pt idx="418">
                  <c:v>-16.334772095916282</c:v>
                </c:pt>
                <c:pt idx="419">
                  <c:v>-16.534734245427494</c:v>
                </c:pt>
                <c:pt idx="420">
                  <c:v>-16.734698098168003</c:v>
                </c:pt>
                <c:pt idx="421">
                  <c:v>-16.934663577508321</c:v>
                </c:pt>
                <c:pt idx="422">
                  <c:v>-17.134630610265404</c:v>
                </c:pt>
                <c:pt idx="423">
                  <c:v>-17.334599126547602</c:v>
                </c:pt>
                <c:pt idx="424">
                  <c:v>-17.53456905960681</c:v>
                </c:pt>
                <c:pt idx="425">
                  <c:v>-17.734540345697351</c:v>
                </c:pt>
                <c:pt idx="426">
                  <c:v>-17.934512923940545</c:v>
                </c:pt>
                <c:pt idx="427">
                  <c:v>-18.134486736196564</c:v>
                </c:pt>
                <c:pt idx="428">
                  <c:v>-18.33446172694039</c:v>
                </c:pt>
                <c:pt idx="429">
                  <c:v>-18.534437843144978</c:v>
                </c:pt>
                <c:pt idx="430">
                  <c:v>-18.734415034168723</c:v>
                </c:pt>
                <c:pt idx="431">
                  <c:v>-18.934393251648139</c:v>
                </c:pt>
                <c:pt idx="432">
                  <c:v>-19.134372449395467</c:v>
                </c:pt>
                <c:pt idx="433">
                  <c:v>-19.334352583300635</c:v>
                </c:pt>
                <c:pt idx="434">
                  <c:v>-19.534333611238438</c:v>
                </c:pt>
                <c:pt idx="435">
                  <c:v>-19.734315492978354</c:v>
                </c:pt>
                <c:pt idx="436">
                  <c:v>-19.934298190100289</c:v>
                </c:pt>
                <c:pt idx="437">
                  <c:v>-20.134281665912383</c:v>
                </c:pt>
                <c:pt idx="438">
                  <c:v>-20.334265885373959</c:v>
                </c:pt>
                <c:pt idx="439">
                  <c:v>-20.534250815020446</c:v>
                </c:pt>
                <c:pt idx="440">
                  <c:v>-20.734236422893417</c:v>
                </c:pt>
                <c:pt idx="441">
                  <c:v>-20.934222678472018</c:v>
                </c:pt>
                <c:pt idx="442">
                  <c:v>-21.134209552608858</c:v>
                </c:pt>
                <c:pt idx="443">
                  <c:v>-21.334197017467989</c:v>
                </c:pt>
                <c:pt idx="444">
                  <c:v>-21.534185046465982</c:v>
                </c:pt>
                <c:pt idx="445">
                  <c:v>-21.734173614215429</c:v>
                </c:pt>
                <c:pt idx="446">
                  <c:v>-21.934162696471411</c:v>
                </c:pt>
                <c:pt idx="447">
                  <c:v>-22.134152270079944</c:v>
                </c:pt>
                <c:pt idx="448">
                  <c:v>-22.334142312928854</c:v>
                </c:pt>
                <c:pt idx="449">
                  <c:v>-22.53413280390102</c:v>
                </c:pt>
                <c:pt idx="450">
                  <c:v>-22.734123722829548</c:v>
                </c:pt>
                <c:pt idx="451">
                  <c:v>-22.93411505045502</c:v>
                </c:pt>
                <c:pt idx="452">
                  <c:v>-23.134106768384623</c:v>
                </c:pt>
                <c:pt idx="453">
                  <c:v>-23.334098859053384</c:v>
                </c:pt>
                <c:pt idx="454">
                  <c:v>-23.534091305686399</c:v>
                </c:pt>
                <c:pt idx="455">
                  <c:v>-23.734084092264208</c:v>
                </c:pt>
                <c:pt idx="456">
                  <c:v>-23.934077203487849</c:v>
                </c:pt>
                <c:pt idx="457">
                  <c:v>-24.134070624746688</c:v>
                </c:pt>
                <c:pt idx="458">
                  <c:v>-24.334064342087842</c:v>
                </c:pt>
                <c:pt idx="459">
                  <c:v>-24.534058342186292</c:v>
                </c:pt>
                <c:pt idx="460">
                  <c:v>-24.734052612316834</c:v>
                </c:pt>
                <c:pt idx="461">
                  <c:v>-24.934047140326413</c:v>
                </c:pt>
                <c:pt idx="462">
                  <c:v>-25.134041914609377</c:v>
                </c:pt>
                <c:pt idx="463">
                  <c:v>-25.334036924082326</c:v>
                </c:pt>
                <c:pt idx="464">
                  <c:v>-25.534032158160297</c:v>
                </c:pt>
                <c:pt idx="465">
                  <c:v>-25.734027606734902</c:v>
                </c:pt>
                <c:pt idx="466">
                  <c:v>-25.934023260152813</c:v>
                </c:pt>
                <c:pt idx="467">
                  <c:v>-26.134019109194821</c:v>
                </c:pt>
                <c:pt idx="468">
                  <c:v>-26.334015145056881</c:v>
                </c:pt>
                <c:pt idx="469">
                  <c:v>-26.534011359330933</c:v>
                </c:pt>
                <c:pt idx="470">
                  <c:v>-26.73400774398754</c:v>
                </c:pt>
                <c:pt idx="471">
                  <c:v>-26.934004291358384</c:v>
                </c:pt>
                <c:pt idx="472">
                  <c:v>-27.134000994120541</c:v>
                </c:pt>
                <c:pt idx="473">
                  <c:v>-27.333997845280351</c:v>
                </c:pt>
                <c:pt idx="474">
                  <c:v>-27.533994838159096</c:v>
                </c:pt>
                <c:pt idx="475">
                  <c:v>-27.733991966378511</c:v>
                </c:pt>
                <c:pt idx="476">
                  <c:v>-27.933989223847458</c:v>
                </c:pt>
                <c:pt idx="477">
                  <c:v>-28.133986604749023</c:v>
                </c:pt>
                <c:pt idx="478">
                  <c:v>-28.333984103527836</c:v>
                </c:pt>
                <c:pt idx="479">
                  <c:v>-28.533981714878735</c:v>
                </c:pt>
                <c:pt idx="480">
                  <c:v>-28.733979433735293</c:v>
                </c:pt>
                <c:pt idx="481">
                  <c:v>-28.933977255258977</c:v>
                </c:pt>
                <c:pt idx="482">
                  <c:v>-29.133975174829281</c:v>
                </c:pt>
                <c:pt idx="483">
                  <c:v>-29.333973188033291</c:v>
                </c:pt>
                <c:pt idx="484">
                  <c:v>-29.533971290657007</c:v>
                </c:pt>
                <c:pt idx="485">
                  <c:v>-29.733969478675881</c:v>
                </c:pt>
                <c:pt idx="486">
                  <c:v>-29.93396774824658</c:v>
                </c:pt>
                <c:pt idx="487">
                  <c:v>-30.133966095698788</c:v>
                </c:pt>
                <c:pt idx="488">
                  <c:v>-30.333964517527257</c:v>
                </c:pt>
                <c:pt idx="489">
                  <c:v>-30.533963010384596</c:v>
                </c:pt>
                <c:pt idx="490">
                  <c:v>-30.733961571074012</c:v>
                </c:pt>
                <c:pt idx="491">
                  <c:v>-30.933960196542571</c:v>
                </c:pt>
                <c:pt idx="492">
                  <c:v>-31.133958883874836</c:v>
                </c:pt>
                <c:pt idx="493">
                  <c:v>-31.333957630286552</c:v>
                </c:pt>
                <c:pt idx="494">
                  <c:v>-31.533956433118707</c:v>
                </c:pt>
                <c:pt idx="495">
                  <c:v>-31.733955289831851</c:v>
                </c:pt>
                <c:pt idx="496">
                  <c:v>-31.933954198001082</c:v>
                </c:pt>
                <c:pt idx="497">
                  <c:v>-32.133953155310628</c:v>
                </c:pt>
                <c:pt idx="498">
                  <c:v>-32.333952159548595</c:v>
                </c:pt>
                <c:pt idx="499">
                  <c:v>-32.533951208603156</c:v>
                </c:pt>
                <c:pt idx="500">
                  <c:v>-32.733950300456989</c:v>
                </c:pt>
                <c:pt idx="501">
                  <c:v>-32.93394943318399</c:v>
                </c:pt>
                <c:pt idx="502">
                  <c:v>-33.133948604944528</c:v>
                </c:pt>
                <c:pt idx="503">
                  <c:v>-33.333947813981879</c:v>
                </c:pt>
                <c:pt idx="504">
                  <c:v>-33.533947058618253</c:v>
                </c:pt>
                <c:pt idx="505">
                  <c:v>-33.733946337251425</c:v>
                </c:pt>
                <c:pt idx="506">
                  <c:v>-33.933945648351397</c:v>
                </c:pt>
                <c:pt idx="507">
                  <c:v>-34.133944990456797</c:v>
                </c:pt>
                <c:pt idx="508">
                  <c:v>-34.333944362172303</c:v>
                </c:pt>
                <c:pt idx="509">
                  <c:v>-34.533943762165109</c:v>
                </c:pt>
                <c:pt idx="510">
                  <c:v>-34.733943189162659</c:v>
                </c:pt>
                <c:pt idx="511">
                  <c:v>-34.933942641949528</c:v>
                </c:pt>
                <c:pt idx="512">
                  <c:v>-35.133942119364832</c:v>
                </c:pt>
                <c:pt idx="513">
                  <c:v>-35.333941620300408</c:v>
                </c:pt>
                <c:pt idx="514">
                  <c:v>-35.533941143697461</c:v>
                </c:pt>
                <c:pt idx="515">
                  <c:v>-35.733940688545104</c:v>
                </c:pt>
                <c:pt idx="516">
                  <c:v>-35.93394025387795</c:v>
                </c:pt>
                <c:pt idx="517">
                  <c:v>-36.133939838774012</c:v>
                </c:pt>
                <c:pt idx="518">
                  <c:v>-36.333939442352829</c:v>
                </c:pt>
                <c:pt idx="519">
                  <c:v>-36.53393906377341</c:v>
                </c:pt>
                <c:pt idx="520">
                  <c:v>-36.733938702232926</c:v>
                </c:pt>
                <c:pt idx="521">
                  <c:v>-36.933938356964362</c:v>
                </c:pt>
                <c:pt idx="522">
                  <c:v>-37.133938027235502</c:v>
                </c:pt>
                <c:pt idx="523">
                  <c:v>-37.333937712346739</c:v>
                </c:pt>
                <c:pt idx="524">
                  <c:v>-37.53393741163039</c:v>
                </c:pt>
                <c:pt idx="525">
                  <c:v>-37.733937124448367</c:v>
                </c:pt>
                <c:pt idx="526">
                  <c:v>-37.933936850191714</c:v>
                </c:pt>
                <c:pt idx="527">
                  <c:v>-38.133936588278601</c:v>
                </c:pt>
                <c:pt idx="528">
                  <c:v>-38.333936338153649</c:v>
                </c:pt>
                <c:pt idx="529">
                  <c:v>-38.533936099285981</c:v>
                </c:pt>
                <c:pt idx="530">
                  <c:v>-38.733935871169145</c:v>
                </c:pt>
                <c:pt idx="531">
                  <c:v>-38.933935653319281</c:v>
                </c:pt>
                <c:pt idx="532">
                  <c:v>-39.133935445274346</c:v>
                </c:pt>
                <c:pt idx="533">
                  <c:v>-39.333935246592802</c:v>
                </c:pt>
                <c:pt idx="534">
                  <c:v>-39.533935056853458</c:v>
                </c:pt>
                <c:pt idx="535">
                  <c:v>-39.733934875653873</c:v>
                </c:pt>
                <c:pt idx="536">
                  <c:v>-39.93393470260947</c:v>
                </c:pt>
                <c:pt idx="537">
                  <c:v>-40.133934537353383</c:v>
                </c:pt>
                <c:pt idx="538">
                  <c:v>-40.33393437953513</c:v>
                </c:pt>
                <c:pt idx="539">
                  <c:v>-40.533934228819732</c:v>
                </c:pt>
                <c:pt idx="540">
                  <c:v>-40.733934084887707</c:v>
                </c:pt>
                <c:pt idx="541">
                  <c:v>-40.933933947433665</c:v>
                </c:pt>
              </c:numCache>
            </c:numRef>
          </c:yVal>
          <c:smooth val="1"/>
          <c:extLst>
            <c:ext xmlns:c16="http://schemas.microsoft.com/office/drawing/2014/chart" uri="{C3380CC4-5D6E-409C-BE32-E72D297353CC}">
              <c16:uniqueId val="{00000000-4F4B-43C9-BE46-3F56EC7D1C25}"/>
            </c:ext>
          </c:extLst>
        </c:ser>
        <c:dLbls>
          <c:showLegendKey val="0"/>
          <c:showVal val="0"/>
          <c:showCatName val="0"/>
          <c:showSerName val="0"/>
          <c:showPercent val="0"/>
          <c:showBubbleSize val="0"/>
        </c:dLbls>
        <c:axId val="384242816"/>
        <c:axId val="384244736"/>
      </c:scatterChart>
      <c:scatterChart>
        <c:scatterStyle val="smoothMarker"/>
        <c:varyColors val="0"/>
        <c:ser>
          <c:idx val="1"/>
          <c:order val="1"/>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CCM_Loop_Modeling_non_isolated!$AR$19:$AR$560</c:f>
              <c:numCache>
                <c:formatCode>General</c:formatCode>
                <c:ptCount val="542"/>
                <c:pt idx="0">
                  <c:v>91.454843768696136</c:v>
                </c:pt>
                <c:pt idx="1">
                  <c:v>91.488706462648395</c:v>
                </c:pt>
                <c:pt idx="2">
                  <c:v>91.523356135587107</c:v>
                </c:pt>
                <c:pt idx="3">
                  <c:v>91.558810991154232</c:v>
                </c:pt>
                <c:pt idx="4">
                  <c:v>91.595089647914506</c:v>
                </c:pt>
                <c:pt idx="5">
                  <c:v>91.632211148372406</c:v>
                </c:pt>
                <c:pt idx="6">
                  <c:v>91.670194968153012</c:v>
                </c:pt>
                <c:pt idx="7">
                  <c:v>91.709061025347495</c:v>
                </c:pt>
                <c:pt idx="8">
                  <c:v>91.748829690023499</c:v>
                </c:pt>
                <c:pt idx="9">
                  <c:v>91.789521793900647</c:v>
                </c:pt>
                <c:pt idx="10">
                  <c:v>91.831158640190807</c:v>
                </c:pt>
                <c:pt idx="11">
                  <c:v>91.873762013602914</c:v>
                </c:pt>
                <c:pt idx="12">
                  <c:v>91.917354190511489</c:v>
                </c:pt>
                <c:pt idx="13">
                  <c:v>91.961957949287893</c:v>
                </c:pt>
                <c:pt idx="14">
                  <c:v>92.007596580792651</c:v>
                </c:pt>
                <c:pt idx="15">
                  <c:v>92.054293899027485</c:v>
                </c:pt>
                <c:pt idx="16">
                  <c:v>92.102074251944131</c:v>
                </c:pt>
                <c:pt idx="17">
                  <c:v>92.150962532407775</c:v>
                </c:pt>
                <c:pt idx="18">
                  <c:v>92.200984189311754</c:v>
                </c:pt>
                <c:pt idx="19">
                  <c:v>92.252165238839382</c:v>
                </c:pt>
                <c:pt idx="20">
                  <c:v>92.30453227586915</c:v>
                </c:pt>
                <c:pt idx="21">
                  <c:v>92.358112485517651</c:v>
                </c:pt>
                <c:pt idx="22">
                  <c:v>92.412933654814879</c:v>
                </c:pt>
                <c:pt idx="23">
                  <c:v>92.469024184505642</c:v>
                </c:pt>
                <c:pt idx="24">
                  <c:v>92.526413100969123</c:v>
                </c:pt>
                <c:pt idx="25">
                  <c:v>92.585130068249427</c:v>
                </c:pt>
                <c:pt idx="26">
                  <c:v>92.645205400187081</c:v>
                </c:pt>
                <c:pt idx="27">
                  <c:v>92.706670072642368</c:v>
                </c:pt>
                <c:pt idx="28">
                  <c:v>92.769555735798448</c:v>
                </c:pt>
                <c:pt idx="29">
                  <c:v>92.833894726532947</c:v>
                </c:pt>
                <c:pt idx="30">
                  <c:v>92.89972008084348</c:v>
                </c:pt>
                <c:pt idx="31">
                  <c:v>92.967065546313037</c:v>
                </c:pt>
                <c:pt idx="32">
                  <c:v>93.035965594598508</c:v>
                </c:pt>
                <c:pt idx="33">
                  <c:v>93.106455433924737</c:v>
                </c:pt>
                <c:pt idx="34">
                  <c:v>93.178571021564323</c:v>
                </c:pt>
                <c:pt idx="35">
                  <c:v>93.252349076282414</c:v>
                </c:pt>
                <c:pt idx="36">
                  <c:v>93.327827090722934</c:v>
                </c:pt>
                <c:pt idx="37">
                  <c:v>93.405043343711313</c:v>
                </c:pt>
                <c:pt idx="38">
                  <c:v>93.48403691244657</c:v>
                </c:pt>
                <c:pt idx="39">
                  <c:v>93.564847684552944</c:v>
                </c:pt>
                <c:pt idx="40">
                  <c:v>93.647516369959106</c:v>
                </c:pt>
                <c:pt idx="41">
                  <c:v>93.732084512570836</c:v>
                </c:pt>
                <c:pt idx="42">
                  <c:v>93.818594501698783</c:v>
                </c:pt>
                <c:pt idx="43">
                  <c:v>93.907089583201852</c:v>
                </c:pt>
                <c:pt idx="44">
                  <c:v>93.997613870302374</c:v>
                </c:pt>
                <c:pt idx="45">
                  <c:v>94.090212354026079</c:v>
                </c:pt>
                <c:pt idx="46">
                  <c:v>94.184930913216604</c:v>
                </c:pt>
                <c:pt idx="47">
                  <c:v>94.281816324070363</c:v>
                </c:pt>
                <c:pt idx="48">
                  <c:v>94.380916269133351</c:v>
                </c:pt>
                <c:pt idx="49">
                  <c:v>94.482279345697634</c:v>
                </c:pt>
                <c:pt idx="50">
                  <c:v>94.585955073530215</c:v>
                </c:pt>
                <c:pt idx="51">
                  <c:v>94.691993901863214</c:v>
                </c:pt>
                <c:pt idx="52">
                  <c:v>94.800447215567445</c:v>
                </c:pt>
                <c:pt idx="53">
                  <c:v>94.911367340428185</c:v>
                </c:pt>
                <c:pt idx="54">
                  <c:v>95.024807547435174</c:v>
                </c:pt>
                <c:pt idx="55">
                  <c:v>95.140822055992587</c:v>
                </c:pt>
                <c:pt idx="56">
                  <c:v>95.259466035949728</c:v>
                </c:pt>
                <c:pt idx="57">
                  <c:v>95.380795608345508</c:v>
                </c:pt>
                <c:pt idx="58">
                  <c:v>95.504867844753377</c:v>
                </c:pt>
                <c:pt idx="59">
                  <c:v>95.631740765106017</c:v>
                </c:pt>
                <c:pt idx="60">
                  <c:v>95.761473333871336</c:v>
                </c:pt>
                <c:pt idx="61">
                  <c:v>95.894125454444293</c:v>
                </c:pt>
                <c:pt idx="62">
                  <c:v>96.029757961608681</c:v>
                </c:pt>
                <c:pt idx="63">
                  <c:v>96.168432611917268</c:v>
                </c:pt>
                <c:pt idx="64">
                  <c:v>96.310212071827195</c:v>
                </c:pt>
                <c:pt idx="65">
                  <c:v>96.455159903419158</c:v>
                </c:pt>
                <c:pt idx="66">
                  <c:v>96.603340547520006</c:v>
                </c:pt>
                <c:pt idx="67">
                  <c:v>96.7548193040369</c:v>
                </c:pt>
                <c:pt idx="68">
                  <c:v>96.909662309301893</c:v>
                </c:pt>
                <c:pt idx="69">
                  <c:v>97.067936510214793</c:v>
                </c:pt>
                <c:pt idx="70">
                  <c:v>97.229709634961921</c:v>
                </c:pt>
                <c:pt idx="71">
                  <c:v>97.395050160076565</c:v>
                </c:pt>
                <c:pt idx="72">
                  <c:v>97.564027273595215</c:v>
                </c:pt>
                <c:pt idx="73">
                  <c:v>97.736710834055344</c:v>
                </c:pt>
                <c:pt idx="74">
                  <c:v>97.913171325063459</c:v>
                </c:pt>
                <c:pt idx="75">
                  <c:v>98.093479805157202</c:v>
                </c:pt>
                <c:pt idx="76">
                  <c:v>98.277707852668328</c:v>
                </c:pt>
                <c:pt idx="77">
                  <c:v>98.465927505285762</c:v>
                </c:pt>
                <c:pt idx="78">
                  <c:v>98.658211194004821</c:v>
                </c:pt>
                <c:pt idx="79">
                  <c:v>98.854631671138918</c:v>
                </c:pt>
                <c:pt idx="80">
                  <c:v>99.055261932060617</c:v>
                </c:pt>
                <c:pt idx="81">
                  <c:v>99.260175130327312</c:v>
                </c:pt>
                <c:pt idx="82">
                  <c:v>99.469444485840086</c:v>
                </c:pt>
                <c:pt idx="83">
                  <c:v>99.683143185675917</c:v>
                </c:pt>
                <c:pt idx="84">
                  <c:v>99.901344277226087</c:v>
                </c:pt>
                <c:pt idx="85">
                  <c:v>100.12412055326944</c:v>
                </c:pt>
                <c:pt idx="86">
                  <c:v>100.35154442860527</c:v>
                </c:pt>
                <c:pt idx="87">
                  <c:v>100.58368780786832</c:v>
                </c:pt>
                <c:pt idx="88">
                  <c:v>100.82062194415013</c:v>
                </c:pt>
                <c:pt idx="89">
                  <c:v>101.06241728805169</c:v>
                </c:pt>
                <c:pt idx="90">
                  <c:v>101.30914332680119</c:v>
                </c:pt>
                <c:pt idx="91">
                  <c:v>101.56086841307597</c:v>
                </c:pt>
                <c:pt idx="92">
                  <c:v>101.81765958318309</c:v>
                </c:pt>
                <c:pt idx="93">
                  <c:v>102.07958236426667</c:v>
                </c:pt>
                <c:pt idx="94">
                  <c:v>102.34670057023277</c:v>
                </c:pt>
                <c:pt idx="95">
                  <c:v>102.61907608610571</c:v>
                </c:pt>
                <c:pt idx="96">
                  <c:v>102.89676864056131</c:v>
                </c:pt>
                <c:pt idx="97">
                  <c:v>103.17983556641789</c:v>
                </c:pt>
                <c:pt idx="98">
                  <c:v>103.46833154890732</c:v>
                </c:pt>
                <c:pt idx="99">
                  <c:v>103.76230836159708</c:v>
                </c:pt>
                <c:pt idx="100">
                  <c:v>104.06181458988883</c:v>
                </c:pt>
                <c:pt idx="101">
                  <c:v>104.36689534208172</c:v>
                </c:pt>
                <c:pt idx="102">
                  <c:v>104.67759194805831</c:v>
                </c:pt>
                <c:pt idx="103">
                  <c:v>104.99394164572873</c:v>
                </c:pt>
                <c:pt idx="104">
                  <c:v>105.31597725545497</c:v>
                </c:pt>
                <c:pt idx="105">
                  <c:v>105.64372684277156</c:v>
                </c:pt>
                <c:pt idx="106">
                  <c:v>105.97721336982373</c:v>
                </c:pt>
                <c:pt idx="107">
                  <c:v>106.31645433605145</c:v>
                </c:pt>
                <c:pt idx="108">
                  <c:v>106.66146140877629</c:v>
                </c:pt>
                <c:pt idx="109">
                  <c:v>107.01224004446765</c:v>
                </c:pt>
                <c:pt idx="110">
                  <c:v>107.36878910161049</c:v>
                </c:pt>
                <c:pt idx="111">
                  <c:v>107.73110044623617</c:v>
                </c:pt>
                <c:pt idx="112">
                  <c:v>108.09915855133211</c:v>
                </c:pt>
                <c:pt idx="113">
                  <c:v>108.47294009150416</c:v>
                </c:pt>
                <c:pt idx="114">
                  <c:v>108.85241353442811</c:v>
                </c:pt>
                <c:pt idx="115">
                  <c:v>109.23753873079399</c:v>
                </c:pt>
                <c:pt idx="116">
                  <c:v>109.62826650461655</c:v>
                </c:pt>
                <c:pt idx="117">
                  <c:v>110.02453824595544</c:v>
                </c:pt>
                <c:pt idx="118">
                  <c:v>110.42628550825536</c:v>
                </c:pt>
                <c:pt idx="119">
                  <c:v>110.83342961268366</c:v>
                </c:pt>
                <c:pt idx="120">
                  <c:v>111.2458812620002</c:v>
                </c:pt>
                <c:pt idx="121">
                  <c:v>111.66354016664384</c:v>
                </c:pt>
                <c:pt idx="122">
                  <c:v>112.08629468585713</c:v>
                </c:pt>
                <c:pt idx="123">
                  <c:v>112.51402148679742</c:v>
                </c:pt>
                <c:pt idx="124">
                  <c:v>112.94658522468079</c:v>
                </c:pt>
                <c:pt idx="125">
                  <c:v>113.38383824709592</c:v>
                </c:pt>
                <c:pt idx="126">
                  <c:v>113.82562032568019</c:v>
                </c:pt>
                <c:pt idx="127">
                  <c:v>114.27175841837867</c:v>
                </c:pt>
                <c:pt idx="128">
                  <c:v>114.72206646551165</c:v>
                </c:pt>
                <c:pt idx="129">
                  <c:v>115.17634522284064</c:v>
                </c:pt>
                <c:pt idx="130">
                  <c:v>115.63438213474396</c:v>
                </c:pt>
                <c:pt idx="131">
                  <c:v>116.09595125051507</c:v>
                </c:pt>
                <c:pt idx="132">
                  <c:v>116.56081318663399</c:v>
                </c:pt>
                <c:pt idx="133">
                  <c:v>117.02871513767589</c:v>
                </c:pt>
                <c:pt idx="134">
                  <c:v>117.49939093827447</c:v>
                </c:pt>
                <c:pt idx="135">
                  <c:v>117.97256117829269</c:v>
                </c:pt>
                <c:pt idx="136">
                  <c:v>118.44793337301343</c:v>
                </c:pt>
                <c:pt idx="137">
                  <c:v>118.92520218981326</c:v>
                </c:pt>
                <c:pt idx="138">
                  <c:v>119.40404973237524</c:v>
                </c:pt>
                <c:pt idx="139">
                  <c:v>119.88414588306401</c:v>
                </c:pt>
                <c:pt idx="140">
                  <c:v>120.36514870362059</c:v>
                </c:pt>
                <c:pt idx="141">
                  <c:v>120.84670489384341</c:v>
                </c:pt>
                <c:pt idx="142">
                  <c:v>121.32845030741593</c:v>
                </c:pt>
                <c:pt idx="143">
                  <c:v>121.81001052351711</c:v>
                </c:pt>
                <c:pt idx="144">
                  <c:v>122.29100147233144</c:v>
                </c:pt>
                <c:pt idx="145">
                  <c:v>122.77103011204781</c:v>
                </c:pt>
                <c:pt idx="146">
                  <c:v>123.24969515442963</c:v>
                </c:pt>
                <c:pt idx="147">
                  <c:v>123.72658783555096</c:v>
                </c:pt>
                <c:pt idx="148">
                  <c:v>124.20129272783032</c:v>
                </c:pt>
                <c:pt idx="149">
                  <c:v>124.6733885890668</c:v>
                </c:pt>
                <c:pt idx="150">
                  <c:v>125.1424492438091</c:v>
                </c:pt>
                <c:pt idx="151">
                  <c:v>125.60804449205637</c:v>
                </c:pt>
                <c:pt idx="152">
                  <c:v>126.06974104001554</c:v>
                </c:pt>
                <c:pt idx="153">
                  <c:v>126.52710344743996</c:v>
                </c:pt>
                <c:pt idx="154">
                  <c:v>126.9796950859248</c:v>
                </c:pt>
                <c:pt idx="155">
                  <c:v>127.42707910246942</c:v>
                </c:pt>
                <c:pt idx="156">
                  <c:v>127.86881938261031</c:v>
                </c:pt>
                <c:pt idx="157">
                  <c:v>128.30448150751198</c:v>
                </c:pt>
                <c:pt idx="158">
                  <c:v>128.73363369953032</c:v>
                </c:pt>
                <c:pt idx="159">
                  <c:v>129.15584775098296</c:v>
                </c:pt>
                <c:pt idx="160">
                  <c:v>129.57069993113097</c:v>
                </c:pt>
                <c:pt idx="161">
                  <c:v>129.97777186671149</c:v>
                </c:pt>
                <c:pt idx="162">
                  <c:v>130.37665139173473</c:v>
                </c:pt>
                <c:pt idx="163">
                  <c:v>130.76693336270799</c:v>
                </c:pt>
                <c:pt idx="164">
                  <c:v>131.14822043589763</c:v>
                </c:pt>
                <c:pt idx="165">
                  <c:v>131.52012380375075</c:v>
                </c:pt>
                <c:pt idx="166">
                  <c:v>131.88226388811159</c:v>
                </c:pt>
                <c:pt idx="167">
                  <c:v>132.23427098840023</c:v>
                </c:pt>
                <c:pt idx="168">
                  <c:v>132.57578588345436</c:v>
                </c:pt>
                <c:pt idx="169">
                  <c:v>132.9064603862673</c:v>
                </c:pt>
                <c:pt idx="170">
                  <c:v>133.22595785137318</c:v>
                </c:pt>
                <c:pt idx="171">
                  <c:v>133.53395363512621</c:v>
                </c:pt>
                <c:pt idx="172">
                  <c:v>133.83013550959123</c:v>
                </c:pt>
                <c:pt idx="173">
                  <c:v>134.11420403121224</c:v>
                </c:pt>
                <c:pt idx="174">
                  <c:v>134.38587286580747</c:v>
                </c:pt>
                <c:pt idx="175">
                  <c:v>134.64486907182263</c:v>
                </c:pt>
                <c:pt idx="176">
                  <c:v>134.89093334407247</c:v>
                </c:pt>
                <c:pt idx="177">
                  <c:v>135.12382022047345</c:v>
                </c:pt>
                <c:pt idx="178">
                  <c:v>135.34329825449586</c:v>
                </c:pt>
                <c:pt idx="179">
                  <c:v>135.54915015622208</c:v>
                </c:pt>
                <c:pt idx="180">
                  <c:v>135.74117290502963</c:v>
                </c:pt>
                <c:pt idx="181">
                  <c:v>135.91917783697969</c:v>
                </c:pt>
                <c:pt idx="182">
                  <c:v>136.08299071002281</c:v>
                </c:pt>
                <c:pt idx="183">
                  <c:v>136.23245175010791</c:v>
                </c:pt>
                <c:pt idx="184">
                  <c:v>136.3674156812184</c:v>
                </c:pt>
                <c:pt idx="185">
                  <c:v>136.48775174225261</c:v>
                </c:pt>
                <c:pt idx="186">
                  <c:v>136.59334369352379</c:v>
                </c:pt>
                <c:pt idx="187">
                  <c:v>136.68408981547648</c:v>
                </c:pt>
                <c:pt idx="188">
                  <c:v>136.75990290200829</c:v>
                </c:pt>
                <c:pt idx="189">
                  <c:v>136.82071025054688</c:v>
                </c:pt>
                <c:pt idx="190">
                  <c:v>136.86645365077641</c:v>
                </c:pt>
                <c:pt idx="191">
                  <c:v>136.89708937361732</c:v>
                </c:pt>
                <c:pt idx="192">
                  <c:v>136.91258816177344</c:v>
                </c:pt>
                <c:pt idx="193">
                  <c:v>136.91293522283948</c:v>
                </c:pt>
                <c:pt idx="194">
                  <c:v>136.89813022564175</c:v>
                </c:pt>
                <c:pt idx="195">
                  <c:v>136.86818730015537</c:v>
                </c:pt>
                <c:pt idx="196">
                  <c:v>136.82313504100418</c:v>
                </c:pt>
                <c:pt idx="197">
                  <c:v>136.76301651421696</c:v>
                </c:pt>
                <c:pt idx="198">
                  <c:v>136.68788926658362</c:v>
                </c:pt>
                <c:pt idx="199">
                  <c:v>136.59782533662809</c:v>
                </c:pt>
                <c:pt idx="200">
                  <c:v>136.49291126590509</c:v>
                </c:pt>
                <c:pt idx="201">
                  <c:v>136.373248109023</c:v>
                </c:pt>
                <c:pt idx="202">
                  <c:v>136.23895144051599</c:v>
                </c:pt>
                <c:pt idx="203">
                  <c:v>136.09015135642576</c:v>
                </c:pt>
                <c:pt idx="204">
                  <c:v>135.92699246821297</c:v>
                </c:pt>
                <c:pt idx="205">
                  <c:v>135.74963388641163</c:v>
                </c:pt>
                <c:pt idx="206">
                  <c:v>135.5582491912584</c:v>
                </c:pt>
                <c:pt idx="207">
                  <c:v>135.35302638738537</c:v>
                </c:pt>
                <c:pt idx="208">
                  <c:v>135.13416783955594</c:v>
                </c:pt>
                <c:pt idx="209">
                  <c:v>134.90189018636028</c:v>
                </c:pt>
                <c:pt idx="210">
                  <c:v>134.65642422875925</c:v>
                </c:pt>
                <c:pt idx="211">
                  <c:v>134.39801479039139</c:v>
                </c:pt>
                <c:pt idx="212">
                  <c:v>134.12692054662406</c:v>
                </c:pt>
                <c:pt idx="213">
                  <c:v>133.84341381945117</c:v>
                </c:pt>
                <c:pt idx="214">
                  <c:v>133.54778033550312</c:v>
                </c:pt>
                <c:pt idx="215">
                  <c:v>133.24031894465648</c:v>
                </c:pt>
                <c:pt idx="216">
                  <c:v>132.9213412969919</c:v>
                </c:pt>
                <c:pt idx="217">
                  <c:v>132.59117147616644</c:v>
                </c:pt>
                <c:pt idx="218">
                  <c:v>132.25014558762066</c:v>
                </c:pt>
                <c:pt idx="219">
                  <c:v>131.89861130044375</c:v>
                </c:pt>
                <c:pt idx="220">
                  <c:v>131.53692734215591</c:v>
                </c:pt>
                <c:pt idx="221">
                  <c:v>131.16546294613707</c:v>
                </c:pt>
                <c:pt idx="222">
                  <c:v>130.78459725192965</c:v>
                </c:pt>
                <c:pt idx="223">
                  <c:v>130.39471865915831</c:v>
                </c:pt>
                <c:pt idx="224">
                  <c:v>129.99622413634035</c:v>
                </c:pt>
                <c:pt idx="225">
                  <c:v>129.58951848639578</c:v>
                </c:pt>
                <c:pt idx="226">
                  <c:v>129.17501357119539</c:v>
                </c:pt>
                <c:pt idx="227">
                  <c:v>128.75312749800801</c:v>
                </c:pt>
                <c:pt idx="228">
                  <c:v>128.32428377120368</c:v>
                </c:pt>
                <c:pt idx="229">
                  <c:v>127.8889104130395</c:v>
                </c:pt>
                <c:pt idx="230">
                  <c:v>127.44743905779158</c:v>
                </c:pt>
                <c:pt idx="231">
                  <c:v>127.00030402387351</c:v>
                </c:pt>
                <c:pt idx="232">
                  <c:v>126.54794136892993</c:v>
                </c:pt>
                <c:pt idx="233">
                  <c:v>126.09078793315635</c:v>
                </c:pt>
                <c:pt idx="234">
                  <c:v>125.62928037631883</c:v>
                </c:pt>
                <c:pt idx="235">
                  <c:v>125.16385421408931</c:v>
                </c:pt>
                <c:pt idx="236">
                  <c:v>124.69494285938229</c:v>
                </c:pt>
                <c:pt idx="237">
                  <c:v>124.22297667439247</c:v>
                </c:pt>
                <c:pt idx="238">
                  <c:v>123.74838203895533</c:v>
                </c:pt>
                <c:pt idx="239">
                  <c:v>123.27158044072094</c:v>
                </c:pt>
                <c:pt idx="240">
                  <c:v>122.79298759241928</c:v>
                </c:pt>
                <c:pt idx="241">
                  <c:v>122.31301258123939</c:v>
                </c:pt>
                <c:pt idx="242">
                  <c:v>121.83205705500359</c:v>
                </c:pt>
                <c:pt idx="243">
                  <c:v>121.35051444945327</c:v>
                </c:pt>
                <c:pt idx="244">
                  <c:v>120.86876926052936</c:v>
                </c:pt>
                <c:pt idx="245">
                  <c:v>120.38719636508313</c:v>
                </c:pt>
                <c:pt idx="246">
                  <c:v>119.90616039295041</c:v>
                </c:pt>
                <c:pt idx="247">
                  <c:v>119.42601515282718</c:v>
                </c:pt>
                <c:pt idx="248">
                  <c:v>118.9471031138535</c:v>
                </c:pt>
                <c:pt idx="249">
                  <c:v>118.46975494429188</c:v>
                </c:pt>
                <c:pt idx="250">
                  <c:v>117.99428910816641</c:v>
                </c:pt>
                <c:pt idx="251">
                  <c:v>117.52101152021541</c:v>
                </c:pt>
                <c:pt idx="252">
                  <c:v>117.05021525902561</c:v>
                </c:pt>
                <c:pt idx="253">
                  <c:v>116.58218033774168</c:v>
                </c:pt>
                <c:pt idx="254">
                  <c:v>116.1171735313177</c:v>
                </c:pt>
                <c:pt idx="255">
                  <c:v>115.6554482588645</c:v>
                </c:pt>
                <c:pt idx="256">
                  <c:v>115.1972445192926</c:v>
                </c:pt>
                <c:pt idx="257">
                  <c:v>114.74278887811661</c:v>
                </c:pt>
                <c:pt idx="258">
                  <c:v>114.29229450301219</c:v>
                </c:pt>
                <c:pt idx="259">
                  <c:v>113.8459612454739</c:v>
                </c:pt>
                <c:pt idx="260">
                  <c:v>113.40397576572784</c:v>
                </c:pt>
                <c:pt idx="261">
                  <c:v>112.96651169789679</c:v>
                </c:pt>
                <c:pt idx="262">
                  <c:v>112.53372985230781</c:v>
                </c:pt>
                <c:pt idx="263">
                  <c:v>112.10577845175307</c:v>
                </c:pt>
                <c:pt idx="264">
                  <c:v>111.68279339848561</c:v>
                </c:pt>
                <c:pt idx="265">
                  <c:v>111.26489856872153</c:v>
                </c:pt>
                <c:pt idx="266">
                  <c:v>110.85220613145658</c:v>
                </c:pt>
                <c:pt idx="267">
                  <c:v>110.44481688846223</c:v>
                </c:pt>
                <c:pt idx="268">
                  <c:v>110.04282063239904</c:v>
                </c:pt>
                <c:pt idx="269">
                  <c:v>109.6462965201062</c:v>
                </c:pt>
                <c:pt idx="270">
                  <c:v>109.25531345823113</c:v>
                </c:pt>
                <c:pt idx="271">
                  <c:v>108.86993049851168</c:v>
                </c:pt>
                <c:pt idx="272">
                  <c:v>108.49019724016871</c:v>
                </c:pt>
                <c:pt idx="273">
                  <c:v>108.11615423702469</c:v>
                </c:pt>
                <c:pt idx="274">
                  <c:v>107.74783340712752</c:v>
                </c:pt>
                <c:pt idx="275">
                  <c:v>107.38525844283247</c:v>
                </c:pt>
                <c:pt idx="276">
                  <c:v>107.02844521945789</c:v>
                </c:pt>
                <c:pt idx="277">
                  <c:v>106.67740220080539</c:v>
                </c:pt>
                <c:pt idx="278">
                  <c:v>106.332130839998</c:v>
                </c:pt>
                <c:pt idx="279">
                  <c:v>105.99262597425775</c:v>
                </c:pt>
                <c:pt idx="280">
                  <c:v>105.65887621239884</c:v>
                </c:pt>
                <c:pt idx="281">
                  <c:v>105.33086431396649</c:v>
                </c:pt>
                <c:pt idx="282">
                  <c:v>105.00856755909561</c:v>
                </c:pt>
                <c:pt idx="283">
                  <c:v>104.69195810830432</c:v>
                </c:pt>
                <c:pt idx="284">
                  <c:v>104.38100335156072</c:v>
                </c:pt>
                <c:pt idx="285">
                  <c:v>104.0756662460891</c:v>
                </c:pt>
                <c:pt idx="286">
                  <c:v>103.77590564248963</c:v>
                </c:pt>
                <c:pt idx="287">
                  <c:v>103.48167659884976</c:v>
                </c:pt>
                <c:pt idx="288">
                  <c:v>103.1929306826231</c:v>
                </c:pt>
                <c:pt idx="289">
                  <c:v>102.90961626013453</c:v>
                </c:pt>
                <c:pt idx="290">
                  <c:v>102.6316787736517</c:v>
                </c:pt>
                <c:pt idx="291">
                  <c:v>102.35906100603077</c:v>
                </c:pt>
                <c:pt idx="292">
                  <c:v>102.09170333300835</c:v>
                </c:pt>
                <c:pt idx="293">
                  <c:v>101.82954396326696</c:v>
                </c:pt>
                <c:pt idx="294">
                  <c:v>101.5725191664486</c:v>
                </c:pt>
                <c:pt idx="295">
                  <c:v>101.32056348933504</c:v>
                </c:pt>
                <c:pt idx="296">
                  <c:v>101.07360996044655</c:v>
                </c:pt>
                <c:pt idx="297">
                  <c:v>100.83159028334454</c:v>
                </c:pt>
                <c:pt idx="298">
                  <c:v>100.5944350189469</c:v>
                </c:pt>
                <c:pt idx="299">
                  <c:v>100.36207375718571</c:v>
                </c:pt>
                <c:pt idx="300">
                  <c:v>100.13443527835355</c:v>
                </c:pt>
                <c:pt idx="301">
                  <c:v>99.91144770449759</c:v>
                </c:pt>
                <c:pt idx="302">
                  <c:v>99.693038641228696</c:v>
                </c:pt>
                <c:pt idx="303">
                  <c:v>99.479135310319137</c:v>
                </c:pt>
                <c:pt idx="304">
                  <c:v>99.269664673465513</c:v>
                </c:pt>
                <c:pt idx="305">
                  <c:v>99.064553547593647</c:v>
                </c:pt>
                <c:pt idx="306">
                  <c:v>98.863728712081567</c:v>
                </c:pt>
                <c:pt idx="307">
                  <c:v>98.667117008271745</c:v>
                </c:pt>
                <c:pt idx="308">
                  <c:v>98.47464543163953</c:v>
                </c:pt>
                <c:pt idx="309">
                  <c:v>98.286241216979278</c:v>
                </c:pt>
                <c:pt idx="310">
                  <c:v>98.101831916958375</c:v>
                </c:pt>
                <c:pt idx="311">
                  <c:v>97.921345474385987</c:v>
                </c:pt>
                <c:pt idx="312">
                  <c:v>97.7447102885276</c:v>
                </c:pt>
                <c:pt idx="313">
                  <c:v>97.571855275792899</c:v>
                </c:pt>
                <c:pt idx="314">
                  <c:v>97.402709925108766</c:v>
                </c:pt>
                <c:pt idx="315">
                  <c:v>97.237204348280088</c:v>
                </c:pt>
                <c:pt idx="316">
                  <c:v>97.075269325629776</c:v>
                </c:pt>
                <c:pt idx="317">
                  <c:v>96.91683634719962</c:v>
                </c:pt>
                <c:pt idx="318">
                  <c:v>96.761837649777519</c:v>
                </c:pt>
                <c:pt idx="319">
                  <c:v>96.610206250010989</c:v>
                </c:pt>
                <c:pt idx="320">
                  <c:v>96.461875973850823</c:v>
                </c:pt>
                <c:pt idx="321">
                  <c:v>96.316781482559861</c:v>
                </c:pt>
                <c:pt idx="322">
                  <c:v>96.174858295510546</c:v>
                </c:pt>
                <c:pt idx="323">
                  <c:v>96.036042809983016</c:v>
                </c:pt>
                <c:pt idx="324">
                  <c:v>95.900272318166301</c:v>
                </c:pt>
                <c:pt idx="325">
                  <c:v>95.767485021553554</c:v>
                </c:pt>
                <c:pt idx="326">
                  <c:v>95.63762004291398</c:v>
                </c:pt>
                <c:pt idx="327">
                  <c:v>95.51061743601143</c:v>
                </c:pt>
                <c:pt idx="328">
                  <c:v>95.386418193235357</c:v>
                </c:pt>
                <c:pt idx="329">
                  <c:v>95.264964251293023</c:v>
                </c:pt>
                <c:pt idx="330">
                  <c:v>95.146198495113239</c:v>
                </c:pt>
                <c:pt idx="331">
                  <c:v>95.030064760093694</c:v>
                </c:pt>
                <c:pt idx="332">
                  <c:v>94.9165078328231</c:v>
                </c:pt>
                <c:pt idx="333">
                  <c:v>94.805473450398679</c:v>
                </c:pt>
                <c:pt idx="334">
                  <c:v>94.696908298451135</c:v>
                </c:pt>
                <c:pt idx="335">
                  <c:v>94.590760007987356</c:v>
                </c:pt>
                <c:pt idx="336">
                  <c:v>94.486977151147443</c:v>
                </c:pt>
                <c:pt idx="337">
                  <c:v>94.385509235972037</c:v>
                </c:pt>
                <c:pt idx="338">
                  <c:v>94.286306700267914</c:v>
                </c:pt>
                <c:pt idx="339">
                  <c:v>94.189320904653997</c:v>
                </c:pt>
                <c:pt idx="340">
                  <c:v>94.094504124864216</c:v>
                </c:pt>
                <c:pt idx="341">
                  <c:v>94.001809543380361</c:v>
                </c:pt>
                <c:pt idx="342">
                  <c:v>93.911191240461221</c:v>
                </c:pt>
                <c:pt idx="343">
                  <c:v>93.822604184631231</c:v>
                </c:pt>
                <c:pt idx="344">
                  <c:v>93.736004222686518</c:v>
                </c:pt>
                <c:pt idx="345">
                  <c:v>93.651348069273553</c:v>
                </c:pt>
                <c:pt idx="346">
                  <c:v>93.568593296089702</c:v>
                </c:pt>
                <c:pt idx="347">
                  <c:v>93.487698320754461</c:v>
                </c:pt>
                <c:pt idx="348">
                  <c:v>93.408622395393238</c:v>
                </c:pt>
                <c:pt idx="349">
                  <c:v>93.331325594975439</c:v>
                </c:pt>
                <c:pt idx="350">
                  <c:v>93.255768805443822</c:v>
                </c:pt>
                <c:pt idx="351">
                  <c:v>93.18191371167002</c:v>
                </c:pt>
                <c:pt idx="352">
                  <c:v>93.109722785268204</c:v>
                </c:pt>
                <c:pt idx="353">
                  <c:v>93.039159272297056</c:v>
                </c:pt>
                <c:pt idx="354">
                  <c:v>92.97018718087628</c:v>
                </c:pt>
                <c:pt idx="355">
                  <c:v>92.902771268744559</c:v>
                </c:pt>
                <c:pt idx="356">
                  <c:v>92.836877030780485</c:v>
                </c:pt>
                <c:pt idx="357">
                  <c:v>92.772470686508896</c:v>
                </c:pt>
                <c:pt idx="358">
                  <c:v>92.709519167611603</c:v>
                </c:pt>
                <c:pt idx="359">
                  <c:v>92.647990105460693</c:v>
                </c:pt>
                <c:pt idx="360">
                  <c:v>92.58785181869068</c:v>
                </c:pt>
                <c:pt idx="361">
                  <c:v>92.529073300824308</c:v>
                </c:pt>
                <c:pt idx="362">
                  <c:v>92.47162420796586</c:v>
                </c:pt>
                <c:pt idx="363">
                  <c:v>92.415474846574099</c:v>
                </c:pt>
                <c:pt idx="364">
                  <c:v>92.360596161326143</c:v>
                </c:pt>
                <c:pt idx="365">
                  <c:v>92.306959723082272</c:v>
                </c:pt>
                <c:pt idx="366">
                  <c:v>92.254537716960883</c:v>
                </c:pt>
                <c:pt idx="367">
                  <c:v>92.203302930531692</c:v>
                </c:pt>
                <c:pt idx="368">
                  <c:v>92.153228742134502</c:v>
                </c:pt>
                <c:pt idx="369">
                  <c:v>92.104289109329926</c:v>
                </c:pt>
                <c:pt idx="370">
                  <c:v>92.056458557487886</c:v>
                </c:pt>
                <c:pt idx="371">
                  <c:v>92.009712168519158</c:v>
                </c:pt>
                <c:pt idx="372">
                  <c:v>91.964025569753673</c:v>
                </c:pt>
                <c:pt idx="373">
                  <c:v>91.919374922970349</c:v>
                </c:pt>
                <c:pt idx="374">
                  <c:v>91.875736913580823</c:v>
                </c:pt>
                <c:pt idx="375">
                  <c:v>91.833088739970378</c:v>
                </c:pt>
                <c:pt idx="376">
                  <c:v>91.791408102998233</c:v>
                </c:pt>
                <c:pt idx="377">
                  <c:v>91.750673195658806</c:v>
                </c:pt>
                <c:pt idx="378">
                  <c:v>91.710862692905835</c:v>
                </c:pt>
                <c:pt idx="379">
                  <c:v>91.671955741639962</c:v>
                </c:pt>
                <c:pt idx="380">
                  <c:v>91.633931950860841</c:v>
                </c:pt>
                <c:pt idx="381">
                  <c:v>91.596771381984254</c:v>
                </c:pt>
                <c:pt idx="382">
                  <c:v>91.560454539324056</c:v>
                </c:pt>
                <c:pt idx="383">
                  <c:v>91.524962360739167</c:v>
                </c:pt>
                <c:pt idx="384">
                  <c:v>91.490276208445138</c:v>
                </c:pt>
                <c:pt idx="385">
                  <c:v>91.456377859989772</c:v>
                </c:pt>
                <c:pt idx="386">
                  <c:v>91.423249499391957</c:v>
                </c:pt>
                <c:pt idx="387">
                  <c:v>91.390873708442967</c:v>
                </c:pt>
                <c:pt idx="388">
                  <c:v>91.359233458168831</c:v>
                </c:pt>
                <c:pt idx="389">
                  <c:v>91.328312100452919</c:v>
                </c:pt>
                <c:pt idx="390">
                  <c:v>91.298093359817116</c:v>
                </c:pt>
                <c:pt idx="391">
                  <c:v>91.268561325360039</c:v>
                </c:pt>
                <c:pt idx="392">
                  <c:v>91.239700442850946</c:v>
                </c:pt>
                <c:pt idx="393">
                  <c:v>91.211495506977499</c:v>
                </c:pt>
                <c:pt idx="394">
                  <c:v>91.183931653745518</c:v>
                </c:pt>
                <c:pt idx="395">
                  <c:v>91.156994353029148</c:v>
                </c:pt>
                <c:pt idx="396">
                  <c:v>91.130669401269245</c:v>
                </c:pt>
                <c:pt idx="397">
                  <c:v>91.104942914318187</c:v>
                </c:pt>
                <c:pt idx="398">
                  <c:v>91.079801320429027</c:v>
                </c:pt>
                <c:pt idx="399">
                  <c:v>91.055231353386944</c:v>
                </c:pt>
                <c:pt idx="400">
                  <c:v>91.031220045780898</c:v>
                </c:pt>
                <c:pt idx="401">
                  <c:v>91.007754722413424</c:v>
                </c:pt>
                <c:pt idx="402">
                  <c:v>90.984822993846223</c:v>
                </c:pt>
                <c:pt idx="403">
                  <c:v>90.962412750079778</c:v>
                </c:pt>
                <c:pt idx="404">
                  <c:v>90.940512154364356</c:v>
                </c:pt>
                <c:pt idx="405">
                  <c:v>90.919109637140579</c:v>
                </c:pt>
                <c:pt idx="406">
                  <c:v>90.898193890107137</c:v>
                </c:pt>
                <c:pt idx="407">
                  <c:v>90.877753860413733</c:v>
                </c:pt>
                <c:pt idx="408">
                  <c:v>90.857778744976642</c:v>
                </c:pt>
                <c:pt idx="409">
                  <c:v>90.838257984915302</c:v>
                </c:pt>
                <c:pt idx="410">
                  <c:v>90.819181260107058</c:v>
                </c:pt>
                <c:pt idx="411">
                  <c:v>90.800538483858631</c:v>
                </c:pt>
                <c:pt idx="412">
                  <c:v>90.782319797691542</c:v>
                </c:pt>
                <c:pt idx="413">
                  <c:v>90.764515566239865</c:v>
                </c:pt>
                <c:pt idx="414">
                  <c:v>90.747116372257707</c:v>
                </c:pt>
                <c:pt idx="415">
                  <c:v>90.730113011734815</c:v>
                </c:pt>
                <c:pt idx="416">
                  <c:v>90.713496489117873</c:v>
                </c:pt>
                <c:pt idx="417">
                  <c:v>90.697258012635572</c:v>
                </c:pt>
                <c:pt idx="418">
                  <c:v>90.681388989725505</c:v>
                </c:pt>
                <c:pt idx="419">
                  <c:v>90.66588102256064</c:v>
                </c:pt>
                <c:pt idx="420">
                  <c:v>90.650725903673731</c:v>
                </c:pt>
                <c:pt idx="421">
                  <c:v>90.635915611677348</c:v>
                </c:pt>
                <c:pt idx="422">
                  <c:v>90.621442307077956</c:v>
                </c:pt>
                <c:pt idx="423">
                  <c:v>90.607298328181813</c:v>
                </c:pt>
                <c:pt idx="424">
                  <c:v>90.593476187091042</c:v>
                </c:pt>
                <c:pt idx="425">
                  <c:v>90.579968565788008</c:v>
                </c:pt>
                <c:pt idx="426">
                  <c:v>90.566768312305982</c:v>
                </c:pt>
                <c:pt idx="427">
                  <c:v>90.553868436984615</c:v>
                </c:pt>
                <c:pt idx="428">
                  <c:v>90.541262108808226</c:v>
                </c:pt>
                <c:pt idx="429">
                  <c:v>90.528942651825218</c:v>
                </c:pt>
                <c:pt idx="430">
                  <c:v>90.516903541647054</c:v>
                </c:pt>
                <c:pt idx="431">
                  <c:v>90.505138402024883</c:v>
                </c:pt>
                <c:pt idx="432">
                  <c:v>90.493641001502525</c:v>
                </c:pt>
                <c:pt idx="433">
                  <c:v>90.482405250143643</c:v>
                </c:pt>
                <c:pt idx="434">
                  <c:v>90.471425196332248</c:v>
                </c:pt>
                <c:pt idx="435">
                  <c:v>90.460695023644291</c:v>
                </c:pt>
                <c:pt idx="436">
                  <c:v>90.450209047789272</c:v>
                </c:pt>
                <c:pt idx="437">
                  <c:v>90.439961713620136</c:v>
                </c:pt>
                <c:pt idx="438">
                  <c:v>90.42994759221007</c:v>
                </c:pt>
                <c:pt idx="439">
                  <c:v>90.420161377994773</c:v>
                </c:pt>
                <c:pt idx="440">
                  <c:v>90.410597885978731</c:v>
                </c:pt>
                <c:pt idx="441">
                  <c:v>90.401252049004086</c:v>
                </c:pt>
                <c:pt idx="442">
                  <c:v>90.392118915080857</c:v>
                </c:pt>
                <c:pt idx="443">
                  <c:v>90.383193644777009</c:v>
                </c:pt>
                <c:pt idx="444">
                  <c:v>90.374471508667256</c:v>
                </c:pt>
                <c:pt idx="445">
                  <c:v>90.36594788483913</c:v>
                </c:pt>
                <c:pt idx="446">
                  <c:v>90.357618256455197</c:v>
                </c:pt>
                <c:pt idx="447">
                  <c:v>90.349478209370034</c:v>
                </c:pt>
                <c:pt idx="448">
                  <c:v>90.341523429801015</c:v>
                </c:pt>
                <c:pt idx="449">
                  <c:v>90.333749702051435</c:v>
                </c:pt>
                <c:pt idx="450">
                  <c:v>90.326152906284975</c:v>
                </c:pt>
                <c:pt idx="451">
                  <c:v>90.318729016350417</c:v>
                </c:pt>
                <c:pt idx="452">
                  <c:v>90.311474097655335</c:v>
                </c:pt>
                <c:pt idx="453">
                  <c:v>90.304384305087794</c:v>
                </c:pt>
                <c:pt idx="454">
                  <c:v>90.297455880985069</c:v>
                </c:pt>
                <c:pt idx="455">
                  <c:v>90.290685153147976</c:v>
                </c:pt>
                <c:pt idx="456">
                  <c:v>90.284068532900463</c:v>
                </c:pt>
                <c:pt idx="457">
                  <c:v>90.277602513192619</c:v>
                </c:pt>
                <c:pt idx="458">
                  <c:v>90.271283666746911</c:v>
                </c:pt>
                <c:pt idx="459">
                  <c:v>90.265108644246126</c:v>
                </c:pt>
                <c:pt idx="460">
                  <c:v>90.25907417256245</c:v>
                </c:pt>
                <c:pt idx="461">
                  <c:v>90.253177053026448</c:v>
                </c:pt>
                <c:pt idx="462">
                  <c:v>90.24741415973547</c:v>
                </c:pt>
                <c:pt idx="463">
                  <c:v>90.241782437900056</c:v>
                </c:pt>
                <c:pt idx="464">
                  <c:v>90.236278902228051</c:v>
                </c:pt>
                <c:pt idx="465">
                  <c:v>90.230900635345122</c:v>
                </c:pt>
                <c:pt idx="466">
                  <c:v>90.225644786251209</c:v>
                </c:pt>
                <c:pt idx="467">
                  <c:v>90.220508568811866</c:v>
                </c:pt>
                <c:pt idx="468">
                  <c:v>90.215489260283718</c:v>
                </c:pt>
                <c:pt idx="469">
                  <c:v>90.210584199873651</c:v>
                </c:pt>
                <c:pt idx="470">
                  <c:v>90.20579078733023</c:v>
                </c:pt>
                <c:pt idx="471">
                  <c:v>90.20110648156745</c:v>
                </c:pt>
                <c:pt idx="472">
                  <c:v>90.196528799319452</c:v>
                </c:pt>
                <c:pt idx="473">
                  <c:v>90.192055313825875</c:v>
                </c:pt>
                <c:pt idx="474">
                  <c:v>90.187683653547012</c:v>
                </c:pt>
                <c:pt idx="475">
                  <c:v>90.183411500908107</c:v>
                </c:pt>
                <c:pt idx="476">
                  <c:v>90.179236591072126</c:v>
                </c:pt>
                <c:pt idx="477">
                  <c:v>90.175156710740467</c:v>
                </c:pt>
                <c:pt idx="478">
                  <c:v>90.171169696980826</c:v>
                </c:pt>
                <c:pt idx="479">
                  <c:v>90.167273436081658</c:v>
                </c:pt>
                <c:pt idx="480">
                  <c:v>90.163465862432702</c:v>
                </c:pt>
                <c:pt idx="481">
                  <c:v>90.159744957430945</c:v>
                </c:pt>
                <c:pt idx="482">
                  <c:v>90.156108748411299</c:v>
                </c:pt>
                <c:pt idx="483">
                  <c:v>90.152555307601773</c:v>
                </c:pt>
                <c:pt idx="484">
                  <c:v>90.149082751102227</c:v>
                </c:pt>
                <c:pt idx="485">
                  <c:v>90.145689237886288</c:v>
                </c:pt>
                <c:pt idx="486">
                  <c:v>90.142372968826166</c:v>
                </c:pt>
                <c:pt idx="487">
                  <c:v>90.139132185739371</c:v>
                </c:pt>
                <c:pt idx="488">
                  <c:v>90.135965170457283</c:v>
                </c:pt>
                <c:pt idx="489">
                  <c:v>90.132870243914724</c:v>
                </c:pt>
                <c:pt idx="490">
                  <c:v>90.129845765260399</c:v>
                </c:pt>
                <c:pt idx="491">
                  <c:v>90.12689013098742</c:v>
                </c:pt>
                <c:pt idx="492">
                  <c:v>90.124001774083624</c:v>
                </c:pt>
                <c:pt idx="493">
                  <c:v>90.121179163201262</c:v>
                </c:pt>
                <c:pt idx="494">
                  <c:v>90.118420801845474</c:v>
                </c:pt>
                <c:pt idx="495">
                  <c:v>90.115725227581336</c:v>
                </c:pt>
                <c:pt idx="496">
                  <c:v>90.11309101125876</c:v>
                </c:pt>
                <c:pt idx="497">
                  <c:v>90.110516756255208</c:v>
                </c:pt>
                <c:pt idx="498">
                  <c:v>90.108001097735482</c:v>
                </c:pt>
                <c:pt idx="499">
                  <c:v>90.105542701928442</c:v>
                </c:pt>
                <c:pt idx="500">
                  <c:v>90.103140265420066</c:v>
                </c:pt>
                <c:pt idx="501">
                  <c:v>90.100792514462725</c:v>
                </c:pt>
                <c:pt idx="502">
                  <c:v>90.098498204300057</c:v>
                </c:pt>
                <c:pt idx="503">
                  <c:v>90.096256118507171</c:v>
                </c:pt>
                <c:pt idx="504">
                  <c:v>90.094065068346055</c:v>
                </c:pt>
                <c:pt idx="505">
                  <c:v>90.091923892135355</c:v>
                </c:pt>
                <c:pt idx="506">
                  <c:v>90.089831454634776</c:v>
                </c:pt>
                <c:pt idx="507">
                  <c:v>90.087786646443234</c:v>
                </c:pt>
                <c:pt idx="508">
                  <c:v>90.085788383410872</c:v>
                </c:pt>
                <c:pt idx="509">
                  <c:v>90.083835606064426</c:v>
                </c:pt>
                <c:pt idx="510">
                  <c:v>90.081927279045544</c:v>
                </c:pt>
                <c:pt idx="511">
                  <c:v>90.080062390562077</c:v>
                </c:pt>
                <c:pt idx="512">
                  <c:v>90.078239951851643</c:v>
                </c:pt>
                <c:pt idx="513">
                  <c:v>90.076458996657536</c:v>
                </c:pt>
                <c:pt idx="514">
                  <c:v>90.074718580716564</c:v>
                </c:pt>
                <c:pt idx="515">
                  <c:v>90.073017781258457</c:v>
                </c:pt>
                <c:pt idx="516">
                  <c:v>90.07135569651669</c:v>
                </c:pt>
                <c:pt idx="517">
                  <c:v>90.069731445250454</c:v>
                </c:pt>
                <c:pt idx="518">
                  <c:v>90.068144166277563</c:v>
                </c:pt>
                <c:pt idx="519">
                  <c:v>90.066593018017841</c:v>
                </c:pt>
                <c:pt idx="520">
                  <c:v>90.065077178046991</c:v>
                </c:pt>
                <c:pt idx="521">
                  <c:v>90.063595842660689</c:v>
                </c:pt>
                <c:pt idx="522">
                  <c:v>90.062148226448414</c:v>
                </c:pt>
                <c:pt idx="523">
                  <c:v>90.060733561877157</c:v>
                </c:pt>
                <c:pt idx="524">
                  <c:v>90.059351098884449</c:v>
                </c:pt>
                <c:pt idx="525">
                  <c:v>90.058000104480783</c:v>
                </c:pt>
                <c:pt idx="526">
                  <c:v>90.056679862361037</c:v>
                </c:pt>
                <c:pt idx="527">
                  <c:v>90.055389672524612</c:v>
                </c:pt>
                <c:pt idx="528">
                  <c:v>90.054128850904462</c:v>
                </c:pt>
                <c:pt idx="529">
                  <c:v>90.052896729004388</c:v>
                </c:pt>
                <c:pt idx="530">
                  <c:v>90.051692653544578</c:v>
                </c:pt>
                <c:pt idx="531">
                  <c:v>90.050515986115371</c:v>
                </c:pt>
                <c:pt idx="532">
                  <c:v>90.049366102838647</c:v>
                </c:pt>
                <c:pt idx="533">
                  <c:v>90.04824239403726</c:v>
                </c:pt>
                <c:pt idx="534">
                  <c:v>90.047144263911633</c:v>
                </c:pt>
                <c:pt idx="535">
                  <c:v>90.046071130223979</c:v>
                </c:pt>
                <c:pt idx="536">
                  <c:v>90.045022423989622</c:v>
                </c:pt>
                <c:pt idx="537">
                  <c:v>90.043997589175305</c:v>
                </c:pt>
                <c:pt idx="538">
                  <c:v>90.042996082404343</c:v>
                </c:pt>
                <c:pt idx="539">
                  <c:v>90.042017372668695</c:v>
                </c:pt>
                <c:pt idx="540">
                  <c:v>90.041060941047249</c:v>
                </c:pt>
                <c:pt idx="541">
                  <c:v>90.040126280430883</c:v>
                </c:pt>
              </c:numCache>
            </c:numRef>
          </c:yVal>
          <c:smooth val="1"/>
          <c:extLst>
            <c:ext xmlns:c16="http://schemas.microsoft.com/office/drawing/2014/chart" uri="{C3380CC4-5D6E-409C-BE32-E72D297353CC}">
              <c16:uniqueId val="{00000001-4F4B-43C9-BE46-3F56EC7D1C25}"/>
            </c:ext>
          </c:extLst>
        </c:ser>
        <c:dLbls>
          <c:showLegendKey val="0"/>
          <c:showVal val="0"/>
          <c:showCatName val="0"/>
          <c:showSerName val="0"/>
          <c:showPercent val="0"/>
          <c:showBubbleSize val="0"/>
        </c:dLbls>
        <c:axId val="384260736"/>
        <c:axId val="384259200"/>
      </c:scatterChart>
      <c:valAx>
        <c:axId val="384242816"/>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84244736"/>
        <c:crosses val="autoZero"/>
        <c:crossBetween val="midCat"/>
      </c:valAx>
      <c:valAx>
        <c:axId val="384244736"/>
        <c:scaling>
          <c:orientation val="minMax"/>
          <c:max val="40"/>
          <c:min val="-40"/>
        </c:scaling>
        <c:delete val="0"/>
        <c:axPos val="l"/>
        <c:majorGridlines/>
        <c:minorGridlines/>
        <c:title>
          <c:tx>
            <c:rich>
              <a:bodyPr rot="-5400000" vert="horz"/>
              <a:lstStyle/>
              <a:p>
                <a:pPr>
                  <a:defRPr/>
                </a:pPr>
                <a:r>
                  <a:rPr lang="en-US"/>
                  <a:t>Gain</a:t>
                </a:r>
                <a:r>
                  <a:rPr lang="en-US" baseline="0"/>
                  <a:t> (dB)</a:t>
                </a:r>
                <a:endParaRPr lang="en-US"/>
              </a:p>
            </c:rich>
          </c:tx>
          <c:overlay val="0"/>
        </c:title>
        <c:numFmt formatCode="General" sourceLinked="0"/>
        <c:majorTickMark val="out"/>
        <c:minorTickMark val="none"/>
        <c:tickLblPos val="nextTo"/>
        <c:crossAx val="384242816"/>
        <c:crosses val="autoZero"/>
        <c:crossBetween val="midCat"/>
        <c:majorUnit val="20"/>
        <c:minorUnit val="10"/>
      </c:valAx>
      <c:valAx>
        <c:axId val="384259200"/>
        <c:scaling>
          <c:orientation val="minMax"/>
          <c:max val="180"/>
          <c:min val="-180"/>
        </c:scaling>
        <c:delete val="0"/>
        <c:axPos val="r"/>
        <c:numFmt formatCode="General" sourceLinked="1"/>
        <c:majorTickMark val="out"/>
        <c:minorTickMark val="none"/>
        <c:tickLblPos val="nextTo"/>
        <c:crossAx val="384260736"/>
        <c:crosses val="max"/>
        <c:crossBetween val="midCat"/>
        <c:majorUnit val="90"/>
        <c:minorUnit val="45"/>
      </c:valAx>
      <c:valAx>
        <c:axId val="384260736"/>
        <c:scaling>
          <c:logBase val="10"/>
          <c:orientation val="minMax"/>
        </c:scaling>
        <c:delete val="1"/>
        <c:axPos val="b"/>
        <c:numFmt formatCode="0.00" sourceLinked="1"/>
        <c:majorTickMark val="out"/>
        <c:minorTickMark val="none"/>
        <c:tickLblPos val="nextTo"/>
        <c:crossAx val="384259200"/>
        <c:crosses val="autoZero"/>
        <c:crossBetween val="midCat"/>
      </c:valAx>
    </c:plotArea>
    <c:legend>
      <c:legendPos val="r"/>
      <c:layout>
        <c:manualLayout>
          <c:xMode val="edge"/>
          <c:yMode val="edge"/>
          <c:x val="0.79880558209512509"/>
          <c:y val="0.14321997959862004"/>
          <c:w val="0.13485048155591431"/>
          <c:h val="0.10528624969913696"/>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Control Loop Transfer Function</a:t>
            </a:r>
          </a:p>
        </c:rich>
      </c:tx>
      <c:overlay val="0"/>
    </c:title>
    <c:autoTitleDeleted val="0"/>
    <c:plotArea>
      <c:layout/>
      <c:scatterChart>
        <c:scatterStyle val="smoothMarker"/>
        <c:varyColors val="0"/>
        <c:ser>
          <c:idx val="0"/>
          <c:order val="0"/>
          <c:tx>
            <c:v>Gain (dB)</c:v>
          </c:tx>
          <c:spPr>
            <a:ln w="38100">
              <a:solidFill>
                <a:srgbClr val="FF0000"/>
              </a:solidFill>
            </a:ln>
          </c:spPr>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CCM_Loop_Modeling_non_isolated!$AT$19:$AT$560</c:f>
              <c:numCache>
                <c:formatCode>0.000</c:formatCode>
                <c:ptCount val="542"/>
                <c:pt idx="0">
                  <c:v>101.87158436795758</c:v>
                </c:pt>
                <c:pt idx="1">
                  <c:v>101.55001556658675</c:v>
                </c:pt>
                <c:pt idx="2">
                  <c:v>101.22627297063329</c:v>
                </c:pt>
                <c:pt idx="3">
                  <c:v>100.90038089047769</c:v>
                </c:pt>
                <c:pt idx="4">
                  <c:v>100.57236551348304</c:v>
                </c:pt>
                <c:pt idx="5">
                  <c:v>100.24225480683558</c:v>
                </c:pt>
                <c:pt idx="6">
                  <c:v>99.910078415753503</c:v>
                </c:pt>
                <c:pt idx="7">
                  <c:v>99.575867557835039</c:v>
                </c:pt>
                <c:pt idx="8">
                  <c:v>99.239654914327645</c:v>
                </c:pt>
                <c:pt idx="9">
                  <c:v>98.901474519088097</c:v>
                </c:pt>
                <c:pt idx="10">
                  <c:v>98.561361645998034</c:v>
                </c:pt>
                <c:pt idx="11">
                  <c:v>98.219352695572425</c:v>
                </c:pt>
                <c:pt idx="12">
                  <c:v>97.875485081475915</c:v>
                </c:pt>
                <c:pt idx="13">
                  <c:v>97.529797117623758</c:v>
                </c:pt>
                <c:pt idx="14">
                  <c:v>97.182327906507965</c:v>
                </c:pt>
                <c:pt idx="15">
                  <c:v>96.83311722934404</c:v>
                </c:pt>
                <c:pt idx="16">
                  <c:v>96.482205438585979</c:v>
                </c:pt>
                <c:pt idx="17">
                  <c:v>96.129633353309188</c:v>
                </c:pt>
                <c:pt idx="18">
                  <c:v>95.775442157905971</c:v>
                </c:pt>
                <c:pt idx="19">
                  <c:v>95.419673304489478</c:v>
                </c:pt>
                <c:pt idx="20">
                  <c:v>95.062368419345319</c:v>
                </c:pt>
                <c:pt idx="21">
                  <c:v>94.703569213720144</c:v>
                </c:pt>
                <c:pt idx="22">
                  <c:v>94.343317399184755</c:v>
                </c:pt>
                <c:pt idx="23">
                  <c:v>93.981654607758088</c:v>
                </c:pt>
                <c:pt idx="24">
                  <c:v>93.618622316933738</c:v>
                </c:pt>
                <c:pt idx="25">
                  <c:v>93.254261779703512</c:v>
                </c:pt>
                <c:pt idx="26">
                  <c:v>92.888613959632835</c:v>
                </c:pt>
                <c:pt idx="27">
                  <c:v>92.521719471000665</c:v>
                </c:pt>
                <c:pt idx="28">
                  <c:v>92.153618523985941</c:v>
                </c:pt>
                <c:pt idx="29">
                  <c:v>91.784350874844534</c:v>
                </c:pt>
                <c:pt idx="30">
                  <c:v>91.413955780999189</c:v>
                </c:pt>
                <c:pt idx="31">
                  <c:v>91.042471960931536</c:v>
                </c:pt>
                <c:pt idx="32">
                  <c:v>90.669937558751087</c:v>
                </c:pt>
                <c:pt idx="33">
                  <c:v>90.296390113291096</c:v>
                </c:pt>
                <c:pt idx="34">
                  <c:v>89.921866531571624</c:v>
                </c:pt>
                <c:pt idx="35">
                  <c:v>89.546403066451248</c:v>
                </c:pt>
                <c:pt idx="36">
                  <c:v>89.170035298284546</c:v>
                </c:pt>
                <c:pt idx="37">
                  <c:v>88.792798120392604</c:v>
                </c:pt>
                <c:pt idx="38">
                  <c:v>88.414725728148369</c:v>
                </c:pt>
                <c:pt idx="39">
                  <c:v>88.03585161147862</c:v>
                </c:pt>
                <c:pt idx="40">
                  <c:v>87.656208550580573</c:v>
                </c:pt>
                <c:pt idx="41">
                  <c:v>87.275828614653648</c:v>
                </c:pt>
                <c:pt idx="42">
                  <c:v>86.894743163450386</c:v>
                </c:pt>
                <c:pt idx="43">
                  <c:v>86.512982851451426</c:v>
                </c:pt>
                <c:pt idx="44">
                  <c:v>86.130577634477532</c:v>
                </c:pt>
                <c:pt idx="45">
                  <c:v>85.747556778554852</c:v>
                </c:pt>
                <c:pt idx="46">
                  <c:v>85.363948870858636</c:v>
                </c:pt>
                <c:pt idx="47">
                  <c:v>84.979781832565635</c:v>
                </c:pt>
                <c:pt idx="48">
                  <c:v>84.59508293345516</c:v>
                </c:pt>
                <c:pt idx="49">
                  <c:v>84.209878808105202</c:v>
                </c:pt>
                <c:pt idx="50">
                  <c:v>83.824195473539973</c:v>
                </c:pt>
                <c:pt idx="51">
                  <c:v>83.438058348191248</c:v>
                </c:pt>
                <c:pt idx="52">
                  <c:v>83.051492272048137</c:v>
                </c:pt>
                <c:pt idx="53">
                  <c:v>82.664521527874115</c:v>
                </c:pt>
                <c:pt idx="54">
                  <c:v>82.27716986338153</c:v>
                </c:pt>
                <c:pt idx="55">
                  <c:v>81.889460514260421</c:v>
                </c:pt>
                <c:pt idx="56">
                  <c:v>81.501416227967269</c:v>
                </c:pt>
                <c:pt idx="57">
                  <c:v>81.113059288187316</c:v>
                </c:pt>
                <c:pt idx="58">
                  <c:v>80.724411539886702</c:v>
                </c:pt>
                <c:pt idx="59">
                  <c:v>80.335494414887464</c:v>
                </c:pt>
                <c:pt idx="60">
                  <c:v>79.946328957894124</c:v>
                </c:pt>
                <c:pt idx="61">
                  <c:v>79.556935852914151</c:v>
                </c:pt>
                <c:pt idx="62">
                  <c:v>79.167335450016949</c:v>
                </c:pt>
                <c:pt idx="63">
                  <c:v>78.777547792382535</c:v>
                </c:pt>
                <c:pt idx="64">
                  <c:v>78.387592643597401</c:v>
                </c:pt>
                <c:pt idx="65">
                  <c:v>77.997489515154356</c:v>
                </c:pt>
                <c:pt idx="66">
                  <c:v>77.607257694125622</c:v>
                </c:pt>
                <c:pt idx="67">
                  <c:v>77.216916270973059</c:v>
                </c:pt>
                <c:pt idx="68">
                  <c:v>76.8264841674698</c:v>
                </c:pt>
                <c:pt idx="69">
                  <c:v>76.435980164706393</c:v>
                </c:pt>
                <c:pt idx="70">
                  <c:v>76.045422931157361</c:v>
                </c:pt>
                <c:pt idx="71">
                  <c:v>75.654831050787848</c:v>
                </c:pt>
                <c:pt idx="72">
                  <c:v>75.264223051179556</c:v>
                </c:pt>
                <c:pt idx="73">
                  <c:v>74.873617431656314</c:v>
                </c:pt>
                <c:pt idx="74">
                  <c:v>74.483032691391813</c:v>
                </c:pt>
                <c:pt idx="75">
                  <c:v>74.092487357480536</c:v>
                </c:pt>
                <c:pt idx="76">
                  <c:v>73.702000012953405</c:v>
                </c:pt>
                <c:pt idx="77">
                  <c:v>73.311589324718966</c:v>
                </c:pt>
                <c:pt idx="78">
                  <c:v>72.921274071409371</c:v>
                </c:pt>
                <c:pt idx="79">
                  <c:v>72.531073171109711</c:v>
                </c:pt>
                <c:pt idx="80">
                  <c:v>72.141005708946523</c:v>
                </c:pt>
                <c:pt idx="81">
                  <c:v>71.751090964508606</c:v>
                </c:pt>
                <c:pt idx="82">
                  <c:v>71.361348439071989</c:v>
                </c:pt>
                <c:pt idx="83">
                  <c:v>70.971797882595254</c:v>
                </c:pt>
                <c:pt idx="84">
                  <c:v>70.582459320450127</c:v>
                </c:pt>
                <c:pt idx="85">
                  <c:v>70.193353079845991</c:v>
                </c:pt>
                <c:pt idx="86">
                  <c:v>69.804499815903625</c:v>
                </c:pt>
                <c:pt idx="87">
                  <c:v>69.415920537328418</c:v>
                </c:pt>
                <c:pt idx="88">
                  <c:v>69.027636631626649</c:v>
                </c:pt>
                <c:pt idx="89">
                  <c:v>68.639669889804239</c:v>
                </c:pt>
                <c:pt idx="90">
                  <c:v>68.252042530479727</c:v>
                </c:pt>
                <c:pt idx="91">
                  <c:v>67.86477722333693</c:v>
                </c:pt>
                <c:pt idx="92">
                  <c:v>67.477897111836086</c:v>
                </c:pt>
                <c:pt idx="93">
                  <c:v>67.091425835094299</c:v>
                </c:pt>
                <c:pt idx="94">
                  <c:v>66.705387548838772</c:v>
                </c:pt>
                <c:pt idx="95">
                  <c:v>66.319806945327855</c:v>
                </c:pt>
                <c:pt idx="96">
                  <c:v>65.934709272127094</c:v>
                </c:pt>
                <c:pt idx="97">
                  <c:v>65.550120349618311</c:v>
                </c:pt>
                <c:pt idx="98">
                  <c:v>65.166066587112368</c:v>
                </c:pt>
                <c:pt idx="99">
                  <c:v>64.782574997427133</c:v>
                </c:pt>
                <c:pt idx="100">
                  <c:v>64.399673209781611</c:v>
                </c:pt>
                <c:pt idx="101">
                  <c:v>64.017389480852501</c:v>
                </c:pt>
                <c:pt idx="102">
                  <c:v>63.635752703827649</c:v>
                </c:pt>
                <c:pt idx="103">
                  <c:v>63.254792415284967</c:v>
                </c:pt>
                <c:pt idx="104">
                  <c:v>62.874538799716831</c:v>
                </c:pt>
                <c:pt idx="105">
                  <c:v>62.495022691514521</c:v>
                </c:pt>
                <c:pt idx="106">
                  <c:v>62.116275574217852</c:v>
                </c:pt>
                <c:pt idx="107">
                  <c:v>61.738329576835376</c:v>
                </c:pt>
                <c:pt idx="108">
                  <c:v>61.361217467030812</c:v>
                </c:pt>
                <c:pt idx="109">
                  <c:v>60.984972640972728</c:v>
                </c:pt>
                <c:pt idx="110">
                  <c:v>60.60962910963972</c:v>
                </c:pt>
                <c:pt idx="111">
                  <c:v>60.23522148137863</c:v>
                </c:pt>
                <c:pt idx="112">
                  <c:v>59.861784940509928</c:v>
                </c:pt>
                <c:pt idx="113">
                  <c:v>59.489355221782816</c:v>
                </c:pt>
                <c:pt idx="114">
                  <c:v>59.117968580488565</c:v>
                </c:pt>
                <c:pt idx="115">
                  <c:v>58.747661758049645</c:v>
                </c:pt>
                <c:pt idx="116">
                  <c:v>58.37847194291345</c:v>
                </c:pt>
                <c:pt idx="117">
                  <c:v>58.010436726597774</c:v>
                </c:pt>
                <c:pt idx="118">
                  <c:v>57.643594054748021</c:v>
                </c:pt>
                <c:pt idx="119">
                  <c:v>57.27798217309396</c:v>
                </c:pt>
                <c:pt idx="120">
                  <c:v>56.913639568213057</c:v>
                </c:pt>
                <c:pt idx="121">
                  <c:v>56.550604903038426</c:v>
                </c:pt>
                <c:pt idx="122">
                  <c:v>56.188916947082149</c:v>
                </c:pt>
                <c:pt idx="123">
                  <c:v>55.828614501375597</c:v>
                </c:pt>
                <c:pt idx="124">
                  <c:v>55.469736318171499</c:v>
                </c:pt>
                <c:pt idx="125">
                  <c:v>55.11232101549141</c:v>
                </c:pt>
                <c:pt idx="126">
                  <c:v>54.756406986645779</c:v>
                </c:pt>
                <c:pt idx="127">
                  <c:v>54.402032304904168</c:v>
                </c:pt>
                <c:pt idx="128">
                  <c:v>54.049234623538894</c:v>
                </c:pt>
                <c:pt idx="129">
                  <c:v>53.698051071517561</c:v>
                </c:pt>
                <c:pt idx="130">
                  <c:v>53.348518145174531</c:v>
                </c:pt>
                <c:pt idx="131">
                  <c:v>53.00067159623832</c:v>
                </c:pt>
                <c:pt idx="132">
                  <c:v>52.654546316651945</c:v>
                </c:pt>
                <c:pt idx="133">
                  <c:v>52.310176220667529</c:v>
                </c:pt>
                <c:pt idx="134">
                  <c:v>51.967594124753241</c:v>
                </c:pt>
                <c:pt idx="135">
                  <c:v>51.626831625891938</c:v>
                </c:pt>
                <c:pt idx="136">
                  <c:v>51.287918978899782</c:v>
                </c:pt>
                <c:pt idx="137">
                  <c:v>50.950884973428963</c:v>
                </c:pt>
                <c:pt idx="138">
                  <c:v>50.615756811356299</c:v>
                </c:pt>
                <c:pt idx="139">
                  <c:v>50.282559985283591</c:v>
                </c:pt>
                <c:pt idx="140">
                  <c:v>49.951318158900563</c:v>
                </c:pt>
                <c:pt idx="141">
                  <c:v>49.622053049972735</c:v>
                </c:pt>
                <c:pt idx="142">
                  <c:v>49.294784316721625</c:v>
                </c:pt>
                <c:pt idx="143">
                  <c:v>48.96952944836255</c:v>
                </c:pt>
                <c:pt idx="144">
                  <c:v>48.646303660549613</c:v>
                </c:pt>
                <c:pt idx="145">
                  <c:v>48.325119796458054</c:v>
                </c:pt>
                <c:pt idx="146">
                  <c:v>48.005988234200956</c:v>
                </c:pt>
                <c:pt idx="147">
                  <c:v>47.688916801234733</c:v>
                </c:pt>
                <c:pt idx="148">
                  <c:v>47.373910696359999</c:v>
                </c:pt>
                <c:pt idx="149">
                  <c:v>47.060972419863475</c:v>
                </c:pt>
                <c:pt idx="150">
                  <c:v>46.750101712281669</c:v>
                </c:pt>
                <c:pt idx="151">
                  <c:v>46.441295502190911</c:v>
                </c:pt>
                <c:pt idx="152">
                  <c:v>46.134547863351543</c:v>
                </c:pt>
                <c:pt idx="153">
                  <c:v>45.829849981446827</c:v>
                </c:pt>
                <c:pt idx="154">
                  <c:v>45.527190130571327</c:v>
                </c:pt>
                <c:pt idx="155">
                  <c:v>45.226553659531774</c:v>
                </c:pt>
                <c:pt idx="156">
                  <c:v>44.927922987934501</c:v>
                </c:pt>
                <c:pt idx="157">
                  <c:v>44.631277611939709</c:v>
                </c:pt>
                <c:pt idx="158">
                  <c:v>44.336594119479344</c:v>
                </c:pt>
                <c:pt idx="159">
                  <c:v>44.043846214647203</c:v>
                </c:pt>
                <c:pt idx="160">
                  <c:v>43.753004750892437</c:v>
                </c:pt>
                <c:pt idx="161">
                  <c:v>43.464037772573548</c:v>
                </c:pt>
                <c:pt idx="162">
                  <c:v>43.176910564360547</c:v>
                </c:pt>
                <c:pt idx="163">
                  <c:v>42.891585707920768</c:v>
                </c:pt>
                <c:pt idx="164">
                  <c:v>42.608023145267879</c:v>
                </c:pt>
                <c:pt idx="165">
                  <c:v>42.326180248115463</c:v>
                </c:pt>
                <c:pt idx="166">
                  <c:v>42.046011892549387</c:v>
                </c:pt>
                <c:pt idx="167">
                  <c:v>41.767470538305233</c:v>
                </c:pt>
                <c:pt idx="168">
                  <c:v>41.490506311934368</c:v>
                </c:pt>
                <c:pt idx="169">
                  <c:v>41.215067093134948</c:v>
                </c:pt>
                <c:pt idx="170">
                  <c:v>40.941098603536084</c:v>
                </c:pt>
                <c:pt idx="171">
                  <c:v>40.668544497240561</c:v>
                </c:pt>
                <c:pt idx="172">
                  <c:v>40.397346452454499</c:v>
                </c:pt>
                <c:pt idx="173">
                  <c:v>40.127444263570013</c:v>
                </c:pt>
                <c:pt idx="174">
                  <c:v>39.85877593310228</c:v>
                </c:pt>
                <c:pt idx="175">
                  <c:v>39.591277762932876</c:v>
                </c:pt>
                <c:pt idx="176">
                  <c:v>39.324884444358176</c:v>
                </c:pt>
                <c:pt idx="177">
                  <c:v>39.059529146499507</c:v>
                </c:pt>
                <c:pt idx="178">
                  <c:v>38.795143602688292</c:v>
                </c:pt>
                <c:pt idx="179">
                  <c:v>38.531658194500025</c:v>
                </c:pt>
                <c:pt idx="180">
                  <c:v>38.269002033172548</c:v>
                </c:pt>
                <c:pt idx="181">
                  <c:v>38.007103038205251</c:v>
                </c:pt>
                <c:pt idx="182">
                  <c:v>37.745888012998179</c:v>
                </c:pt>
                <c:pt idx="183">
                  <c:v>37.485282717449465</c:v>
                </c:pt>
                <c:pt idx="184">
                  <c:v>37.225211937488034</c:v>
                </c:pt>
                <c:pt idx="185">
                  <c:v>36.965599551574563</c:v>
                </c:pt>
                <c:pt idx="186">
                  <c:v>36.706368594256631</c:v>
                </c:pt>
                <c:pt idx="187">
                  <c:v>36.447441316912531</c:v>
                </c:pt>
                <c:pt idx="188">
                  <c:v>36.188739245864731</c:v>
                </c:pt>
                <c:pt idx="189">
                  <c:v>35.930183238084098</c:v>
                </c:pt>
                <c:pt idx="190">
                  <c:v>35.671693534743</c:v>
                </c:pt>
                <c:pt idx="191">
                  <c:v>35.413189812906872</c:v>
                </c:pt>
                <c:pt idx="192">
                  <c:v>35.154591235680655</c:v>
                </c:pt>
                <c:pt idx="193">
                  <c:v>34.89581650114809</c:v>
                </c:pt>
                <c:pt idx="194">
                  <c:v>34.636783890457338</c:v>
                </c:pt>
                <c:pt idx="195">
                  <c:v>34.377411315418271</c:v>
                </c:pt>
                <c:pt idx="196">
                  <c:v>34.11761636598149</c:v>
                </c:pt>
                <c:pt idx="197">
                  <c:v>33.857316357969147</c:v>
                </c:pt>
                <c:pt idx="198">
                  <c:v>33.596428381424197</c:v>
                </c:pt>
                <c:pt idx="199">
                  <c:v>33.334869349929576</c:v>
                </c:pt>
                <c:pt idx="200">
                  <c:v>33.072556051238962</c:v>
                </c:pt>
                <c:pt idx="201">
                  <c:v>32.809405199535192</c:v>
                </c:pt>
                <c:pt idx="202">
                  <c:v>32.545333489609227</c:v>
                </c:pt>
                <c:pt idx="203">
                  <c:v>32.280257653219941</c:v>
                </c:pt>
                <c:pt idx="204">
                  <c:v>32.014094517862858</c:v>
                </c:pt>
                <c:pt idx="205">
                  <c:v>31.746761068135001</c:v>
                </c:pt>
                <c:pt idx="206">
                  <c:v>31.478174509840613</c:v>
                </c:pt>
                <c:pt idx="207">
                  <c:v>31.208252336936066</c:v>
                </c:pt>
                <c:pt idx="208">
                  <c:v>30.936912401365475</c:v>
                </c:pt>
                <c:pt idx="209">
                  <c:v>30.664072985785523</c:v>
                </c:pt>
                <c:pt idx="210">
                  <c:v>30.38965287912351</c:v>
                </c:pt>
                <c:pt idx="211">
                  <c:v>30.11357145486496</c:v>
                </c:pt>
                <c:pt idx="212">
                  <c:v>29.835748751906085</c:v>
                </c:pt>
                <c:pt idx="213">
                  <c:v>29.556105557756752</c:v>
                </c:pt>
                <c:pt idx="214">
                  <c:v>29.274563493828545</c:v>
                </c:pt>
                <c:pt idx="215">
                  <c:v>28.991045102489057</c:v>
                </c:pt>
                <c:pt idx="216">
                  <c:v>28.705473935520558</c:v>
                </c:pt>
                <c:pt idx="217">
                  <c:v>28.417774643577573</c:v>
                </c:pt>
                <c:pt idx="218">
                  <c:v>28.127873066198102</c:v>
                </c:pt>
                <c:pt idx="219">
                  <c:v>27.835696321896087</c:v>
                </c:pt>
                <c:pt idx="220">
                  <c:v>27.541172897832894</c:v>
                </c:pt>
                <c:pt idx="221">
                  <c:v>27.244232738550874</c:v>
                </c:pt>
                <c:pt idx="222">
                  <c:v>26.944807333241574</c:v>
                </c:pt>
                <c:pt idx="223">
                  <c:v>26.642829801018021</c:v>
                </c:pt>
                <c:pt idx="224">
                  <c:v>26.338234973671387</c:v>
                </c:pt>
                <c:pt idx="225">
                  <c:v>26.030959475405684</c:v>
                </c:pt>
                <c:pt idx="226">
                  <c:v>25.720941799070658</c:v>
                </c:pt>
                <c:pt idx="227">
                  <c:v>25.408122378449228</c:v>
                </c:pt>
                <c:pt idx="228">
                  <c:v>25.092443656195957</c:v>
                </c:pt>
                <c:pt idx="229">
                  <c:v>24.773850147075358</c:v>
                </c:pt>
                <c:pt idx="230">
                  <c:v>24.45228849620856</c:v>
                </c:pt>
                <c:pt idx="231">
                  <c:v>24.12770753209707</c:v>
                </c:pt>
                <c:pt idx="232">
                  <c:v>23.800058314266725</c:v>
                </c:pt>
                <c:pt idx="233">
                  <c:v>23.469294175444521</c:v>
                </c:pt>
                <c:pt idx="234">
                  <c:v>23.135370758258645</c:v>
                </c:pt>
                <c:pt idx="235">
                  <c:v>22.798246046528647</c:v>
                </c:pt>
                <c:pt idx="236">
                  <c:v>22.45788039128702</c:v>
                </c:pt>
                <c:pt idx="237">
                  <c:v>22.114236531750031</c:v>
                </c:pt>
                <c:pt idx="238">
                  <c:v>21.767279611522756</c:v>
                </c:pt>
                <c:pt idx="239">
                  <c:v>21.41697719038973</c:v>
                </c:pt>
                <c:pt idx="240">
                  <c:v>21.06329925209829</c:v>
                </c:pt>
                <c:pt idx="241">
                  <c:v>20.706218208593953</c:v>
                </c:pt>
                <c:pt idx="242">
                  <c:v>20.345708901202624</c:v>
                </c:pt>
                <c:pt idx="243">
                  <c:v>19.98174859929059</c:v>
                </c:pt>
                <c:pt idx="244">
                  <c:v>19.614316996944041</c:v>
                </c:pt>
                <c:pt idx="245">
                  <c:v>19.243396208224304</c:v>
                </c:pt>
                <c:pt idx="246">
                  <c:v>18.8689707615451</c:v>
                </c:pt>
                <c:pt idx="247">
                  <c:v>18.49102759370292</c:v>
                </c:pt>
                <c:pt idx="248">
                  <c:v>18.109556044065172</c:v>
                </c:pt>
                <c:pt idx="249">
                  <c:v>17.724547849378002</c:v>
                </c:pt>
                <c:pt idx="250">
                  <c:v>17.335997139609994</c:v>
                </c:pt>
                <c:pt idx="251">
                  <c:v>16.943900435186382</c:v>
                </c:pt>
                <c:pt idx="252">
                  <c:v>16.548256645904512</c:v>
                </c:pt>
                <c:pt idx="253">
                  <c:v>16.149067071745517</c:v>
                </c:pt>
                <c:pt idx="254">
                  <c:v>15.746335405722622</c:v>
                </c:pt>
                <c:pt idx="255">
                  <c:v>15.340067738820782</c:v>
                </c:pt>
                <c:pt idx="256">
                  <c:v>14.930272567006782</c:v>
                </c:pt>
                <c:pt idx="257">
                  <c:v>14.516960800197678</c:v>
                </c:pt>
                <c:pt idx="258">
                  <c:v>14.100145773002637</c:v>
                </c:pt>
                <c:pt idx="259">
                  <c:v>13.67984325697352</c:v>
                </c:pt>
                <c:pt idx="260">
                  <c:v>13.256071474029278</c:v>
                </c:pt>
                <c:pt idx="261">
                  <c:v>12.828851110655108</c:v>
                </c:pt>
                <c:pt idx="262">
                  <c:v>12.398205332421266</c:v>
                </c:pt>
                <c:pt idx="263">
                  <c:v>11.964159798321418</c:v>
                </c:pt>
                <c:pt idx="264">
                  <c:v>11.526742674393624</c:v>
                </c:pt>
                <c:pt idx="265">
                  <c:v>11.085984646062183</c:v>
                </c:pt>
                <c:pt idx="266">
                  <c:v>10.641918928626563</c:v>
                </c:pt>
                <c:pt idx="267">
                  <c:v>10.194581275320196</c:v>
                </c:pt>
                <c:pt idx="268">
                  <c:v>9.7440099823734432</c:v>
                </c:pt>
                <c:pt idx="269">
                  <c:v>9.2902458905360454</c:v>
                </c:pt>
                <c:pt idx="270">
                  <c:v>8.8333323825442847</c:v>
                </c:pt>
                <c:pt idx="271">
                  <c:v>8.3733153760632941</c:v>
                </c:pt>
                <c:pt idx="272">
                  <c:v>7.9102433116801985</c:v>
                </c:pt>
                <c:pt idx="273">
                  <c:v>7.4441671355863654</c:v>
                </c:pt>
                <c:pt idx="274">
                  <c:v>6.9751402766457336</c:v>
                </c:pt>
                <c:pt idx="275">
                  <c:v>6.5032186176193187</c:v>
                </c:pt>
                <c:pt idx="276">
                  <c:v>6.028460460382612</c:v>
                </c:pt>
                <c:pt idx="277">
                  <c:v>5.5509264850485609</c:v>
                </c:pt>
                <c:pt idx="278">
                  <c:v>5.0706797029785768</c:v>
                </c:pt>
                <c:pt idx="279">
                  <c:v>4.5877854037376418</c:v>
                </c:pt>
                <c:pt idx="280">
                  <c:v>4.102311096113624</c:v>
                </c:pt>
                <c:pt idx="281">
                  <c:v>3.6143264433883986</c:v>
                </c:pt>
                <c:pt idx="282">
                  <c:v>3.1239031931000176</c:v>
                </c:pt>
                <c:pt idx="283">
                  <c:v>2.6311151015939194</c:v>
                </c:pt>
                <c:pt idx="284">
                  <c:v>2.1360378536959366</c:v>
                </c:pt>
                <c:pt idx="285">
                  <c:v>1.6387489778829922</c:v>
                </c:pt>
                <c:pt idx="286">
                  <c:v>1.1393277573497258</c:v>
                </c:pt>
                <c:pt idx="287">
                  <c:v>0.63785513738855859</c:v>
                </c:pt>
                <c:pt idx="288">
                  <c:v>0.13441362951294339</c:v>
                </c:pt>
                <c:pt idx="289">
                  <c:v>-0.3709127872485008</c:v>
                </c:pt>
                <c:pt idx="290">
                  <c:v>-0.87803876746334886</c:v>
                </c:pt>
                <c:pt idx="291">
                  <c:v>-1.3868777024024135</c:v>
                </c:pt>
                <c:pt idx="292">
                  <c:v>-1.8973418247573441</c:v>
                </c:pt>
                <c:pt idx="293">
                  <c:v>-2.4093423146025579</c:v>
                </c:pt>
                <c:pt idx="294">
                  <c:v>-2.9227894062766375</c:v>
                </c:pt>
                <c:pt idx="295">
                  <c:v>-3.437592495886407</c:v>
                </c:pt>
                <c:pt idx="296">
                  <c:v>-3.9536602491787178</c:v>
                </c:pt>
                <c:pt idx="297">
                  <c:v>-4.4709007095684639</c:v>
                </c:pt>
                <c:pt idx="298">
                  <c:v>-4.9892214061457523</c:v>
                </c:pt>
                <c:pt idx="299">
                  <c:v>-5.508529461537246</c:v>
                </c:pt>
                <c:pt idx="300">
                  <c:v>-6.0287316995273024</c:v>
                </c:pt>
                <c:pt idx="301">
                  <c:v>-6.5497347523897078</c:v>
                </c:pt>
                <c:pt idx="302">
                  <c:v>-7.0714451679147583</c:v>
                </c:pt>
                <c:pt idx="303">
                  <c:v>-7.5937695161465761</c:v>
                </c:pt>
                <c:pt idx="304">
                  <c:v>-8.116614495877176</c:v>
                </c:pt>
                <c:pt idx="305">
                  <c:v>-8.639887040960982</c:v>
                </c:pt>
                <c:pt idx="306">
                  <c:v>-9.1634944265376213</c:v>
                </c:pt>
                <c:pt idx="307">
                  <c:v>-9.6873443752535557</c:v>
                </c:pt>
                <c:pt idx="308">
                  <c:v>-10.211345163585513</c:v>
                </c:pt>
                <c:pt idx="309">
                  <c:v>-10.735405728362359</c:v>
                </c:pt>
                <c:pt idx="310">
                  <c:v>-11.259435773576541</c:v>
                </c:pt>
                <c:pt idx="311">
                  <c:v>-11.783345877559249</c:v>
                </c:pt>
                <c:pt idx="312">
                  <c:v>-12.30704760057524</c:v>
                </c:pt>
                <c:pt idx="313">
                  <c:v>-12.83045359286649</c:v>
                </c:pt>
                <c:pt idx="314">
                  <c:v>-13.353477703137175</c:v>
                </c:pt>
                <c:pt idx="315">
                  <c:v>-13.876035087442764</c:v>
                </c:pt>
                <c:pt idx="316">
                  <c:v>-14.398042318395891</c:v>
                </c:pt>
                <c:pt idx="317">
                  <c:v>-14.919417494563916</c:v>
                </c:pt>
                <c:pt idx="318">
                  <c:v>-15.440080349877764</c:v>
                </c:pt>
                <c:pt idx="319">
                  <c:v>-15.959952362825707</c:v>
                </c:pt>
                <c:pt idx="320">
                  <c:v>-16.478956865154561</c:v>
                </c:pt>
                <c:pt idx="321">
                  <c:v>-16.997019149744279</c:v>
                </c:pt>
                <c:pt idx="322">
                  <c:v>-17.51406657727712</c:v>
                </c:pt>
                <c:pt idx="323">
                  <c:v>-18.03002868127059</c:v>
                </c:pt>
                <c:pt idx="324">
                  <c:v>-18.544837271002599</c:v>
                </c:pt>
                <c:pt idx="325">
                  <c:v>-19.058426531806571</c:v>
                </c:pt>
                <c:pt idx="326">
                  <c:v>-19.570733122192923</c:v>
                </c:pt>
                <c:pt idx="327">
                  <c:v>-20.081696267211356</c:v>
                </c:pt>
                <c:pt idx="328">
                  <c:v>-20.591257847454028</c:v>
                </c:pt>
                <c:pt idx="329">
                  <c:v>-21.099362483082547</c:v>
                </c:pt>
                <c:pt idx="330">
                  <c:v>-21.605957612255629</c:v>
                </c:pt>
                <c:pt idx="331">
                  <c:v>-22.110993563342038</c:v>
                </c:pt>
                <c:pt idx="332">
                  <c:v>-22.614423620309768</c:v>
                </c:pt>
                <c:pt idx="333">
                  <c:v>-23.116204080715058</c:v>
                </c:pt>
                <c:pt idx="334">
                  <c:v>-23.616294305734073</c:v>
                </c:pt>
                <c:pt idx="335">
                  <c:v>-24.114656761736455</c:v>
                </c:pt>
                <c:pt idx="336">
                  <c:v>-24.611257052937997</c:v>
                </c:pt>
                <c:pt idx="337">
                  <c:v>-25.10606394473767</c:v>
                </c:pt>
                <c:pt idx="338">
                  <c:v>-25.599049377404679</c:v>
                </c:pt>
                <c:pt idx="339">
                  <c:v>-26.090188469858017</c:v>
                </c:pt>
                <c:pt idx="340">
                  <c:v>-26.579459513357779</c:v>
                </c:pt>
                <c:pt idx="341">
                  <c:v>-27.06684395500972</c:v>
                </c:pt>
                <c:pt idx="342">
                  <c:v>-27.552326371071242</c:v>
                </c:pt>
                <c:pt idx="343">
                  <c:v>-28.035894430131574</c:v>
                </c:pt>
                <c:pt idx="344">
                  <c:v>-28.517538846328605</c:v>
                </c:pt>
                <c:pt idx="345">
                  <c:v>-28.997253322846781</c:v>
                </c:pt>
                <c:pt idx="346">
                  <c:v>-29.47503448602658</c:v>
                </c:pt>
                <c:pt idx="347">
                  <c:v>-29.950881810489065</c:v>
                </c:pt>
                <c:pt idx="348">
                  <c:v>-30.424797535760138</c:v>
                </c:pt>
                <c:pt idx="349">
                  <c:v>-30.896786574935923</c:v>
                </c:pt>
                <c:pt idx="350">
                  <c:v>-31.366856415999035</c:v>
                </c:pt>
                <c:pt idx="351">
                  <c:v>-31.835017016439025</c:v>
                </c:pt>
                <c:pt idx="352">
                  <c:v>-32.301280691878993</c:v>
                </c:pt>
                <c:pt idx="353">
                  <c:v>-32.765661999437064</c:v>
                </c:pt>
                <c:pt idx="354">
                  <c:v>-33.228177616584148</c:v>
                </c:pt>
                <c:pt idx="355">
                  <c:v>-33.68884621626313</c:v>
                </c:pt>
                <c:pt idx="356">
                  <c:v>-34.147688339049949</c:v>
                </c:pt>
                <c:pt idx="357">
                  <c:v>-34.604726263126999</c:v>
                </c:pt>
                <c:pt idx="358">
                  <c:v>-35.059983872832319</c:v>
                </c:pt>
                <c:pt idx="359">
                  <c:v>-35.513486526522435</c:v>
                </c:pt>
                <c:pt idx="360">
                  <c:v>-35.965260924467181</c:v>
                </c:pt>
                <c:pt idx="361">
                  <c:v>-36.415334977454357</c:v>
                </c:pt>
                <c:pt idx="362">
                  <c:v>-36.863737676750915</c:v>
                </c:pt>
                <c:pt idx="363">
                  <c:v>-37.310498966015963</c:v>
                </c:pt>
                <c:pt idx="364">
                  <c:v>-37.755649615721353</c:v>
                </c:pt>
                <c:pt idx="365">
                  <c:v>-38.199221100581141</c:v>
                </c:pt>
                <c:pt idx="366">
                  <c:v>-38.641245480441533</c:v>
                </c:pt>
                <c:pt idx="367">
                  <c:v>-39.081755285028265</c:v>
                </c:pt>
                <c:pt idx="368">
                  <c:v>-39.520783402898928</c:v>
                </c:pt>
                <c:pt idx="369">
                  <c:v>-39.958362974888487</c:v>
                </c:pt>
                <c:pt idx="370">
                  <c:v>-40.394527292292814</c:v>
                </c:pt>
                <c:pt idx="371">
                  <c:v>-40.829309699975944</c:v>
                </c:pt>
                <c:pt idx="372">
                  <c:v>-41.262743504547885</c:v>
                </c:pt>
                <c:pt idx="373">
                  <c:v>-41.694861887705947</c:v>
                </c:pt>
                <c:pt idx="374">
                  <c:v>-42.125697824796305</c:v>
                </c:pt>
                <c:pt idx="375">
                  <c:v>-42.555284008609362</c:v>
                </c:pt>
                <c:pt idx="376">
                  <c:v>-42.983652778388674</c:v>
                </c:pt>
                <c:pt idx="377">
                  <c:v>-43.410836053998821</c:v>
                </c:pt>
                <c:pt idx="378">
                  <c:v>-43.83686527517041</c:v>
                </c:pt>
                <c:pt idx="379">
                  <c:v>-44.261771345711914</c:v>
                </c:pt>
                <c:pt idx="380">
                  <c:v>-44.685584582560729</c:v>
                </c:pt>
                <c:pt idx="381">
                  <c:v>-45.108334669521881</c:v>
                </c:pt>
                <c:pt idx="382">
                  <c:v>-45.53005061553079</c:v>
                </c:pt>
                <c:pt idx="383">
                  <c:v>-45.95076071726379</c:v>
                </c:pt>
                <c:pt idx="384">
                  <c:v>-46.370492525909597</c:v>
                </c:pt>
                <c:pt idx="385">
                  <c:v>-46.789272817909897</c:v>
                </c:pt>
                <c:pt idx="386">
                  <c:v>-47.207127569470927</c:v>
                </c:pt>
                <c:pt idx="387">
                  <c:v>-47.624081934650782</c:v>
                </c:pt>
                <c:pt idx="388">
                  <c:v>-48.040160226821207</c:v>
                </c:pt>
                <c:pt idx="389">
                  <c:v>-48.45538590331104</c:v>
                </c:pt>
                <c:pt idx="390">
                  <c:v>-48.869781553039303</c:v>
                </c:pt>
                <c:pt idx="391">
                  <c:v>-49.283368886953276</c:v>
                </c:pt>
                <c:pt idx="392">
                  <c:v>-49.696168731091163</c:v>
                </c:pt>
                <c:pt idx="393">
                  <c:v>-50.108201022102776</c:v>
                </c:pt>
                <c:pt idx="394">
                  <c:v>-50.51948480506308</c:v>
                </c:pt>
                <c:pt idx="395">
                  <c:v>-50.930038233431347</c:v>
                </c:pt>
                <c:pt idx="396">
                  <c:v>-51.339878571012534</c:v>
                </c:pt>
                <c:pt idx="397">
                  <c:v>-51.749022195794083</c:v>
                </c:pt>
                <c:pt idx="398">
                  <c:v>-52.157484605539473</c:v>
                </c:pt>
                <c:pt idx="399">
                  <c:v>-52.565280425032896</c:v>
                </c:pt>
                <c:pt idx="400">
                  <c:v>-52.972423414882435</c:v>
                </c:pt>
                <c:pt idx="401">
                  <c:v>-53.378926481799738</c:v>
                </c:pt>
                <c:pt idx="402">
                  <c:v>-53.784801690286869</c:v>
                </c:pt>
                <c:pt idx="403">
                  <c:v>-54.190060275673993</c:v>
                </c:pt>
                <c:pt idx="404">
                  <c:v>-54.594712658462328</c:v>
                </c:pt>
                <c:pt idx="405">
                  <c:v>-54.998768459939171</c:v>
                </c:pt>
                <c:pt idx="406">
                  <c:v>-55.402236519041566</c:v>
                </c:pt>
                <c:pt idx="407">
                  <c:v>-55.805124910458723</c:v>
                </c:pt>
                <c:pt idx="408">
                  <c:v>-56.207440963971735</c:v>
                </c:pt>
                <c:pt idx="409">
                  <c:v>-56.609191285038598</c:v>
                </c:pt>
                <c:pt idx="410">
                  <c:v>-57.010381776644145</c:v>
                </c:pt>
                <c:pt idx="411">
                  <c:v>-57.411017662439278</c:v>
                </c:pt>
                <c:pt idx="412">
                  <c:v>-57.811103511205729</c:v>
                </c:pt>
                <c:pt idx="413">
                  <c:v>-58.210643262685366</c:v>
                </c:pt>
                <c:pt idx="414">
                  <c:v>-58.609640254821322</c:v>
                </c:pt>
                <c:pt idx="415">
                  <c:v>-59.008097252461695</c:v>
                </c:pt>
                <c:pt idx="416">
                  <c:v>-59.40601647758136</c:v>
                </c:pt>
                <c:pt idx="417">
                  <c:v>-59.803399641076098</c:v>
                </c:pt>
                <c:pt idx="418">
                  <c:v>-60.200247976188038</c:v>
                </c:pt>
                <c:pt idx="419">
                  <c:v>-60.596562273617174</c:v>
                </c:pt>
                <c:pt idx="420">
                  <c:v>-60.992342918373637</c:v>
                </c:pt>
                <c:pt idx="421">
                  <c:v>-61.387589928418819</c:v>
                </c:pt>
                <c:pt idx="422">
                  <c:v>-61.782302995136611</c:v>
                </c:pt>
                <c:pt idx="423">
                  <c:v>-62.176481525671505</c:v>
                </c:pt>
                <c:pt idx="424">
                  <c:v>-62.570124687154674</c:v>
                </c:pt>
                <c:pt idx="425">
                  <c:v>-62.963231452829582</c:v>
                </c:pt>
                <c:pt idx="426">
                  <c:v>-63.355800650072908</c:v>
                </c:pt>
                <c:pt idx="427">
                  <c:v>-63.747831010288309</c:v>
                </c:pt>
                <c:pt idx="428">
                  <c:v>-64.139321220630492</c:v>
                </c:pt>
                <c:pt idx="429">
                  <c:v>-64.530269977499145</c:v>
                </c:pt>
                <c:pt idx="430">
                  <c:v>-64.920676041708617</c:v>
                </c:pt>
                <c:pt idx="431">
                  <c:v>-65.31053829522412</c:v>
                </c:pt>
                <c:pt idx="432">
                  <c:v>-65.6998557993156</c:v>
                </c:pt>
                <c:pt idx="433">
                  <c:v>-66.088627853958272</c:v>
                </c:pt>
                <c:pt idx="434">
                  <c:v>-66.476854058271158</c:v>
                </c:pt>
                <c:pt idx="435">
                  <c:v>-66.864534371752242</c:v>
                </c:pt>
                <c:pt idx="436">
                  <c:v>-67.25166917603778</c:v>
                </c:pt>
                <c:pt idx="437">
                  <c:v>-67.638259336872736</c:v>
                </c:pt>
                <c:pt idx="438">
                  <c:v>-68.024306265949107</c:v>
                </c:pt>
                <c:pt idx="439">
                  <c:v>-68.409811982230678</c:v>
                </c:pt>
                <c:pt idx="440">
                  <c:v>-68.794779172354083</c:v>
                </c:pt>
                <c:pt idx="441">
                  <c:v>-69.179211249658849</c:v>
                </c:pt>
                <c:pt idx="442">
                  <c:v>-69.563112411376494</c:v>
                </c:pt>
                <c:pt idx="443">
                  <c:v>-69.946487693479881</c:v>
                </c:pt>
                <c:pt idx="444">
                  <c:v>-70.329343022674593</c:v>
                </c:pt>
                <c:pt idx="445">
                  <c:v>-70.711685264998167</c:v>
                </c:pt>
                <c:pt idx="446">
                  <c:v>-71.093522270484101</c:v>
                </c:pt>
                <c:pt idx="447">
                  <c:v>-71.47486291334188</c:v>
                </c:pt>
                <c:pt idx="448">
                  <c:v>-71.85571712711193</c:v>
                </c:pt>
                <c:pt idx="449">
                  <c:v>-72.236095934262735</c:v>
                </c:pt>
                <c:pt idx="450">
                  <c:v>-72.616011469721755</c:v>
                </c:pt>
                <c:pt idx="451">
                  <c:v>-72.995476997856429</c:v>
                </c:pt>
                <c:pt idx="452">
                  <c:v>-73.374506922464505</c:v>
                </c:pt>
                <c:pt idx="453">
                  <c:v>-73.753116789377813</c:v>
                </c:pt>
                <c:pt idx="454">
                  <c:v>-74.131323281339192</c:v>
                </c:pt>
                <c:pt idx="455">
                  <c:v>-74.509144204880926</c:v>
                </c:pt>
                <c:pt idx="456">
                  <c:v>-74.88659846899921</c:v>
                </c:pt>
                <c:pt idx="457">
                  <c:v>-75.263706055508479</c:v>
                </c:pt>
                <c:pt idx="458">
                  <c:v>-75.640487981037268</c:v>
                </c:pt>
                <c:pt idx="459">
                  <c:v>-76.016966250722774</c:v>
                </c:pt>
                <c:pt idx="460">
                  <c:v>-76.393163803756522</c:v>
                </c:pt>
                <c:pt idx="461">
                  <c:v>-76.769104451027147</c:v>
                </c:pt>
                <c:pt idx="462">
                  <c:v>-77.144812805210151</c:v>
                </c:pt>
                <c:pt idx="463">
                  <c:v>-77.520314203740938</c:v>
                </c:pt>
                <c:pt idx="464">
                  <c:v>-77.895634625209738</c:v>
                </c:pt>
                <c:pt idx="465">
                  <c:v>-78.270800599798676</c:v>
                </c:pt>
                <c:pt idx="466">
                  <c:v>-78.645839114464664</c:v>
                </c:pt>
                <c:pt idx="467">
                  <c:v>-79.02077751364213</c:v>
                </c:pt>
                <c:pt idx="468">
                  <c:v>-79.395643396305516</c:v>
                </c:pt>
                <c:pt idx="469">
                  <c:v>-79.770464510278373</c:v>
                </c:pt>
                <c:pt idx="470">
                  <c:v>-80.145268644717831</c:v>
                </c:pt>
                <c:pt idx="471">
                  <c:v>-80.520083521725581</c:v>
                </c:pt>
                <c:pt idx="472">
                  <c:v>-80.894936688051104</c:v>
                </c:pt>
                <c:pt idx="473">
                  <c:v>-81.269855407845625</c:v>
                </c:pt>
                <c:pt idx="474">
                  <c:v>-81.644866557413906</c:v>
                </c:pt>
                <c:pt idx="475">
                  <c:v>-82.019996522873981</c:v>
                </c:pt>
                <c:pt idx="476">
                  <c:v>-82.39527110159834</c:v>
                </c:pt>
                <c:pt idx="477">
                  <c:v>-82.770715408246915</c:v>
                </c:pt>
                <c:pt idx="478">
                  <c:v>-83.146353786141532</c:v>
                </c:pt>
                <c:pt idx="479">
                  <c:v>-83.522209724653024</c:v>
                </c:pt>
                <c:pt idx="480">
                  <c:v>-83.898305783186871</c:v>
                </c:pt>
                <c:pt idx="481">
                  <c:v>-84.274663522265897</c:v>
                </c:pt>
                <c:pt idx="482">
                  <c:v>-84.651303442112777</c:v>
                </c:pt>
                <c:pt idx="483">
                  <c:v>-85.028244929036248</c:v>
                </c:pt>
                <c:pt idx="484">
                  <c:v>-85.405506209832552</c:v>
                </c:pt>
                <c:pt idx="485">
                  <c:v>-85.783104314309867</c:v>
                </c:pt>
                <c:pt idx="486">
                  <c:v>-86.161055045955791</c:v>
                </c:pt>
                <c:pt idx="487">
                  <c:v>-86.539372960674527</c:v>
                </c:pt>
                <c:pt idx="488">
                  <c:v>-86.918071353436304</c:v>
                </c:pt>
                <c:pt idx="489">
                  <c:v>-87.297162252606881</c:v>
                </c:pt>
                <c:pt idx="490">
                  <c:v>-87.676656421650137</c:v>
                </c:pt>
                <c:pt idx="491">
                  <c:v>-88.056563367838407</c:v>
                </c:pt>
                <c:pt idx="492">
                  <c:v>-88.436891357551502</c:v>
                </c:pt>
                <c:pt idx="493">
                  <c:v>-88.817647437698668</c:v>
                </c:pt>
                <c:pt idx="494">
                  <c:v>-89.198837462766704</c:v>
                </c:pt>
                <c:pt idx="495">
                  <c:v>-89.580466126968162</c:v>
                </c:pt>
                <c:pt idx="496">
                  <c:v>-89.96253700094735</c:v>
                </c:pt>
                <c:pt idx="497">
                  <c:v>-90.345052572493501</c:v>
                </c:pt>
                <c:pt idx="498">
                  <c:v>-90.72801429070654</c:v>
                </c:pt>
                <c:pt idx="499">
                  <c:v>-91.111422613070971</c:v>
                </c:pt>
                <c:pt idx="500">
                  <c:v>-91.495277054901038</c:v>
                </c:pt>
                <c:pt idx="501">
                  <c:v>-91.879576240641185</c:v>
                </c:pt>
                <c:pt idx="502">
                  <c:v>-92.264317956525559</c:v>
                </c:pt>
                <c:pt idx="503">
                  <c:v>-92.649499204131217</c:v>
                </c:pt>
                <c:pt idx="504">
                  <c:v>-93.035116254383837</c:v>
                </c:pt>
                <c:pt idx="505">
                  <c:v>-93.421164701612028</c:v>
                </c:pt>
                <c:pt idx="506">
                  <c:v>-93.807639517276925</c:v>
                </c:pt>
                <c:pt idx="507">
                  <c:v>-94.194535103040522</c:v>
                </c:pt>
                <c:pt idx="508">
                  <c:v>-94.581845342871574</c:v>
                </c:pt>
                <c:pt idx="509">
                  <c:v>-94.96956365392154</c:v>
                </c:pt>
                <c:pt idx="510">
                  <c:v>-95.357683035941307</c:v>
                </c:pt>
                <c:pt idx="511">
                  <c:v>-95.746196119039041</c:v>
                </c:pt>
                <c:pt idx="512">
                  <c:v>-96.135095209615272</c:v>
                </c:pt>
                <c:pt idx="513">
                  <c:v>-96.524372334342388</c:v>
                </c:pt>
                <c:pt idx="514">
                  <c:v>-96.914019282078726</c:v>
                </c:pt>
                <c:pt idx="515">
                  <c:v>-97.304027643645298</c:v>
                </c:pt>
                <c:pt idx="516">
                  <c:v>-97.694388849406636</c:v>
                </c:pt>
                <c:pt idx="517">
                  <c:v>-98.085094204628518</c:v>
                </c:pt>
                <c:pt idx="518">
                  <c:v>-98.476134922599869</c:v>
                </c:pt>
                <c:pt idx="519">
                  <c:v>-98.867502155528925</c:v>
                </c:pt>
                <c:pt idx="520">
                  <c:v>-99.259187023237985</c:v>
                </c:pt>
                <c:pt idx="521">
                  <c:v>-99.65118063969301</c:v>
                </c:pt>
                <c:pt idx="522">
                  <c:v>-100.04347413742109</c:v>
                </c:pt>
                <c:pt idx="523">
                  <c:v>-100.43605868987483</c:v>
                </c:pt>
                <c:pt idx="524">
                  <c:v>-100.82892553181526</c:v>
                </c:pt>
                <c:pt idx="525">
                  <c:v>-101.22206597778521</c:v>
                </c:pt>
                <c:pt idx="526">
                  <c:v>-101.61547143875934</c:v>
                </c:pt>
                <c:pt idx="527">
                  <c:v>-102.00913343705288</c:v>
                </c:pt>
                <c:pt idx="528">
                  <c:v>-102.40304361957911</c:v>
                </c:pt>
                <c:pt idx="529">
                  <c:v>-102.79719376954486</c:v>
                </c:pt>
                <c:pt idx="530">
                  <c:v>-103.19157581667525</c:v>
                </c:pt>
                <c:pt idx="531">
                  <c:v>-103.58618184605744</c:v>
                </c:pt>
                <c:pt idx="532">
                  <c:v>-103.9810041056932</c:v>
                </c:pt>
                <c:pt idx="533">
                  <c:v>-104.37603501284947</c:v>
                </c:pt>
                <c:pt idx="534">
                  <c:v>-104.77126715929222</c:v>
                </c:pt>
                <c:pt idx="535">
                  <c:v>-105.16669331548684</c:v>
                </c:pt>
                <c:pt idx="536">
                  <c:v>-105.56230643384636</c:v>
                </c:pt>
                <c:pt idx="537">
                  <c:v>-105.95809965110683</c:v>
                </c:pt>
                <c:pt idx="538">
                  <c:v>-106.35406628990084</c:v>
                </c:pt>
                <c:pt idx="539">
                  <c:v>-106.7501998596029</c:v>
                </c:pt>
                <c:pt idx="540">
                  <c:v>-107.14649405651394</c:v>
                </c:pt>
                <c:pt idx="541">
                  <c:v>-107.54294276344663</c:v>
                </c:pt>
              </c:numCache>
            </c:numRef>
          </c:yVal>
          <c:smooth val="1"/>
          <c:extLst>
            <c:ext xmlns:c16="http://schemas.microsoft.com/office/drawing/2014/chart" uri="{C3380CC4-5D6E-409C-BE32-E72D297353CC}">
              <c16:uniqueId val="{00000000-83C7-483B-9FAA-73F41D4B5EAC}"/>
            </c:ext>
          </c:extLst>
        </c:ser>
        <c:dLbls>
          <c:showLegendKey val="0"/>
          <c:showVal val="0"/>
          <c:showCatName val="0"/>
          <c:showSerName val="0"/>
          <c:showPercent val="0"/>
          <c:showBubbleSize val="0"/>
        </c:dLbls>
        <c:axId val="377549184"/>
        <c:axId val="377551104"/>
      </c:scatterChart>
      <c:scatterChart>
        <c:scatterStyle val="smoothMarker"/>
        <c:varyColors val="0"/>
        <c:ser>
          <c:idx val="1"/>
          <c:order val="1"/>
          <c:tx>
            <c:v>Phase (deg)</c:v>
          </c:tx>
          <c:spPr>
            <a:ln w="38100">
              <a:solidFill>
                <a:schemeClr val="tx1">
                  <a:lumMod val="95000"/>
                  <a:lumOff val="5000"/>
                </a:schemeClr>
              </a:solidFill>
              <a:prstDash val="sysDash"/>
            </a:ln>
          </c:spPr>
          <c:marker>
            <c:symbol val="none"/>
          </c:marker>
          <c:xVal>
            <c:numRef>
              <c:f>CCM_Loop_Modeling_non_isolated!$O$19:$O$560</c:f>
              <c:numCache>
                <c:formatCode>0.00</c:formatCode>
                <c:ptCount val="542"/>
                <c:pt idx="0">
                  <c:v>10.232929922807543</c:v>
                </c:pt>
                <c:pt idx="1">
                  <c:v>10.471285480509</c:v>
                </c:pt>
                <c:pt idx="2">
                  <c:v>10.715193052376069</c:v>
                </c:pt>
                <c:pt idx="3">
                  <c:v>10.964781961431854</c:v>
                </c:pt>
                <c:pt idx="4">
                  <c:v>11.220184543019636</c:v>
                </c:pt>
                <c:pt idx="5">
                  <c:v>11.481536214968834</c:v>
                </c:pt>
                <c:pt idx="6">
                  <c:v>11.748975549395301</c:v>
                </c:pt>
                <c:pt idx="7">
                  <c:v>12.022644346174133</c:v>
                </c:pt>
                <c:pt idx="8">
                  <c:v>12.302687708123818</c:v>
                </c:pt>
                <c:pt idx="9">
                  <c:v>12.58925411794168</c:v>
                </c:pt>
                <c:pt idx="10">
                  <c:v>12.882495516931346</c:v>
                </c:pt>
                <c:pt idx="11">
                  <c:v>13.182567385564075</c:v>
                </c:pt>
                <c:pt idx="12">
                  <c:v>13.489628825916535</c:v>
                </c:pt>
                <c:pt idx="13">
                  <c:v>13.803842646028857</c:v>
                </c:pt>
                <c:pt idx="14">
                  <c:v>14.125375446227544</c:v>
                </c:pt>
                <c:pt idx="15">
                  <c:v>14.454397707459275</c:v>
                </c:pt>
                <c:pt idx="16">
                  <c:v>14.791083881682074</c:v>
                </c:pt>
                <c:pt idx="17">
                  <c:v>15.135612484362087</c:v>
                </c:pt>
                <c:pt idx="18">
                  <c:v>15.488166189124817</c:v>
                </c:pt>
                <c:pt idx="19">
                  <c:v>15.848931924611136</c:v>
                </c:pt>
                <c:pt idx="20">
                  <c:v>16.218100973589298</c:v>
                </c:pt>
                <c:pt idx="21">
                  <c:v>16.595869074375614</c:v>
                </c:pt>
                <c:pt idx="22">
                  <c:v>16.982436524617448</c:v>
                </c:pt>
                <c:pt idx="23">
                  <c:v>17.378008287493756</c:v>
                </c:pt>
                <c:pt idx="24">
                  <c:v>17.782794100389236</c:v>
                </c:pt>
                <c:pt idx="25">
                  <c:v>18.197008586099841</c:v>
                </c:pt>
                <c:pt idx="26">
                  <c:v>18.62087136662868</c:v>
                </c:pt>
                <c:pt idx="27">
                  <c:v>19.054607179632477</c:v>
                </c:pt>
                <c:pt idx="28">
                  <c:v>19.498445997580465</c:v>
                </c:pt>
                <c:pt idx="29">
                  <c:v>19.952623149688804</c:v>
                </c:pt>
                <c:pt idx="30">
                  <c:v>20.4173794466953</c:v>
                </c:pt>
                <c:pt idx="31">
                  <c:v>20.8929613085404</c:v>
                </c:pt>
                <c:pt idx="32">
                  <c:v>21.379620895022335</c:v>
                </c:pt>
                <c:pt idx="33">
                  <c:v>21.877616239495538</c:v>
                </c:pt>
                <c:pt idx="34">
                  <c:v>22.387211385683404</c:v>
                </c:pt>
                <c:pt idx="35">
                  <c:v>22.908676527677727</c:v>
                </c:pt>
                <c:pt idx="36">
                  <c:v>23.442288153199236</c:v>
                </c:pt>
                <c:pt idx="37">
                  <c:v>23.988329190194907</c:v>
                </c:pt>
                <c:pt idx="38">
                  <c:v>24.547089156850316</c:v>
                </c:pt>
                <c:pt idx="39">
                  <c:v>25.118864315095799</c:v>
                </c:pt>
                <c:pt idx="40">
                  <c:v>25.703957827688647</c:v>
                </c:pt>
                <c:pt idx="41">
                  <c:v>26.302679918953825</c:v>
                </c:pt>
                <c:pt idx="42">
                  <c:v>26.915348039269158</c:v>
                </c:pt>
                <c:pt idx="43">
                  <c:v>27.542287033381665</c:v>
                </c:pt>
                <c:pt idx="44">
                  <c:v>28.183829312644548</c:v>
                </c:pt>
                <c:pt idx="45">
                  <c:v>28.840315031266066</c:v>
                </c:pt>
                <c:pt idx="46">
                  <c:v>29.512092266663863</c:v>
                </c:pt>
                <c:pt idx="47">
                  <c:v>30.199517204020164</c:v>
                </c:pt>
                <c:pt idx="48">
                  <c:v>30.902954325135919</c:v>
                </c:pt>
                <c:pt idx="49">
                  <c:v>31.622776601683803</c:v>
                </c:pt>
                <c:pt idx="50">
                  <c:v>32.359365692962832</c:v>
                </c:pt>
                <c:pt idx="51">
                  <c:v>33.113112148259127</c:v>
                </c:pt>
                <c:pt idx="52">
                  <c:v>33.884415613920268</c:v>
                </c:pt>
                <c:pt idx="53">
                  <c:v>34.67368504525318</c:v>
                </c:pt>
                <c:pt idx="54">
                  <c:v>35.481338923357555</c:v>
                </c:pt>
                <c:pt idx="55">
                  <c:v>36.307805477010156</c:v>
                </c:pt>
                <c:pt idx="56">
                  <c:v>37.15352290971726</c:v>
                </c:pt>
                <c:pt idx="57">
                  <c:v>38.018939632056139</c:v>
                </c:pt>
                <c:pt idx="58">
                  <c:v>38.904514499428053</c:v>
                </c:pt>
                <c:pt idx="59">
                  <c:v>39.810717055349755</c:v>
                </c:pt>
                <c:pt idx="60">
                  <c:v>40.738027780411279</c:v>
                </c:pt>
                <c:pt idx="61">
                  <c:v>41.686938347033561</c:v>
                </c:pt>
                <c:pt idx="62">
                  <c:v>42.657951880159267</c:v>
                </c:pt>
                <c:pt idx="63">
                  <c:v>43.651583224016633</c:v>
                </c:pt>
                <c:pt idx="64">
                  <c:v>44.668359215096324</c:v>
                </c:pt>
                <c:pt idx="65">
                  <c:v>45.70881896148753</c:v>
                </c:pt>
                <c:pt idx="66">
                  <c:v>46.773514128719818</c:v>
                </c:pt>
                <c:pt idx="67">
                  <c:v>47.863009232263877</c:v>
                </c:pt>
                <c:pt idx="68">
                  <c:v>48.977881936844632</c:v>
                </c:pt>
                <c:pt idx="69">
                  <c:v>50.118723362727238</c:v>
                </c:pt>
                <c:pt idx="70">
                  <c:v>51.28613839913649</c:v>
                </c:pt>
                <c:pt idx="71">
                  <c:v>52.480746024977286</c:v>
                </c:pt>
                <c:pt idx="72">
                  <c:v>53.703179637025293</c:v>
                </c:pt>
                <c:pt idx="73">
                  <c:v>54.95408738576247</c:v>
                </c:pt>
                <c:pt idx="74">
                  <c:v>56.234132519034915</c:v>
                </c:pt>
                <c:pt idx="75">
                  <c:v>57.543993733715695</c:v>
                </c:pt>
                <c:pt idx="76">
                  <c:v>58.884365535558949</c:v>
                </c:pt>
                <c:pt idx="77">
                  <c:v>60.255958607435822</c:v>
                </c:pt>
                <c:pt idx="78">
                  <c:v>61.659500186148257</c:v>
                </c:pt>
                <c:pt idx="79">
                  <c:v>63.095734448019364</c:v>
                </c:pt>
                <c:pt idx="80">
                  <c:v>64.565422903465588</c:v>
                </c:pt>
                <c:pt idx="81">
                  <c:v>66.069344800759623</c:v>
                </c:pt>
                <c:pt idx="82">
                  <c:v>67.60829753919819</c:v>
                </c:pt>
                <c:pt idx="83">
                  <c:v>69.183097091893657</c:v>
                </c:pt>
                <c:pt idx="84">
                  <c:v>70.794578438413865</c:v>
                </c:pt>
                <c:pt idx="85">
                  <c:v>72.443596007499011</c:v>
                </c:pt>
                <c:pt idx="86">
                  <c:v>74.131024130091816</c:v>
                </c:pt>
                <c:pt idx="87">
                  <c:v>75.857757502918361</c:v>
                </c:pt>
                <c:pt idx="88">
                  <c:v>77.624711662869217</c:v>
                </c:pt>
                <c:pt idx="89">
                  <c:v>79.432823472428197</c:v>
                </c:pt>
                <c:pt idx="90">
                  <c:v>81.283051616409963</c:v>
                </c:pt>
                <c:pt idx="91">
                  <c:v>83.176377110267126</c:v>
                </c:pt>
                <c:pt idx="92">
                  <c:v>85.113803820237734</c:v>
                </c:pt>
                <c:pt idx="93">
                  <c:v>87.096358995608071</c:v>
                </c:pt>
                <c:pt idx="94">
                  <c:v>89.125093813374562</c:v>
                </c:pt>
                <c:pt idx="95">
                  <c:v>91.201083935590972</c:v>
                </c:pt>
                <c:pt idx="96">
                  <c:v>93.325430079699174</c:v>
                </c:pt>
                <c:pt idx="97">
                  <c:v>95.499258602143655</c:v>
                </c:pt>
                <c:pt idx="98">
                  <c:v>97.723722095581124</c:v>
                </c:pt>
                <c:pt idx="99">
                  <c:v>100</c:v>
                </c:pt>
                <c:pt idx="100">
                  <c:v>102.32929922807544</c:v>
                </c:pt>
                <c:pt idx="101">
                  <c:v>104.71285480508998</c:v>
                </c:pt>
                <c:pt idx="102">
                  <c:v>107.15193052376065</c:v>
                </c:pt>
                <c:pt idx="103">
                  <c:v>109.64781961431861</c:v>
                </c:pt>
                <c:pt idx="104">
                  <c:v>112.20184543019634</c:v>
                </c:pt>
                <c:pt idx="105">
                  <c:v>114.81536214968835</c:v>
                </c:pt>
                <c:pt idx="106">
                  <c:v>117.48975549395293</c:v>
                </c:pt>
                <c:pt idx="107">
                  <c:v>120.22644346174135</c:v>
                </c:pt>
                <c:pt idx="108">
                  <c:v>123.02687708123821</c:v>
                </c:pt>
                <c:pt idx="109">
                  <c:v>125.89254117941677</c:v>
                </c:pt>
                <c:pt idx="110">
                  <c:v>128.82495516931343</c:v>
                </c:pt>
                <c:pt idx="111">
                  <c:v>131.82567385564084</c:v>
                </c:pt>
                <c:pt idx="112">
                  <c:v>134.89628825916537</c:v>
                </c:pt>
                <c:pt idx="113">
                  <c:v>138.0384264602886</c:v>
                </c:pt>
                <c:pt idx="114">
                  <c:v>141.25375446227542</c:v>
                </c:pt>
                <c:pt idx="115">
                  <c:v>144.54397707459285</c:v>
                </c:pt>
                <c:pt idx="116">
                  <c:v>147.91083881682084</c:v>
                </c:pt>
                <c:pt idx="117">
                  <c:v>151.3561248436209</c:v>
                </c:pt>
                <c:pt idx="118">
                  <c:v>154.8816618912482</c:v>
                </c:pt>
                <c:pt idx="119">
                  <c:v>158.48931924611153</c:v>
                </c:pt>
                <c:pt idx="120">
                  <c:v>162.18100973589304</c:v>
                </c:pt>
                <c:pt idx="121">
                  <c:v>165.95869074375622</c:v>
                </c:pt>
                <c:pt idx="122">
                  <c:v>169.82436524617444</c:v>
                </c:pt>
                <c:pt idx="123">
                  <c:v>173.78008287493768</c:v>
                </c:pt>
                <c:pt idx="124">
                  <c:v>177.82794100389242</c:v>
                </c:pt>
                <c:pt idx="125">
                  <c:v>181.9700858609983</c:v>
                </c:pt>
                <c:pt idx="126">
                  <c:v>186.20871366628685</c:v>
                </c:pt>
                <c:pt idx="127">
                  <c:v>190.54607179632498</c:v>
                </c:pt>
                <c:pt idx="128">
                  <c:v>194.98445997580458</c:v>
                </c:pt>
                <c:pt idx="129">
                  <c:v>199.52623149688802</c:v>
                </c:pt>
                <c:pt idx="130">
                  <c:v>204.17379446695315</c:v>
                </c:pt>
                <c:pt idx="131">
                  <c:v>208.92961308540396</c:v>
                </c:pt>
                <c:pt idx="132">
                  <c:v>213.79620895022339</c:v>
                </c:pt>
                <c:pt idx="133">
                  <c:v>218.77616239495524</c:v>
                </c:pt>
                <c:pt idx="134">
                  <c:v>223.87211385683412</c:v>
                </c:pt>
                <c:pt idx="135">
                  <c:v>229.08676527677744</c:v>
                </c:pt>
                <c:pt idx="136">
                  <c:v>234.42288153199232</c:v>
                </c:pt>
                <c:pt idx="137">
                  <c:v>239.88329190194912</c:v>
                </c:pt>
                <c:pt idx="138">
                  <c:v>245.4708915685033</c:v>
                </c:pt>
                <c:pt idx="139">
                  <c:v>251.18864315095806</c:v>
                </c:pt>
                <c:pt idx="140">
                  <c:v>257.03957827688663</c:v>
                </c:pt>
                <c:pt idx="141">
                  <c:v>263.02679918953817</c:v>
                </c:pt>
                <c:pt idx="142">
                  <c:v>269.15348039269179</c:v>
                </c:pt>
                <c:pt idx="143">
                  <c:v>275.42287033381683</c:v>
                </c:pt>
                <c:pt idx="144">
                  <c:v>281.83829312644554</c:v>
                </c:pt>
                <c:pt idx="145">
                  <c:v>288.40315031266073</c:v>
                </c:pt>
                <c:pt idx="146">
                  <c:v>295.12092266663871</c:v>
                </c:pt>
                <c:pt idx="147">
                  <c:v>301.99517204020168</c:v>
                </c:pt>
                <c:pt idx="148">
                  <c:v>309.02954325135937</c:v>
                </c:pt>
                <c:pt idx="149">
                  <c:v>316.22776601683825</c:v>
                </c:pt>
                <c:pt idx="150">
                  <c:v>323.59365692962825</c:v>
                </c:pt>
                <c:pt idx="151">
                  <c:v>331.13112148259137</c:v>
                </c:pt>
                <c:pt idx="152">
                  <c:v>338.84415613920277</c:v>
                </c:pt>
                <c:pt idx="153">
                  <c:v>346.73685045253183</c:v>
                </c:pt>
                <c:pt idx="154">
                  <c:v>354.81338923357566</c:v>
                </c:pt>
                <c:pt idx="155">
                  <c:v>363.07805477010152</c:v>
                </c:pt>
                <c:pt idx="156">
                  <c:v>371.53522909717265</c:v>
                </c:pt>
                <c:pt idx="157">
                  <c:v>380.18939632056163</c:v>
                </c:pt>
                <c:pt idx="158">
                  <c:v>389.04514499428063</c:v>
                </c:pt>
                <c:pt idx="159">
                  <c:v>398.10717055349761</c:v>
                </c:pt>
                <c:pt idx="160">
                  <c:v>407.38027780411272</c:v>
                </c:pt>
                <c:pt idx="161">
                  <c:v>416.86938347033572</c:v>
                </c:pt>
                <c:pt idx="162">
                  <c:v>426.57951880159294</c:v>
                </c:pt>
                <c:pt idx="163">
                  <c:v>436.51583224016622</c:v>
                </c:pt>
                <c:pt idx="164">
                  <c:v>446.68359215096331</c:v>
                </c:pt>
                <c:pt idx="165">
                  <c:v>457.0881896148756</c:v>
                </c:pt>
                <c:pt idx="166">
                  <c:v>467.7351412871983</c:v>
                </c:pt>
                <c:pt idx="167">
                  <c:v>478.63009232263886</c:v>
                </c:pt>
                <c:pt idx="168">
                  <c:v>489.77881936844625</c:v>
                </c:pt>
                <c:pt idx="169">
                  <c:v>501.18723362727269</c:v>
                </c:pt>
                <c:pt idx="170">
                  <c:v>512.86138399136519</c:v>
                </c:pt>
                <c:pt idx="171">
                  <c:v>524.80746024977248</c:v>
                </c:pt>
                <c:pt idx="172">
                  <c:v>537.03179637025301</c:v>
                </c:pt>
                <c:pt idx="173">
                  <c:v>549.54087385762534</c:v>
                </c:pt>
                <c:pt idx="174">
                  <c:v>562.34132519034927</c:v>
                </c:pt>
                <c:pt idx="175">
                  <c:v>575.43993733715706</c:v>
                </c:pt>
                <c:pt idx="176">
                  <c:v>588.84365535558959</c:v>
                </c:pt>
                <c:pt idx="177">
                  <c:v>602.55958607435832</c:v>
                </c:pt>
                <c:pt idx="178">
                  <c:v>616.59500186148273</c:v>
                </c:pt>
                <c:pt idx="179">
                  <c:v>630.95734448019323</c:v>
                </c:pt>
                <c:pt idx="180">
                  <c:v>645.65422903465594</c:v>
                </c:pt>
                <c:pt idx="181">
                  <c:v>660.69344800759643</c:v>
                </c:pt>
                <c:pt idx="182">
                  <c:v>676.08297539198213</c:v>
                </c:pt>
                <c:pt idx="183">
                  <c:v>691.83097091893671</c:v>
                </c:pt>
                <c:pt idx="184">
                  <c:v>707.94578438413873</c:v>
                </c:pt>
                <c:pt idx="185">
                  <c:v>724.43596007499025</c:v>
                </c:pt>
                <c:pt idx="186">
                  <c:v>741.31024130091828</c:v>
                </c:pt>
                <c:pt idx="187">
                  <c:v>758.57757502918378</c:v>
                </c:pt>
                <c:pt idx="188">
                  <c:v>776.24711662869231</c:v>
                </c:pt>
                <c:pt idx="189">
                  <c:v>794.32823472428208</c:v>
                </c:pt>
                <c:pt idx="190">
                  <c:v>812.83051616409978</c:v>
                </c:pt>
                <c:pt idx="191">
                  <c:v>831.7637711026714</c:v>
                </c:pt>
                <c:pt idx="192">
                  <c:v>851.13803820237763</c:v>
                </c:pt>
                <c:pt idx="193">
                  <c:v>870.96358995608091</c:v>
                </c:pt>
                <c:pt idx="194">
                  <c:v>891.25093813374656</c:v>
                </c:pt>
                <c:pt idx="195">
                  <c:v>912.01083935590987</c:v>
                </c:pt>
                <c:pt idx="196">
                  <c:v>933.25430079699106</c:v>
                </c:pt>
                <c:pt idx="197">
                  <c:v>954.99258602143675</c:v>
                </c:pt>
                <c:pt idx="198">
                  <c:v>977.23722095581138</c:v>
                </c:pt>
                <c:pt idx="199">
                  <c:v>1000</c:v>
                </c:pt>
                <c:pt idx="200">
                  <c:v>1023.2929922807547</c:v>
                </c:pt>
                <c:pt idx="201">
                  <c:v>1047.1285480509</c:v>
                </c:pt>
                <c:pt idx="202">
                  <c:v>1071.5193052376069</c:v>
                </c:pt>
                <c:pt idx="203">
                  <c:v>1096.4781961431863</c:v>
                </c:pt>
                <c:pt idx="204">
                  <c:v>1122.0184543019636</c:v>
                </c:pt>
                <c:pt idx="205">
                  <c:v>1148.1536214968839</c:v>
                </c:pt>
                <c:pt idx="206">
                  <c:v>1174.8975549395295</c:v>
                </c:pt>
                <c:pt idx="207">
                  <c:v>1202.2644346174138</c:v>
                </c:pt>
                <c:pt idx="208">
                  <c:v>1230.2687708123824</c:v>
                </c:pt>
                <c:pt idx="209">
                  <c:v>1258.925411794168</c:v>
                </c:pt>
                <c:pt idx="210">
                  <c:v>1288.2495516931347</c:v>
                </c:pt>
                <c:pt idx="211">
                  <c:v>1318.2567385564089</c:v>
                </c:pt>
                <c:pt idx="212">
                  <c:v>1348.9628825916541</c:v>
                </c:pt>
                <c:pt idx="213">
                  <c:v>1380.3842646028863</c:v>
                </c:pt>
                <c:pt idx="214">
                  <c:v>1412.5375446227545</c:v>
                </c:pt>
                <c:pt idx="215">
                  <c:v>1445.4397707459289</c:v>
                </c:pt>
                <c:pt idx="216">
                  <c:v>1479.1083881682086</c:v>
                </c:pt>
                <c:pt idx="217">
                  <c:v>1513.5612484362093</c:v>
                </c:pt>
                <c:pt idx="218">
                  <c:v>1548.8166189124822</c:v>
                </c:pt>
                <c:pt idx="219">
                  <c:v>1584.8931924611156</c:v>
                </c:pt>
                <c:pt idx="220">
                  <c:v>1621.8100973589308</c:v>
                </c:pt>
                <c:pt idx="221">
                  <c:v>1659.5869074375626</c:v>
                </c:pt>
                <c:pt idx="222">
                  <c:v>1698.2436524617447</c:v>
                </c:pt>
                <c:pt idx="223">
                  <c:v>1737.8008287493772</c:v>
                </c:pt>
                <c:pt idx="224">
                  <c:v>1778.2794100389244</c:v>
                </c:pt>
                <c:pt idx="225">
                  <c:v>1819.7008586099832</c:v>
                </c:pt>
                <c:pt idx="226">
                  <c:v>1862.0871366628687</c:v>
                </c:pt>
                <c:pt idx="227">
                  <c:v>1905.4607179632501</c:v>
                </c:pt>
                <c:pt idx="228">
                  <c:v>1949.8445997580463</c:v>
                </c:pt>
                <c:pt idx="229">
                  <c:v>1995.2623149688804</c:v>
                </c:pt>
                <c:pt idx="230">
                  <c:v>2041.7379446695318</c:v>
                </c:pt>
                <c:pt idx="231">
                  <c:v>2089.2961308540398</c:v>
                </c:pt>
                <c:pt idx="232">
                  <c:v>2137.9620895022344</c:v>
                </c:pt>
                <c:pt idx="233">
                  <c:v>2187.7616239495528</c:v>
                </c:pt>
                <c:pt idx="234">
                  <c:v>2238.7211385683418</c:v>
                </c:pt>
                <c:pt idx="235">
                  <c:v>2290.8676527677749</c:v>
                </c:pt>
                <c:pt idx="236">
                  <c:v>2344.2288153199238</c:v>
                </c:pt>
                <c:pt idx="237">
                  <c:v>2398.8329190194918</c:v>
                </c:pt>
                <c:pt idx="238">
                  <c:v>2454.7089156850338</c:v>
                </c:pt>
                <c:pt idx="239">
                  <c:v>2511.8864315095811</c:v>
                </c:pt>
                <c:pt idx="240">
                  <c:v>2570.3957827688669</c:v>
                </c:pt>
                <c:pt idx="241">
                  <c:v>2630.2679918953822</c:v>
                </c:pt>
                <c:pt idx="242">
                  <c:v>2691.5348039269184</c:v>
                </c:pt>
                <c:pt idx="243">
                  <c:v>2754.228703338169</c:v>
                </c:pt>
                <c:pt idx="244">
                  <c:v>2818.3829312644561</c:v>
                </c:pt>
                <c:pt idx="245">
                  <c:v>2884.0315031266077</c:v>
                </c:pt>
                <c:pt idx="246">
                  <c:v>2951.2092266663876</c:v>
                </c:pt>
                <c:pt idx="247">
                  <c:v>3019.9517204020176</c:v>
                </c:pt>
                <c:pt idx="248">
                  <c:v>3090.295432513592</c:v>
                </c:pt>
                <c:pt idx="249">
                  <c:v>3162.2776601683804</c:v>
                </c:pt>
                <c:pt idx="250">
                  <c:v>3235.9365692962833</c:v>
                </c:pt>
                <c:pt idx="251">
                  <c:v>3311.3112148259115</c:v>
                </c:pt>
                <c:pt idx="252">
                  <c:v>3388.4415613920314</c:v>
                </c:pt>
                <c:pt idx="253">
                  <c:v>3467.3685045253224</c:v>
                </c:pt>
                <c:pt idx="254">
                  <c:v>3548.1338923357539</c:v>
                </c:pt>
                <c:pt idx="255">
                  <c:v>3630.7805477010188</c:v>
                </c:pt>
                <c:pt idx="256">
                  <c:v>3715.352290971724</c:v>
                </c:pt>
                <c:pt idx="257">
                  <c:v>3801.8939632056172</c:v>
                </c:pt>
                <c:pt idx="258">
                  <c:v>3890.451449942811</c:v>
                </c:pt>
                <c:pt idx="259">
                  <c:v>3981.0717055349769</c:v>
                </c:pt>
                <c:pt idx="260">
                  <c:v>4073.8027780411317</c:v>
                </c:pt>
                <c:pt idx="261">
                  <c:v>4168.6938347033583</c:v>
                </c:pt>
                <c:pt idx="262">
                  <c:v>4265.7951880159299</c:v>
                </c:pt>
                <c:pt idx="263">
                  <c:v>4365.1583224016631</c:v>
                </c:pt>
                <c:pt idx="264">
                  <c:v>4466.8359215096343</c:v>
                </c:pt>
                <c:pt idx="265">
                  <c:v>4570.8818961487532</c:v>
                </c:pt>
                <c:pt idx="266">
                  <c:v>4677.3514128719844</c:v>
                </c:pt>
                <c:pt idx="267">
                  <c:v>4786.3009232263848</c:v>
                </c:pt>
                <c:pt idx="268">
                  <c:v>4897.7881936844633</c:v>
                </c:pt>
                <c:pt idx="269">
                  <c:v>5011.8723362727324</c:v>
                </c:pt>
                <c:pt idx="270">
                  <c:v>5128.6138399136489</c:v>
                </c:pt>
                <c:pt idx="271">
                  <c:v>5248.0746024977261</c:v>
                </c:pt>
                <c:pt idx="272">
                  <c:v>5370.3179637025269</c:v>
                </c:pt>
                <c:pt idx="273">
                  <c:v>5495.4087385762541</c:v>
                </c:pt>
                <c:pt idx="274">
                  <c:v>5623.4132519034993</c:v>
                </c:pt>
                <c:pt idx="275">
                  <c:v>5754.399373371567</c:v>
                </c:pt>
                <c:pt idx="276">
                  <c:v>5888.4365535558973</c:v>
                </c:pt>
                <c:pt idx="277">
                  <c:v>6025.595860743585</c:v>
                </c:pt>
                <c:pt idx="278">
                  <c:v>6165.9500186148289</c:v>
                </c:pt>
                <c:pt idx="279">
                  <c:v>6309.5734448019384</c:v>
                </c:pt>
                <c:pt idx="280">
                  <c:v>6456.5422903465615</c:v>
                </c:pt>
                <c:pt idx="281">
                  <c:v>6606.9344800759654</c:v>
                </c:pt>
                <c:pt idx="282">
                  <c:v>6760.8297539198229</c:v>
                </c:pt>
                <c:pt idx="283">
                  <c:v>6918.3097091893687</c:v>
                </c:pt>
                <c:pt idx="284">
                  <c:v>7079.4578438413828</c:v>
                </c:pt>
                <c:pt idx="285">
                  <c:v>7244.3596007499036</c:v>
                </c:pt>
                <c:pt idx="286">
                  <c:v>7413.1024130091773</c:v>
                </c:pt>
                <c:pt idx="287">
                  <c:v>7585.7757502918394</c:v>
                </c:pt>
                <c:pt idx="288">
                  <c:v>7762.4711662869322</c:v>
                </c:pt>
                <c:pt idx="289">
                  <c:v>7943.2823472428154</c:v>
                </c:pt>
                <c:pt idx="290">
                  <c:v>8128.3051616410066</c:v>
                </c:pt>
                <c:pt idx="291">
                  <c:v>8317.6377110267094</c:v>
                </c:pt>
                <c:pt idx="292">
                  <c:v>8511.3803820237772</c:v>
                </c:pt>
                <c:pt idx="293">
                  <c:v>8709.6358995608189</c:v>
                </c:pt>
                <c:pt idx="294">
                  <c:v>8912.5093813374679</c:v>
                </c:pt>
                <c:pt idx="295">
                  <c:v>9120.1083935591087</c:v>
                </c:pt>
                <c:pt idx="296">
                  <c:v>9332.5430079699217</c:v>
                </c:pt>
                <c:pt idx="297">
                  <c:v>9549.9258602143691</c:v>
                </c:pt>
                <c:pt idx="298">
                  <c:v>9772.3722095581161</c:v>
                </c:pt>
                <c:pt idx="299">
                  <c:v>10000</c:v>
                </c:pt>
                <c:pt idx="300">
                  <c:v>10232.929922807549</c:v>
                </c:pt>
                <c:pt idx="301">
                  <c:v>10471.285480509003</c:v>
                </c:pt>
                <c:pt idx="302">
                  <c:v>10715.193052376071</c:v>
                </c:pt>
                <c:pt idx="303">
                  <c:v>10964.781961431856</c:v>
                </c:pt>
                <c:pt idx="304">
                  <c:v>11220.184543019639</c:v>
                </c:pt>
                <c:pt idx="305">
                  <c:v>11481.536214968832</c:v>
                </c:pt>
                <c:pt idx="306">
                  <c:v>11748.975549395318</c:v>
                </c:pt>
                <c:pt idx="307">
                  <c:v>12022.644346174151</c:v>
                </c:pt>
                <c:pt idx="308">
                  <c:v>12302.687708123816</c:v>
                </c:pt>
                <c:pt idx="309">
                  <c:v>12589.254117941671</c:v>
                </c:pt>
                <c:pt idx="310">
                  <c:v>12882.49551693136</c:v>
                </c:pt>
                <c:pt idx="311">
                  <c:v>13182.567385564091</c:v>
                </c:pt>
                <c:pt idx="312">
                  <c:v>13489.628825916556</c:v>
                </c:pt>
                <c:pt idx="313">
                  <c:v>13803.842646028841</c:v>
                </c:pt>
                <c:pt idx="314">
                  <c:v>14125.375446227561</c:v>
                </c:pt>
                <c:pt idx="315">
                  <c:v>14454.397707459291</c:v>
                </c:pt>
                <c:pt idx="316">
                  <c:v>14791.083881682089</c:v>
                </c:pt>
                <c:pt idx="317">
                  <c:v>15135.612484362096</c:v>
                </c:pt>
                <c:pt idx="318">
                  <c:v>15488.166189124853</c:v>
                </c:pt>
                <c:pt idx="319">
                  <c:v>15848.931924611146</c:v>
                </c:pt>
                <c:pt idx="320">
                  <c:v>16218.100973589309</c:v>
                </c:pt>
                <c:pt idx="321">
                  <c:v>16595.869074375616</c:v>
                </c:pt>
                <c:pt idx="322">
                  <c:v>16982.436524617482</c:v>
                </c:pt>
                <c:pt idx="323">
                  <c:v>17378.008287493791</c:v>
                </c:pt>
                <c:pt idx="324">
                  <c:v>17782.794100389234</c:v>
                </c:pt>
                <c:pt idx="325">
                  <c:v>18197.008586099837</c:v>
                </c:pt>
                <c:pt idx="326">
                  <c:v>18620.871366628675</c:v>
                </c:pt>
                <c:pt idx="327">
                  <c:v>19054.607179632505</c:v>
                </c:pt>
                <c:pt idx="328">
                  <c:v>19498.445997580486</c:v>
                </c:pt>
                <c:pt idx="329">
                  <c:v>19952.623149688792</c:v>
                </c:pt>
                <c:pt idx="330">
                  <c:v>20417.379446695286</c:v>
                </c:pt>
                <c:pt idx="331">
                  <c:v>20892.961308540423</c:v>
                </c:pt>
                <c:pt idx="332">
                  <c:v>21379.620895022348</c:v>
                </c:pt>
                <c:pt idx="333">
                  <c:v>21877.61623949555</c:v>
                </c:pt>
                <c:pt idx="334">
                  <c:v>22387.211385683382</c:v>
                </c:pt>
                <c:pt idx="335">
                  <c:v>22908.676527677751</c:v>
                </c:pt>
                <c:pt idx="336">
                  <c:v>23442.288153199243</c:v>
                </c:pt>
                <c:pt idx="337">
                  <c:v>23988.329190194923</c:v>
                </c:pt>
                <c:pt idx="338">
                  <c:v>24547.089156850321</c:v>
                </c:pt>
                <c:pt idx="339">
                  <c:v>25118.86431509586</c:v>
                </c:pt>
                <c:pt idx="340">
                  <c:v>25703.95782768865</c:v>
                </c:pt>
                <c:pt idx="341">
                  <c:v>26302.679918953829</c:v>
                </c:pt>
                <c:pt idx="342">
                  <c:v>26915.348039269167</c:v>
                </c:pt>
                <c:pt idx="343">
                  <c:v>27542.287033381719</c:v>
                </c:pt>
                <c:pt idx="344">
                  <c:v>28183.829312644593</c:v>
                </c:pt>
                <c:pt idx="345">
                  <c:v>28840.315031266062</c:v>
                </c:pt>
                <c:pt idx="346">
                  <c:v>29512.092266663854</c:v>
                </c:pt>
                <c:pt idx="347">
                  <c:v>30199.517204020212</c:v>
                </c:pt>
                <c:pt idx="348">
                  <c:v>30902.954325135954</c:v>
                </c:pt>
                <c:pt idx="349">
                  <c:v>31622.77660168384</c:v>
                </c:pt>
                <c:pt idx="350">
                  <c:v>32359.365692962871</c:v>
                </c:pt>
                <c:pt idx="351">
                  <c:v>33113.11214825909</c:v>
                </c:pt>
                <c:pt idx="352">
                  <c:v>33884.41561392029</c:v>
                </c:pt>
                <c:pt idx="353">
                  <c:v>34673.685045253202</c:v>
                </c:pt>
                <c:pt idx="354">
                  <c:v>35481.33892335758</c:v>
                </c:pt>
                <c:pt idx="355">
                  <c:v>36307.805477010232</c:v>
                </c:pt>
                <c:pt idx="356">
                  <c:v>37153.522909717351</c:v>
                </c:pt>
                <c:pt idx="357">
                  <c:v>38018.939632056143</c:v>
                </c:pt>
                <c:pt idx="358">
                  <c:v>38904.514499428085</c:v>
                </c:pt>
                <c:pt idx="359">
                  <c:v>39810.717055349742</c:v>
                </c:pt>
                <c:pt idx="360">
                  <c:v>40738.027780411358</c:v>
                </c:pt>
                <c:pt idx="361">
                  <c:v>41686.938347033625</c:v>
                </c:pt>
                <c:pt idx="362">
                  <c:v>42657.951880159271</c:v>
                </c:pt>
                <c:pt idx="363">
                  <c:v>43651.583224016598</c:v>
                </c:pt>
                <c:pt idx="364">
                  <c:v>44668.359215096389</c:v>
                </c:pt>
                <c:pt idx="365">
                  <c:v>45708.818961487581</c:v>
                </c:pt>
                <c:pt idx="366">
                  <c:v>46773.514128719893</c:v>
                </c:pt>
                <c:pt idx="367">
                  <c:v>47863.009232263823</c:v>
                </c:pt>
                <c:pt idx="368">
                  <c:v>48977.881936844598</c:v>
                </c:pt>
                <c:pt idx="369">
                  <c:v>50118.723362727294</c:v>
                </c:pt>
                <c:pt idx="370">
                  <c:v>51286.138399136544</c:v>
                </c:pt>
                <c:pt idx="371">
                  <c:v>52480.746024977314</c:v>
                </c:pt>
                <c:pt idx="372">
                  <c:v>53703.179637025423</c:v>
                </c:pt>
                <c:pt idx="373">
                  <c:v>54954.087385762505</c:v>
                </c:pt>
                <c:pt idx="374">
                  <c:v>56234.132519034953</c:v>
                </c:pt>
                <c:pt idx="375">
                  <c:v>57543.993733715732</c:v>
                </c:pt>
                <c:pt idx="376">
                  <c:v>58884.365535558936</c:v>
                </c:pt>
                <c:pt idx="377">
                  <c:v>60255.95860743591</c:v>
                </c:pt>
                <c:pt idx="378">
                  <c:v>61659.500186148245</c:v>
                </c:pt>
                <c:pt idx="379">
                  <c:v>63095.734448019342</c:v>
                </c:pt>
                <c:pt idx="380">
                  <c:v>64565.422903465682</c:v>
                </c:pt>
                <c:pt idx="381">
                  <c:v>66069.344800759733</c:v>
                </c:pt>
                <c:pt idx="382">
                  <c:v>67608.297539198305</c:v>
                </c:pt>
                <c:pt idx="383">
                  <c:v>69183.097091893651</c:v>
                </c:pt>
                <c:pt idx="384">
                  <c:v>70794.578438413781</c:v>
                </c:pt>
                <c:pt idx="385">
                  <c:v>72443.596007499116</c:v>
                </c:pt>
                <c:pt idx="386">
                  <c:v>74131.024130091857</c:v>
                </c:pt>
                <c:pt idx="387">
                  <c:v>75857.757502918481</c:v>
                </c:pt>
                <c:pt idx="388">
                  <c:v>77624.711662869129</c:v>
                </c:pt>
                <c:pt idx="389">
                  <c:v>79432.823472428237</c:v>
                </c:pt>
                <c:pt idx="390">
                  <c:v>81283.051616410012</c:v>
                </c:pt>
                <c:pt idx="391">
                  <c:v>83176.377110267174</c:v>
                </c:pt>
                <c:pt idx="392">
                  <c:v>85113.803820237721</c:v>
                </c:pt>
                <c:pt idx="393">
                  <c:v>87096.358995608127</c:v>
                </c:pt>
                <c:pt idx="394">
                  <c:v>89125.093813374609</c:v>
                </c:pt>
                <c:pt idx="395">
                  <c:v>91201.083935591028</c:v>
                </c:pt>
                <c:pt idx="396">
                  <c:v>93325.430079699145</c:v>
                </c:pt>
                <c:pt idx="397">
                  <c:v>95499.258602143804</c:v>
                </c:pt>
                <c:pt idx="398">
                  <c:v>97723.722095581266</c:v>
                </c:pt>
                <c:pt idx="399">
                  <c:v>100000</c:v>
                </c:pt>
                <c:pt idx="400">
                  <c:v>102329.29922807543</c:v>
                </c:pt>
                <c:pt idx="401">
                  <c:v>104712.85480508996</c:v>
                </c:pt>
                <c:pt idx="402">
                  <c:v>107151.93052376082</c:v>
                </c:pt>
                <c:pt idx="403">
                  <c:v>109647.81961431868</c:v>
                </c:pt>
                <c:pt idx="404">
                  <c:v>112201.84543019651</c:v>
                </c:pt>
                <c:pt idx="405">
                  <c:v>114815.36214968823</c:v>
                </c:pt>
                <c:pt idx="406">
                  <c:v>117489.75549395311</c:v>
                </c:pt>
                <c:pt idx="407">
                  <c:v>120226.44346174144</c:v>
                </c:pt>
                <c:pt idx="408">
                  <c:v>123026.87708123829</c:v>
                </c:pt>
                <c:pt idx="409">
                  <c:v>125892.54117941685</c:v>
                </c:pt>
                <c:pt idx="410">
                  <c:v>128824.95516931375</c:v>
                </c:pt>
                <c:pt idx="411">
                  <c:v>131825.67385564081</c:v>
                </c:pt>
                <c:pt idx="412">
                  <c:v>134896.28825916545</c:v>
                </c:pt>
                <c:pt idx="413">
                  <c:v>138038.42646028858</c:v>
                </c:pt>
                <c:pt idx="414">
                  <c:v>141253.75446227577</c:v>
                </c:pt>
                <c:pt idx="415">
                  <c:v>144543.97707459307</c:v>
                </c:pt>
                <c:pt idx="416">
                  <c:v>147910.83881682079</c:v>
                </c:pt>
                <c:pt idx="417">
                  <c:v>151356.12484362084</c:v>
                </c:pt>
                <c:pt idx="418">
                  <c:v>154881.66189124843</c:v>
                </c:pt>
                <c:pt idx="419">
                  <c:v>158489.31924611164</c:v>
                </c:pt>
                <c:pt idx="420">
                  <c:v>162181.00973589328</c:v>
                </c:pt>
                <c:pt idx="421">
                  <c:v>165958.69074375604</c:v>
                </c:pt>
                <c:pt idx="422">
                  <c:v>169824.36524617471</c:v>
                </c:pt>
                <c:pt idx="423">
                  <c:v>173780.0828749378</c:v>
                </c:pt>
                <c:pt idx="424">
                  <c:v>177827.94100389251</c:v>
                </c:pt>
                <c:pt idx="425">
                  <c:v>181970.08586099857</c:v>
                </c:pt>
                <c:pt idx="426">
                  <c:v>186208.71366628664</c:v>
                </c:pt>
                <c:pt idx="427">
                  <c:v>190546.07179632492</c:v>
                </c:pt>
                <c:pt idx="428">
                  <c:v>194984.45997580473</c:v>
                </c:pt>
                <c:pt idx="429">
                  <c:v>199526.23149688813</c:v>
                </c:pt>
                <c:pt idx="430">
                  <c:v>204173.79446695308</c:v>
                </c:pt>
                <c:pt idx="431">
                  <c:v>208929.61308540447</c:v>
                </c:pt>
                <c:pt idx="432">
                  <c:v>213796.20895022334</c:v>
                </c:pt>
                <c:pt idx="433">
                  <c:v>218776.16239495538</c:v>
                </c:pt>
                <c:pt idx="434">
                  <c:v>223872.11385683404</c:v>
                </c:pt>
                <c:pt idx="435">
                  <c:v>229086.76527677779</c:v>
                </c:pt>
                <c:pt idx="436">
                  <c:v>234422.88153199267</c:v>
                </c:pt>
                <c:pt idx="437">
                  <c:v>239883.29190194907</c:v>
                </c:pt>
                <c:pt idx="438">
                  <c:v>245470.89156850305</c:v>
                </c:pt>
                <c:pt idx="439">
                  <c:v>251188.64315095844</c:v>
                </c:pt>
                <c:pt idx="440">
                  <c:v>257039.57827688678</c:v>
                </c:pt>
                <c:pt idx="441">
                  <c:v>263026.79918953858</c:v>
                </c:pt>
                <c:pt idx="442">
                  <c:v>269153.48039269145</c:v>
                </c:pt>
                <c:pt idx="443">
                  <c:v>275422.87033381703</c:v>
                </c:pt>
                <c:pt idx="444">
                  <c:v>281838.29312644573</c:v>
                </c:pt>
                <c:pt idx="445">
                  <c:v>288403.1503126609</c:v>
                </c:pt>
                <c:pt idx="446">
                  <c:v>295120.92266663886</c:v>
                </c:pt>
                <c:pt idx="447">
                  <c:v>301995.17204020242</c:v>
                </c:pt>
                <c:pt idx="448">
                  <c:v>309029.54325135931</c:v>
                </c:pt>
                <c:pt idx="449">
                  <c:v>316227.7660168382</c:v>
                </c:pt>
                <c:pt idx="450">
                  <c:v>323593.65692962846</c:v>
                </c:pt>
                <c:pt idx="451">
                  <c:v>331131.12148259126</c:v>
                </c:pt>
                <c:pt idx="452">
                  <c:v>338844.15613920329</c:v>
                </c:pt>
                <c:pt idx="453">
                  <c:v>346736.85045253241</c:v>
                </c:pt>
                <c:pt idx="454">
                  <c:v>354813.38923357555</c:v>
                </c:pt>
                <c:pt idx="455">
                  <c:v>363078.05477010203</c:v>
                </c:pt>
                <c:pt idx="456">
                  <c:v>371535.2290971732</c:v>
                </c:pt>
                <c:pt idx="457">
                  <c:v>380189.39632056188</c:v>
                </c:pt>
                <c:pt idx="458">
                  <c:v>389045.14499428123</c:v>
                </c:pt>
                <c:pt idx="459">
                  <c:v>398107.17055349716</c:v>
                </c:pt>
                <c:pt idx="460">
                  <c:v>407380.27780411334</c:v>
                </c:pt>
                <c:pt idx="461">
                  <c:v>416869.38347033598</c:v>
                </c:pt>
                <c:pt idx="462">
                  <c:v>426579.51880159322</c:v>
                </c:pt>
                <c:pt idx="463">
                  <c:v>436515.83224016649</c:v>
                </c:pt>
                <c:pt idx="464">
                  <c:v>446683.59215096442</c:v>
                </c:pt>
                <c:pt idx="465">
                  <c:v>457088.18961487547</c:v>
                </c:pt>
                <c:pt idx="466">
                  <c:v>467735.14128719864</c:v>
                </c:pt>
                <c:pt idx="467">
                  <c:v>478630.09232263872</c:v>
                </c:pt>
                <c:pt idx="468">
                  <c:v>489778.81936844654</c:v>
                </c:pt>
                <c:pt idx="469">
                  <c:v>501187.23362727347</c:v>
                </c:pt>
                <c:pt idx="470">
                  <c:v>512861.38399136515</c:v>
                </c:pt>
                <c:pt idx="471">
                  <c:v>524807.46024977288</c:v>
                </c:pt>
                <c:pt idx="472">
                  <c:v>537031.7963702539</c:v>
                </c:pt>
                <c:pt idx="473">
                  <c:v>549540.87385762564</c:v>
                </c:pt>
                <c:pt idx="474">
                  <c:v>562341.32519035018</c:v>
                </c:pt>
                <c:pt idx="475">
                  <c:v>575439.93733715697</c:v>
                </c:pt>
                <c:pt idx="476">
                  <c:v>588843.65535558888</c:v>
                </c:pt>
                <c:pt idx="477">
                  <c:v>602559.58607435878</c:v>
                </c:pt>
                <c:pt idx="478">
                  <c:v>616595.00186148309</c:v>
                </c:pt>
                <c:pt idx="479">
                  <c:v>630957.34448019415</c:v>
                </c:pt>
                <c:pt idx="480">
                  <c:v>645654.22903465747</c:v>
                </c:pt>
                <c:pt idx="481">
                  <c:v>660693.44800759677</c:v>
                </c:pt>
                <c:pt idx="482">
                  <c:v>676082.97539198259</c:v>
                </c:pt>
                <c:pt idx="483">
                  <c:v>691830.97091893724</c:v>
                </c:pt>
                <c:pt idx="484">
                  <c:v>707945.78438413853</c:v>
                </c:pt>
                <c:pt idx="485">
                  <c:v>724435.96007499192</c:v>
                </c:pt>
                <c:pt idx="486">
                  <c:v>741310.24130091805</c:v>
                </c:pt>
                <c:pt idx="487">
                  <c:v>758577.57502918423</c:v>
                </c:pt>
                <c:pt idx="488">
                  <c:v>776247.11662869214</c:v>
                </c:pt>
                <c:pt idx="489">
                  <c:v>794328.23472428333</c:v>
                </c:pt>
                <c:pt idx="490">
                  <c:v>812830.51616410096</c:v>
                </c:pt>
                <c:pt idx="491">
                  <c:v>831763.77110267128</c:v>
                </c:pt>
                <c:pt idx="492">
                  <c:v>851138.03820237669</c:v>
                </c:pt>
                <c:pt idx="493">
                  <c:v>870963.58995608077</c:v>
                </c:pt>
                <c:pt idx="494">
                  <c:v>891250.93813374708</c:v>
                </c:pt>
                <c:pt idx="495">
                  <c:v>912010.83935591124</c:v>
                </c:pt>
                <c:pt idx="496">
                  <c:v>933254.30079699249</c:v>
                </c:pt>
                <c:pt idx="497">
                  <c:v>954992.58602143743</c:v>
                </c:pt>
                <c:pt idx="498">
                  <c:v>977237.22095581202</c:v>
                </c:pt>
                <c:pt idx="499">
                  <c:v>1000000</c:v>
                </c:pt>
                <c:pt idx="500">
                  <c:v>1023292.9922807553</c:v>
                </c:pt>
                <c:pt idx="501">
                  <c:v>1047128.5480509007</c:v>
                </c:pt>
                <c:pt idx="502">
                  <c:v>1071519.3052376076</c:v>
                </c:pt>
                <c:pt idx="503">
                  <c:v>1096478.196143186</c:v>
                </c:pt>
                <c:pt idx="504">
                  <c:v>1122018.4543019643</c:v>
                </c:pt>
                <c:pt idx="505">
                  <c:v>1148153.6214968837</c:v>
                </c:pt>
                <c:pt idx="506">
                  <c:v>1174897.5549395324</c:v>
                </c:pt>
                <c:pt idx="507">
                  <c:v>1202264.4346174158</c:v>
                </c:pt>
                <c:pt idx="508">
                  <c:v>1230268.770812382</c:v>
                </c:pt>
                <c:pt idx="509">
                  <c:v>1258925.4117941677</c:v>
                </c:pt>
                <c:pt idx="510">
                  <c:v>1288249.5516931366</c:v>
                </c:pt>
                <c:pt idx="511">
                  <c:v>1318256.7385564097</c:v>
                </c:pt>
                <c:pt idx="512">
                  <c:v>1348962.8825916562</c:v>
                </c:pt>
                <c:pt idx="513">
                  <c:v>1380384.2646028849</c:v>
                </c:pt>
                <c:pt idx="514">
                  <c:v>1412537.5446227565</c:v>
                </c:pt>
                <c:pt idx="515">
                  <c:v>1445439.7707459298</c:v>
                </c:pt>
                <c:pt idx="516">
                  <c:v>1479108.3881682095</c:v>
                </c:pt>
                <c:pt idx="517">
                  <c:v>1513561.2484362102</c:v>
                </c:pt>
                <c:pt idx="518">
                  <c:v>1548816.6189124861</c:v>
                </c:pt>
                <c:pt idx="519">
                  <c:v>1584893.1924611153</c:v>
                </c:pt>
                <c:pt idx="520">
                  <c:v>1621810.0973589318</c:v>
                </c:pt>
                <c:pt idx="521">
                  <c:v>1659586.9074375622</c:v>
                </c:pt>
                <c:pt idx="522">
                  <c:v>1698243.6524617488</c:v>
                </c:pt>
                <c:pt idx="523">
                  <c:v>1737800.8287493798</c:v>
                </c:pt>
                <c:pt idx="524">
                  <c:v>1778279.4100389241</c:v>
                </c:pt>
                <c:pt idx="525">
                  <c:v>1819700.8586099846</c:v>
                </c:pt>
                <c:pt idx="526">
                  <c:v>1862087.1366628683</c:v>
                </c:pt>
                <c:pt idx="527">
                  <c:v>1905460.7179632513</c:v>
                </c:pt>
                <c:pt idx="528">
                  <c:v>1949844.5997580495</c:v>
                </c:pt>
                <c:pt idx="529">
                  <c:v>1995262.31496888</c:v>
                </c:pt>
                <c:pt idx="530">
                  <c:v>2041737.9446695296</c:v>
                </c:pt>
                <c:pt idx="531">
                  <c:v>2089296.1308540432</c:v>
                </c:pt>
                <c:pt idx="532">
                  <c:v>2137962.0895022359</c:v>
                </c:pt>
                <c:pt idx="533">
                  <c:v>2187761.6239495561</c:v>
                </c:pt>
                <c:pt idx="534">
                  <c:v>2238721.1385683389</c:v>
                </c:pt>
                <c:pt idx="535">
                  <c:v>2290867.6527677765</c:v>
                </c:pt>
                <c:pt idx="536">
                  <c:v>2344228.8153199251</c:v>
                </c:pt>
                <c:pt idx="537">
                  <c:v>2398832.9190194933</c:v>
                </c:pt>
                <c:pt idx="538">
                  <c:v>2454708.915685033</c:v>
                </c:pt>
                <c:pt idx="539">
                  <c:v>2511886.431509587</c:v>
                </c:pt>
                <c:pt idx="540">
                  <c:v>2570395.782768866</c:v>
                </c:pt>
                <c:pt idx="541">
                  <c:v>2630267.9918953842</c:v>
                </c:pt>
              </c:numCache>
            </c:numRef>
          </c:xVal>
          <c:yVal>
            <c:numRef>
              <c:f>CCM_Loop_Modeling_non_isolated!$AU$19:$AU$560</c:f>
              <c:numCache>
                <c:formatCode>General</c:formatCode>
                <c:ptCount val="542"/>
                <c:pt idx="0">
                  <c:v>40.363200431129783</c:v>
                </c:pt>
                <c:pt idx="1">
                  <c:v>39.750128228286663</c:v>
                </c:pt>
                <c:pt idx="2">
                  <c:v>39.141148114308862</c:v>
                </c:pt>
                <c:pt idx="3">
                  <c:v>38.536577209563816</c:v>
                </c:pt>
                <c:pt idx="4">
                  <c:v>37.936723999313124</c:v>
                </c:pt>
                <c:pt idx="5">
                  <c:v>37.341887768503561</c:v>
                </c:pt>
                <c:pt idx="6">
                  <c:v>36.75235809055318</c:v>
                </c:pt>
                <c:pt idx="7">
                  <c:v>36.168414371672419</c:v>
                </c:pt>
                <c:pt idx="8">
                  <c:v>35.590325451726422</c:v>
                </c:pt>
                <c:pt idx="9">
                  <c:v>35.018349262129888</c:v>
                </c:pt>
                <c:pt idx="10">
                  <c:v>34.452732540757403</c:v>
                </c:pt>
                <c:pt idx="11">
                  <c:v>33.893710603398191</c:v>
                </c:pt>
                <c:pt idx="12">
                  <c:v>33.341507170813834</c:v>
                </c:pt>
                <c:pt idx="13">
                  <c:v>32.79633425006967</c:v>
                </c:pt>
                <c:pt idx="14">
                  <c:v>32.258392068425948</c:v>
                </c:pt>
                <c:pt idx="15">
                  <c:v>31.727869057749118</c:v>
                </c:pt>
                <c:pt idx="16">
                  <c:v>31.204941887112781</c:v>
                </c:pt>
                <c:pt idx="17">
                  <c:v>30.689775541014548</c:v>
                </c:pt>
                <c:pt idx="18">
                  <c:v>30.182523440428092</c:v>
                </c:pt>
                <c:pt idx="19">
                  <c:v>29.683327603757792</c:v>
                </c:pt>
                <c:pt idx="20">
                  <c:v>29.192318844637342</c:v>
                </c:pt>
                <c:pt idx="21">
                  <c:v>28.709617003439586</c:v>
                </c:pt>
                <c:pt idx="22">
                  <c:v>28.235331209325448</c:v>
                </c:pt>
                <c:pt idx="23">
                  <c:v>27.769560169641885</c:v>
                </c:pt>
                <c:pt idx="24">
                  <c:v>27.312392483524555</c:v>
                </c:pt>
                <c:pt idx="25">
                  <c:v>26.86390697658501</c:v>
                </c:pt>
                <c:pt idx="26">
                  <c:v>26.424173053671282</c:v>
                </c:pt>
                <c:pt idx="27">
                  <c:v>25.993251066763463</c:v>
                </c:pt>
                <c:pt idx="28">
                  <c:v>25.571192695203155</c:v>
                </c:pt>
                <c:pt idx="29">
                  <c:v>25.158041335576574</c:v>
                </c:pt>
                <c:pt idx="30">
                  <c:v>24.753832498727025</c:v>
                </c:pt>
                <c:pt idx="31">
                  <c:v>24.358594211513729</c:v>
                </c:pt>
                <c:pt idx="32">
                  <c:v>23.97234742111111</c:v>
                </c:pt>
                <c:pt idx="33">
                  <c:v>23.595106399790978</c:v>
                </c:pt>
                <c:pt idx="34">
                  <c:v>23.226879148310353</c:v>
                </c:pt>
                <c:pt idx="35">
                  <c:v>22.867667796182772</c:v>
                </c:pt>
                <c:pt idx="36">
                  <c:v>22.517468997282592</c:v>
                </c:pt>
                <c:pt idx="37">
                  <c:v>22.176274319385996</c:v>
                </c:pt>
                <c:pt idx="38">
                  <c:v>21.844070626411568</c:v>
                </c:pt>
                <c:pt idx="39">
                  <c:v>21.520840452268928</c:v>
                </c:pt>
                <c:pt idx="40">
                  <c:v>21.206562365366967</c:v>
                </c:pt>
                <c:pt idx="41">
                  <c:v>20.901211322966965</c:v>
                </c:pt>
                <c:pt idx="42">
                  <c:v>20.604759014690295</c:v>
                </c:pt>
                <c:pt idx="43">
                  <c:v>20.317174194612399</c:v>
                </c:pt>
                <c:pt idx="44">
                  <c:v>20.03842300147317</c:v>
                </c:pt>
                <c:pt idx="45">
                  <c:v>19.768469266645493</c:v>
                </c:pt>
                <c:pt idx="46">
                  <c:v>19.507274809584878</c:v>
                </c:pt>
                <c:pt idx="47">
                  <c:v>19.254799720570642</c:v>
                </c:pt>
                <c:pt idx="48">
                  <c:v>19.011002630618869</c:v>
                </c:pt>
                <c:pt idx="49">
                  <c:v>18.775840968517961</c:v>
                </c:pt>
                <c:pt idx="50">
                  <c:v>18.549271204987757</c:v>
                </c:pt>
                <c:pt idx="51">
                  <c:v>18.331249084021689</c:v>
                </c:pt>
                <c:pt idx="52">
                  <c:v>18.121729841507772</c:v>
                </c:pt>
                <c:pt idx="53">
                  <c:v>17.920668411262763</c:v>
                </c:pt>
                <c:pt idx="54">
                  <c:v>17.728019618647277</c:v>
                </c:pt>
                <c:pt idx="55">
                  <c:v>17.54373836194565</c:v>
                </c:pt>
                <c:pt idx="56">
                  <c:v>17.367779781723456</c:v>
                </c:pt>
                <c:pt idx="57">
                  <c:v>17.200099418379171</c:v>
                </c:pt>
                <c:pt idx="58">
                  <c:v>17.040653358124608</c:v>
                </c:pt>
                <c:pt idx="59">
                  <c:v>16.889398367627628</c:v>
                </c:pt>
                <c:pt idx="60">
                  <c:v>16.746292017551902</c:v>
                </c:pt>
                <c:pt idx="61">
                  <c:v>16.611292795232949</c:v>
                </c:pt>
                <c:pt idx="62">
                  <c:v>16.484360206714097</c:v>
                </c:pt>
                <c:pt idx="63">
                  <c:v>16.365454868366356</c:v>
                </c:pt>
                <c:pt idx="64">
                  <c:v>16.254538588299713</c:v>
                </c:pt>
                <c:pt idx="65">
                  <c:v>16.151574437764545</c:v>
                </c:pt>
                <c:pt idx="66">
                  <c:v>16.056526812723593</c:v>
                </c:pt>
                <c:pt idx="67">
                  <c:v>15.969361485760261</c:v>
                </c:pt>
                <c:pt idx="68">
                  <c:v>15.890045648469675</c:v>
                </c:pt>
                <c:pt idx="69">
                  <c:v>15.818547944461335</c:v>
                </c:pt>
                <c:pt idx="70">
                  <c:v>15.754838493078694</c:v>
                </c:pt>
                <c:pt idx="71">
                  <c:v>15.698888903924379</c:v>
                </c:pt>
                <c:pt idx="72">
                  <c:v>15.650672282251069</c:v>
                </c:pt>
                <c:pt idx="73">
                  <c:v>15.610163225263531</c:v>
                </c:pt>
                <c:pt idx="74">
                  <c:v>15.577337809347416</c:v>
                </c:pt>
                <c:pt idx="75">
                  <c:v>15.552173568222383</c:v>
                </c:pt>
                <c:pt idx="76">
                  <c:v>15.534649461991638</c:v>
                </c:pt>
                <c:pt idx="77">
                  <c:v>15.524745837037404</c:v>
                </c:pt>
                <c:pt idx="78">
                  <c:v>15.5224443766903</c:v>
                </c:pt>
                <c:pt idx="79">
                  <c:v>15.527728042578778</c:v>
                </c:pt>
                <c:pt idx="80">
                  <c:v>15.540581006541203</c:v>
                </c:pt>
                <c:pt idx="81">
                  <c:v>15.560988572966567</c:v>
                </c:pt>
                <c:pt idx="82">
                  <c:v>15.588937091405517</c:v>
                </c:pt>
                <c:pt idx="83">
                  <c:v>15.624413859281507</c:v>
                </c:pt>
                <c:pt idx="84">
                  <c:v>15.667407014508608</c:v>
                </c:pt>
                <c:pt idx="85">
                  <c:v>15.717905417812606</c:v>
                </c:pt>
                <c:pt idx="86">
                  <c:v>15.775898524536565</c:v>
                </c:pt>
                <c:pt idx="87">
                  <c:v>15.841376245702426</c:v>
                </c:pt>
                <c:pt idx="88">
                  <c:v>15.914328798090979</c:v>
                </c:pt>
                <c:pt idx="89">
                  <c:v>15.994746543097333</c:v>
                </c:pt>
                <c:pt idx="90">
                  <c:v>16.082619814118477</c:v>
                </c:pt>
                <c:pt idx="91">
                  <c:v>16.17793873222724</c:v>
                </c:pt>
                <c:pt idx="92">
                  <c:v>16.280693009895792</c:v>
                </c:pt>
                <c:pt idx="93">
                  <c:v>16.390871742538</c:v>
                </c:pt>
                <c:pt idx="94">
                  <c:v>16.508463187655181</c:v>
                </c:pt>
                <c:pt idx="95">
                  <c:v>16.633454531389205</c:v>
                </c:pt>
                <c:pt idx="96">
                  <c:v>16.765831642309344</c:v>
                </c:pt>
                <c:pt idx="97">
                  <c:v>16.905578812290862</c:v>
                </c:pt>
                <c:pt idx="98">
                  <c:v>17.052678484380063</c:v>
                </c:pt>
                <c:pt idx="99">
                  <c:v>17.20711096758091</c:v>
                </c:pt>
                <c:pt idx="100">
                  <c:v>17.368854138552887</c:v>
                </c:pt>
                <c:pt idx="101">
                  <c:v>17.537883130262891</c:v>
                </c:pt>
                <c:pt idx="102">
                  <c:v>17.714170007703746</c:v>
                </c:pt>
                <c:pt idx="103">
                  <c:v>17.897683430861743</c:v>
                </c:pt>
                <c:pt idx="104">
                  <c:v>18.088388305202116</c:v>
                </c:pt>
                <c:pt idx="105">
                  <c:v>18.286245420027903</c:v>
                </c:pt>
                <c:pt idx="106">
                  <c:v>18.49121107517351</c:v>
                </c:pt>
                <c:pt idx="107">
                  <c:v>18.703236696593375</c:v>
                </c:pt>
                <c:pt idx="108">
                  <c:v>18.922268441537547</c:v>
                </c:pt>
                <c:pt idx="109">
                  <c:v>19.148246794117838</c:v>
                </c:pt>
                <c:pt idx="110">
                  <c:v>19.381106152213942</c:v>
                </c:pt>
                <c:pt idx="111">
                  <c:v>19.62077440680455</c:v>
                </c:pt>
                <c:pt idx="112">
                  <c:v>19.86717251496129</c:v>
                </c:pt>
                <c:pt idx="113">
                  <c:v>20.120214067900331</c:v>
                </c:pt>
                <c:pt idx="114">
                  <c:v>20.379804855643563</c:v>
                </c:pt>
                <c:pt idx="115">
                  <c:v>20.645842430009797</c:v>
                </c:pt>
                <c:pt idx="116">
                  <c:v>20.918215667824267</c:v>
                </c:pt>
                <c:pt idx="117">
                  <c:v>21.196804336401524</c:v>
                </c:pt>
                <c:pt idx="118">
                  <c:v>21.48147866352317</c:v>
                </c:pt>
                <c:pt idx="119">
                  <c:v>21.772098914298684</c:v>
                </c:pt>
                <c:pt idx="120">
                  <c:v>22.068514977451088</c:v>
                </c:pt>
                <c:pt idx="121">
                  <c:v>22.370565963719873</c:v>
                </c:pt>
                <c:pt idx="122">
                  <c:v>22.678079819210073</c:v>
                </c:pt>
                <c:pt idx="123">
                  <c:v>22.990872956638665</c:v>
                </c:pt>
                <c:pt idx="124">
                  <c:v>23.308749907531787</c:v>
                </c:pt>
                <c:pt idx="125">
                  <c:v>23.631502998511454</c:v>
                </c:pt>
                <c:pt idx="126">
                  <c:v>23.958912054868346</c:v>
                </c:pt>
                <c:pt idx="127">
                  <c:v>24.290744134642992</c:v>
                </c:pt>
                <c:pt idx="128">
                  <c:v>24.626753296443269</c:v>
                </c:pt>
                <c:pt idx="129">
                  <c:v>24.966680404189169</c:v>
                </c:pt>
                <c:pt idx="130">
                  <c:v>25.310252971896777</c:v>
                </c:pt>
                <c:pt idx="131">
                  <c:v>25.657185051515871</c:v>
                </c:pt>
                <c:pt idx="132">
                  <c:v>26.007177166670676</c:v>
                </c:pt>
                <c:pt idx="133">
                  <c:v>26.359916294969747</c:v>
                </c:pt>
                <c:pt idx="134">
                  <c:v>26.715075901300931</c:v>
                </c:pt>
                <c:pt idx="135">
                  <c:v>27.072316024264971</c:v>
                </c:pt>
                <c:pt idx="136">
                  <c:v>27.431283417559801</c:v>
                </c:pt>
                <c:pt idx="137">
                  <c:v>27.791611747779587</c:v>
                </c:pt>
                <c:pt idx="138">
                  <c:v>28.152921849683686</c:v>
                </c:pt>
                <c:pt idx="139">
                  <c:v>28.514822039560531</c:v>
                </c:pt>
                <c:pt idx="140">
                  <c:v>28.876908486843032</c:v>
                </c:pt>
                <c:pt idx="141">
                  <c:v>29.238765643644108</c:v>
                </c:pt>
                <c:pt idx="142">
                  <c:v>29.599966731375282</c:v>
                </c:pt>
                <c:pt idx="143">
                  <c:v>29.960074283084023</c:v>
                </c:pt>
                <c:pt idx="144">
                  <c:v>30.318640739632361</c:v>
                </c:pt>
                <c:pt idx="145">
                  <c:v>30.675209097306826</c:v>
                </c:pt>
                <c:pt idx="146">
                  <c:v>31.029313603947333</c:v>
                </c:pt>
                <c:pt idx="147">
                  <c:v>31.380480500196118</c:v>
                </c:pt>
                <c:pt idx="148">
                  <c:v>31.728228802000924</c:v>
                </c:pt>
                <c:pt idx="149">
                  <c:v>32.072071120087372</c:v>
                </c:pt>
                <c:pt idx="150">
                  <c:v>32.411514511737295</c:v>
                </c:pt>
                <c:pt idx="151">
                  <c:v>32.746061359882852</c:v>
                </c:pt>
                <c:pt idx="152">
                  <c:v>33.075210274248121</c:v>
                </c:pt>
                <c:pt idx="153">
                  <c:v>33.398457009081284</c:v>
                </c:pt>
                <c:pt idx="154">
                  <c:v>33.71529539185925</c:v>
                </c:pt>
                <c:pt idx="155">
                  <c:v>34.025218257297091</c:v>
                </c:pt>
                <c:pt idx="156">
                  <c:v>34.327718380978233</c:v>
                </c:pt>
                <c:pt idx="157">
                  <c:v>34.622289407014541</c:v>
                </c:pt>
                <c:pt idx="158">
                  <c:v>34.908426764271425</c:v>
                </c:pt>
                <c:pt idx="159">
                  <c:v>35.185628565915636</c:v>
                </c:pt>
                <c:pt idx="160">
                  <c:v>35.453396487318315</c:v>
                </c:pt>
                <c:pt idx="161">
                  <c:v>35.711236617677628</c:v>
                </c:pt>
                <c:pt idx="162">
                  <c:v>35.958660281110767</c:v>
                </c:pt>
                <c:pt idx="163">
                  <c:v>36.195184823408276</c:v>
                </c:pt>
                <c:pt idx="164">
                  <c:v>36.420334361101929</c:v>
                </c:pt>
                <c:pt idx="165">
                  <c:v>36.63364049000814</c:v>
                </c:pt>
                <c:pt idx="166">
                  <c:v>36.834642950926309</c:v>
                </c:pt>
                <c:pt idx="167">
                  <c:v>37.022890250709466</c:v>
                </c:pt>
                <c:pt idx="168">
                  <c:v>37.197940237458255</c:v>
                </c:pt>
                <c:pt idx="169">
                  <c:v>37.359360629132084</c:v>
                </c:pt>
                <c:pt idx="170">
                  <c:v>37.506729495386118</c:v>
                </c:pt>
                <c:pt idx="171">
                  <c:v>37.6396356929503</c:v>
                </c:pt>
                <c:pt idx="172">
                  <c:v>37.757679255338502</c:v>
                </c:pt>
                <c:pt idx="173">
                  <c:v>37.860471738130364</c:v>
                </c:pt>
                <c:pt idx="174">
                  <c:v>37.947636521459756</c:v>
                </c:pt>
                <c:pt idx="175">
                  <c:v>38.018809071728157</c:v>
                </c:pt>
                <c:pt idx="176">
                  <c:v>38.073637164869687</c:v>
                </c:pt>
                <c:pt idx="177">
                  <c:v>38.111781073773024</c:v>
                </c:pt>
                <c:pt idx="178">
                  <c:v>38.132913722696387</c:v>
                </c:pt>
                <c:pt idx="179">
                  <c:v>38.136720811680725</c:v>
                </c:pt>
                <c:pt idx="180">
                  <c:v>38.122900914102253</c:v>
                </c:pt>
                <c:pt idx="181">
                  <c:v>38.091165550580072</c:v>
                </c:pt>
                <c:pt idx="182">
                  <c:v>38.041239242489176</c:v>
                </c:pt>
                <c:pt idx="183">
                  <c:v>37.972859548316464</c:v>
                </c:pt>
                <c:pt idx="184">
                  <c:v>37.885777086042495</c:v>
                </c:pt>
                <c:pt idx="185">
                  <c:v>37.779755544635172</c:v>
                </c:pt>
                <c:pt idx="186">
                  <c:v>37.65457168760814</c:v>
                </c:pt>
                <c:pt idx="187">
                  <c:v>37.510015351431726</c:v>
                </c:pt>
                <c:pt idx="188">
                  <c:v>37.345889441383065</c:v>
                </c:pt>
                <c:pt idx="189">
                  <c:v>37.162009927196443</c:v>
                </c:pt>
                <c:pt idx="190">
                  <c:v>36.958205840629773</c:v>
                </c:pt>
                <c:pt idx="191">
                  <c:v>36.734319276783168</c:v>
                </c:pt>
                <c:pt idx="192">
                  <c:v>36.490205400728662</c:v>
                </c:pt>
                <c:pt idx="193">
                  <c:v>36.225732460699533</c:v>
                </c:pt>
                <c:pt idx="194">
                  <c:v>35.940781808780017</c:v>
                </c:pt>
                <c:pt idx="195">
                  <c:v>35.635247929717892</c:v>
                </c:pt>
                <c:pt idx="196">
                  <c:v>35.309038478157149</c:v>
                </c:pt>
                <c:pt idx="197">
                  <c:v>34.962074324267462</c:v>
                </c:pt>
                <c:pt idx="198">
                  <c:v>34.594289607425999</c:v>
                </c:pt>
                <c:pt idx="199">
                  <c:v>34.205631797295744</c:v>
                </c:pt>
                <c:pt idx="200">
                  <c:v>33.796061761338287</c:v>
                </c:pt>
                <c:pt idx="201">
                  <c:v>33.365553837512373</c:v>
                </c:pt>
                <c:pt idx="202">
                  <c:v>32.914095910628994</c:v>
                </c:pt>
                <c:pt idx="203">
                  <c:v>32.441689490590356</c:v>
                </c:pt>
                <c:pt idx="204">
                  <c:v>31.948349790494362</c:v>
                </c:pt>
                <c:pt idx="205">
                  <c:v>31.434105802394381</c:v>
                </c:pt>
                <c:pt idx="206">
                  <c:v>30.899000368319449</c:v>
                </c:pt>
                <c:pt idx="207">
                  <c:v>30.343090244023784</c:v>
                </c:pt>
                <c:pt idx="208">
                  <c:v>29.76644615281749</c:v>
                </c:pt>
                <c:pt idx="209">
                  <c:v>29.169152826771352</c:v>
                </c:pt>
                <c:pt idx="210">
                  <c:v>28.551309032550837</c:v>
                </c:pt>
                <c:pt idx="211">
                  <c:v>27.913027579149645</c:v>
                </c:pt>
                <c:pt idx="212">
                  <c:v>27.254435304850311</c:v>
                </c:pt>
                <c:pt idx="213">
                  <c:v>26.57567304084019</c:v>
                </c:pt>
                <c:pt idx="214">
                  <c:v>25.876895549054836</c:v>
                </c:pt>
                <c:pt idx="215">
                  <c:v>25.158271432016857</c:v>
                </c:pt>
                <c:pt idx="216">
                  <c:v>24.419983012665394</c:v>
                </c:pt>
                <c:pt idx="217">
                  <c:v>23.662226182455715</c:v>
                </c:pt>
                <c:pt idx="218">
                  <c:v>22.88521021631507</c:v>
                </c:pt>
                <c:pt idx="219">
                  <c:v>22.089157553399449</c:v>
                </c:pt>
                <c:pt idx="220">
                  <c:v>21.274303542970031</c:v>
                </c:pt>
                <c:pt idx="221">
                  <c:v>20.440896155118271</c:v>
                </c:pt>
                <c:pt idx="222">
                  <c:v>19.589195656493061</c:v>
                </c:pt>
                <c:pt idx="223">
                  <c:v>18.719474251620412</c:v>
                </c:pt>
                <c:pt idx="224">
                  <c:v>17.832015690851193</c:v>
                </c:pt>
                <c:pt idx="225">
                  <c:v>16.92711484640574</c:v>
                </c:pt>
                <c:pt idx="226">
                  <c:v>16.00507725841581</c:v>
                </c:pt>
                <c:pt idx="227">
                  <c:v>15.06621865327303</c:v>
                </c:pt>
                <c:pt idx="228">
                  <c:v>14.110864436961936</c:v>
                </c:pt>
                <c:pt idx="229">
                  <c:v>13.139349166401237</c:v>
                </c:pt>
                <c:pt idx="230">
                  <c:v>12.152016002119607</c:v>
                </c:pt>
                <c:pt idx="231">
                  <c:v>11.149216145814519</c:v>
                </c:pt>
                <c:pt idx="232">
                  <c:v>10.131308266553946</c:v>
                </c:pt>
                <c:pt idx="233">
                  <c:v>9.0986579194737924</c:v>
                </c:pt>
                <c:pt idx="234">
                  <c:v>8.0516369608984348</c:v>
                </c:pt>
                <c:pt idx="235">
                  <c:v>6.9906229637842543</c:v>
                </c:pt>
                <c:pt idx="236">
                  <c:v>5.9159986372923363</c:v>
                </c:pt>
                <c:pt idx="237">
                  <c:v>4.8281512541497884</c:v>
                </c:pt>
                <c:pt idx="238">
                  <c:v>3.7274720892220667</c:v>
                </c:pt>
                <c:pt idx="239">
                  <c:v>2.6143558724273523</c:v>
                </c:pt>
                <c:pt idx="240">
                  <c:v>1.4892002587715567</c:v>
                </c:pt>
                <c:pt idx="241">
                  <c:v>0.35240531788453761</c:v>
                </c:pt>
                <c:pt idx="242">
                  <c:v>-0.79562695502013359</c:v>
                </c:pt>
                <c:pt idx="243">
                  <c:v>-1.9544931053111345</c:v>
                </c:pt>
                <c:pt idx="244">
                  <c:v>-3.1237886613031778</c:v>
                </c:pt>
                <c:pt idx="245">
                  <c:v>-4.3031085523918584</c:v>
                </c:pt>
                <c:pt idx="246">
                  <c:v>-5.492047503072901</c:v>
                </c:pt>
                <c:pt idx="247">
                  <c:v>-6.6902004034645861</c:v>
                </c:pt>
                <c:pt idx="248">
                  <c:v>-7.897162657443908</c:v>
                </c:pt>
                <c:pt idx="249">
                  <c:v>-9.1125305099689964</c:v>
                </c:pt>
                <c:pt idx="250">
                  <c:v>-10.335901355577258</c:v>
                </c:pt>
                <c:pt idx="251">
                  <c:v>-11.566874030412352</c:v>
                </c:pt>
                <c:pt idx="252">
                  <c:v>-12.805049090436379</c:v>
                </c:pt>
                <c:pt idx="253">
                  <c:v>-14.050029078724346</c:v>
                </c:pt>
                <c:pt idx="254">
                  <c:v>-15.301418784890689</c:v>
                </c:pt>
                <c:pt idx="255">
                  <c:v>-16.558825499795958</c:v>
                </c:pt>
                <c:pt idx="256">
                  <c:v>-17.821859268670579</c:v>
                </c:pt>
                <c:pt idx="257">
                  <c:v>-19.090133145736143</c:v>
                </c:pt>
                <c:pt idx="258">
                  <c:v>-20.363263453231315</c:v>
                </c:pt>
                <c:pt idx="259">
                  <c:v>-21.640870047535437</c:v>
                </c:pt>
                <c:pt idx="260">
                  <c:v>-22.922576594769939</c:v>
                </c:pt>
                <c:pt idx="261">
                  <c:v>-24.208010857900302</c:v>
                </c:pt>
                <c:pt idx="262">
                  <c:v>-25.49680499693239</c:v>
                </c:pt>
                <c:pt idx="263">
                  <c:v>-26.788595883333389</c:v>
                </c:pt>
                <c:pt idx="264">
                  <c:v>-28.083025429289183</c:v>
                </c:pt>
                <c:pt idx="265">
                  <c:v>-29.37974093188669</c:v>
                </c:pt>
                <c:pt idx="266">
                  <c:v>-30.678395431751152</c:v>
                </c:pt>
                <c:pt idx="267">
                  <c:v>-31.978648085114003</c:v>
                </c:pt>
                <c:pt idx="268">
                  <c:v>-33.280164547751625</c:v>
                </c:pt>
                <c:pt idx="269">
                  <c:v>-34.582617368691686</c:v>
                </c:pt>
                <c:pt idx="270">
                  <c:v>-35.88568639110315</c:v>
                </c:pt>
                <c:pt idx="271">
                  <c:v>-37.189059157324515</c:v>
                </c:pt>
                <c:pt idx="272">
                  <c:v>-38.492431314571846</c:v>
                </c:pt>
                <c:pt idx="273">
                  <c:v>-39.795507017537041</c:v>
                </c:pt>
                <c:pt idx="274">
                  <c:v>-41.097999323786134</c:v>
                </c:pt>
                <c:pt idx="275">
                  <c:v>-42.399630577653738</c:v>
                </c:pt>
                <c:pt idx="276">
                  <c:v>-43.70013277820599</c:v>
                </c:pt>
                <c:pt idx="277">
                  <c:v>-44.999247926740651</c:v>
                </c:pt>
                <c:pt idx="278">
                  <c:v>-46.296728349340924</c:v>
                </c:pt>
                <c:pt idx="279">
                  <c:v>-47.592336990040423</c:v>
                </c:pt>
                <c:pt idx="280">
                  <c:v>-48.885847670338329</c:v>
                </c:pt>
                <c:pt idx="281">
                  <c:v>-50.177045310994828</c:v>
                </c:pt>
                <c:pt idx="282">
                  <c:v>-51.465726112340441</c:v>
                </c:pt>
                <c:pt idx="283">
                  <c:v>-52.751697689643365</c:v>
                </c:pt>
                <c:pt idx="284">
                  <c:v>-54.034779160476781</c:v>
                </c:pt>
                <c:pt idx="285">
                  <c:v>-55.314801181448743</c:v>
                </c:pt>
                <c:pt idx="286">
                  <c:v>-56.591605932104954</c:v>
                </c:pt>
                <c:pt idx="287">
                  <c:v>-57.865047044313492</c:v>
                </c:pt>
                <c:pt idx="288">
                  <c:v>-59.134989475919774</c:v>
                </c:pt>
                <c:pt idx="289">
                  <c:v>-60.401309327987242</c:v>
                </c:pt>
                <c:pt idx="290">
                  <c:v>-61.663893605441721</c:v>
                </c:pt>
                <c:pt idx="291">
                  <c:v>-62.922639921442041</c:v>
                </c:pt>
                <c:pt idx="292">
                  <c:v>-64.177456146314114</c:v>
                </c:pt>
                <c:pt idx="293">
                  <c:v>-65.428260002340352</c:v>
                </c:pt>
                <c:pt idx="294">
                  <c:v>-66.6749786061891</c:v>
                </c:pt>
                <c:pt idx="295">
                  <c:v>-67.917547961182365</c:v>
                </c:pt>
                <c:pt idx="296">
                  <c:v>-69.155912402029145</c:v>
                </c:pt>
                <c:pt idx="297">
                  <c:v>-70.390023995021437</c:v>
                </c:pt>
                <c:pt idx="298">
                  <c:v>-71.619841897055309</c:v>
                </c:pt>
                <c:pt idx="299">
                  <c:v>-72.845331677144813</c:v>
                </c:pt>
                <c:pt idx="300">
                  <c:v>-74.06646460440335</c:v>
                </c:pt>
                <c:pt idx="301">
                  <c:v>-75.283216906701782</c:v>
                </c:pt>
                <c:pt idx="302">
                  <c:v>-76.495569004461743</c:v>
                </c:pt>
                <c:pt idx="303">
                  <c:v>-77.703504724214298</c:v>
                </c:pt>
                <c:pt idx="304">
                  <c:v>-78.907010496731772</c:v>
                </c:pt>
                <c:pt idx="305">
                  <c:v>-80.106074544668758</c:v>
                </c:pt>
                <c:pt idx="306">
                  <c:v>-81.300686064752199</c:v>
                </c:pt>
                <c:pt idx="307">
                  <c:v>-82.490834409637586</c:v>
                </c:pt>
                <c:pt idx="308">
                  <c:v>-83.676508274596671</c:v>
                </c:pt>
                <c:pt idx="309">
                  <c:v>-84.857694894219193</c:v>
                </c:pt>
                <c:pt idx="310">
                  <c:v>-86.034379254305307</c:v>
                </c:pt>
                <c:pt idx="311">
                  <c:v>-87.206543324086766</c:v>
                </c:pt>
                <c:pt idx="312">
                  <c:v>-88.374165313852814</c:v>
                </c:pt>
                <c:pt idx="313">
                  <c:v>-89.53721896295113</c:v>
                </c:pt>
                <c:pt idx="314">
                  <c:v>-90.695672863021741</c:v>
                </c:pt>
                <c:pt idx="315">
                  <c:v>-91.849489821149476</c:v>
                </c:pt>
                <c:pt idx="316">
                  <c:v>-92.998626267440258</c:v>
                </c:pt>
                <c:pt idx="317">
                  <c:v>-94.143031711290732</c:v>
                </c:pt>
                <c:pt idx="318">
                  <c:v>-95.282648250367046</c:v>
                </c:pt>
                <c:pt idx="319">
                  <c:v>-96.417410136005003</c:v>
                </c:pt>
                <c:pt idx="320">
                  <c:v>-97.547243398419525</c:v>
                </c:pt>
                <c:pt idx="321">
                  <c:v>-98.67206553472856</c:v>
                </c:pt>
                <c:pt idx="322">
                  <c:v>-99.791785262401504</c:v>
                </c:pt>
                <c:pt idx="323">
                  <c:v>-100.90630234029793</c:v>
                </c:pt>
                <c:pt idx="324">
                  <c:v>-102.01550745898966</c:v>
                </c:pt>
                <c:pt idx="325">
                  <c:v>-103.1192822015533</c:v>
                </c:pt>
                <c:pt idx="326">
                  <c:v>-104.21749907549304</c:v>
                </c:pt>
                <c:pt idx="327">
                  <c:v>-105.31002161590497</c:v>
                </c:pt>
                <c:pt idx="328">
                  <c:v>-106.39670455941194</c:v>
                </c:pt>
                <c:pt idx="329">
                  <c:v>-107.4773940878345</c:v>
                </c:pt>
                <c:pt idx="330">
                  <c:v>-108.55192813995245</c:v>
                </c:pt>
                <c:pt idx="331">
                  <c:v>-109.62013678915493</c:v>
                </c:pt>
                <c:pt idx="332">
                  <c:v>-110.68184268417284</c:v>
                </c:pt>
                <c:pt idx="333">
                  <c:v>-111.73686154955153</c:v>
                </c:pt>
                <c:pt idx="334">
                  <c:v>-112.78500274197427</c:v>
                </c:pt>
                <c:pt idx="335">
                  <c:v>-113.82606985804922</c:v>
                </c:pt>
                <c:pt idx="336">
                  <c:v>-114.85986138871723</c:v>
                </c:pt>
                <c:pt idx="337">
                  <c:v>-115.88617141502469</c:v>
                </c:pt>
                <c:pt idx="338">
                  <c:v>-116.90479033964394</c:v>
                </c:pt>
                <c:pt idx="339">
                  <c:v>-117.91550564823496</c:v>
                </c:pt>
                <c:pt idx="340">
                  <c:v>-118.91810269450806</c:v>
                </c:pt>
                <c:pt idx="341">
                  <c:v>-119.9123655026923</c:v>
                </c:pt>
                <c:pt idx="342">
                  <c:v>-120.89807758101784</c:v>
                </c:pt>
                <c:pt idx="343">
                  <c:v>-121.8750227398147</c:v>
                </c:pt>
                <c:pt idx="344">
                  <c:v>-122.84298590788812</c:v>
                </c:pt>
                <c:pt idx="345">
                  <c:v>-123.80175394096071</c:v>
                </c:pt>
                <c:pt idx="346">
                  <c:v>-124.75111641617926</c:v>
                </c:pt>
                <c:pt idx="347">
                  <c:v>-125.69086640693776</c:v>
                </c:pt>
                <c:pt idx="348">
                  <c:v>-126.62080123262724</c:v>
                </c:pt>
                <c:pt idx="349">
                  <c:v>-127.54072317826687</c:v>
                </c:pt>
                <c:pt idx="350">
                  <c:v>-128.45044017943468</c:v>
                </c:pt>
                <c:pt idx="351">
                  <c:v>-129.34976646837271</c:v>
                </c:pt>
                <c:pt idx="352">
                  <c:v>-130.2385231776488</c:v>
                </c:pt>
                <c:pt idx="353">
                  <c:v>-131.11653889827997</c:v>
                </c:pt>
                <c:pt idx="354">
                  <c:v>-131.983650189771</c:v>
                </c:pt>
                <c:pt idx="355">
                  <c:v>-132.83970204006675</c:v>
                </c:pt>
                <c:pt idx="356">
                  <c:v>-133.68454827396212</c:v>
                </c:pt>
                <c:pt idx="357">
                  <c:v>-134.51805190905245</c:v>
                </c:pt>
                <c:pt idx="358">
                  <c:v>-135.34008545883148</c:v>
                </c:pt>
                <c:pt idx="359">
                  <c:v>-136.15053118303507</c:v>
                </c:pt>
                <c:pt idx="360">
                  <c:v>-136.94928128580517</c:v>
                </c:pt>
                <c:pt idx="361">
                  <c:v>-137.73623806268029</c:v>
                </c:pt>
                <c:pt idx="362">
                  <c:v>-138.51131399781877</c:v>
                </c:pt>
                <c:pt idx="363">
                  <c:v>-139.27443181322354</c:v>
                </c:pt>
                <c:pt idx="364">
                  <c:v>-140.0255244720469</c:v>
                </c:pt>
                <c:pt idx="365">
                  <c:v>-140.76453513833107</c:v>
                </c:pt>
                <c:pt idx="366">
                  <c:v>-141.49141709577484</c:v>
                </c:pt>
                <c:pt idx="367">
                  <c:v>-142.20613362828891</c:v>
                </c:pt>
                <c:pt idx="368">
                  <c:v>-142.9086578652643</c:v>
                </c:pt>
                <c:pt idx="369">
                  <c:v>-143.59897259456733</c:v>
                </c:pt>
                <c:pt idx="370">
                  <c:v>-144.27707004634502</c:v>
                </c:pt>
                <c:pt idx="371">
                  <c:v>-144.94295165075928</c:v>
                </c:pt>
                <c:pt idx="372">
                  <c:v>-145.59662777275443</c:v>
                </c:pt>
                <c:pt idx="373">
                  <c:v>-146.23811742693641</c:v>
                </c:pt>
                <c:pt idx="374">
                  <c:v>-146.8674479755814</c:v>
                </c:pt>
                <c:pt idx="375">
                  <c:v>-147.48465481270563</c:v>
                </c:pt>
                <c:pt idx="376">
                  <c:v>-148.08978103702805</c:v>
                </c:pt>
                <c:pt idx="377">
                  <c:v>-148.68287711653599</c:v>
                </c:pt>
                <c:pt idx="378">
                  <c:v>-149.26400054723166</c:v>
                </c:pt>
                <c:pt idx="379">
                  <c:v>-149.83321550849448</c:v>
                </c:pt>
                <c:pt idx="380">
                  <c:v>-150.39059251734139</c:v>
                </c:pt>
                <c:pt idx="381">
                  <c:v>-150.93620808370923</c:v>
                </c:pt>
                <c:pt idx="382">
                  <c:v>-151.47014436873201</c:v>
                </c:pt>
                <c:pt idx="383">
                  <c:v>-151.99248884781193</c:v>
                </c:pt>
                <c:pt idx="384">
                  <c:v>-152.50333398013902</c:v>
                </c:pt>
                <c:pt idx="385">
                  <c:v>-153.00277688614435</c:v>
                </c:pt>
                <c:pt idx="386">
                  <c:v>-153.49091903423079</c:v>
                </c:pt>
                <c:pt idx="387">
                  <c:v>-153.96786593796753</c:v>
                </c:pt>
                <c:pt idx="388">
                  <c:v>-154.43372686480384</c:v>
                </c:pt>
                <c:pt idx="389">
                  <c:v>-154.88861455721073</c:v>
                </c:pt>
                <c:pt idx="390">
                  <c:v>-155.33264496704146</c:v>
                </c:pt>
                <c:pt idx="391">
                  <c:v>-155.76593700377612</c:v>
                </c:pt>
                <c:pt idx="392">
                  <c:v>-156.18861229720429</c:v>
                </c:pt>
                <c:pt idx="393">
                  <c:v>-156.60079497499109</c:v>
                </c:pt>
                <c:pt idx="394">
                  <c:v>-157.00261145547984</c:v>
                </c:pt>
                <c:pt idx="395">
                  <c:v>-157.39419025598511</c:v>
                </c:pt>
                <c:pt idx="396">
                  <c:v>-157.77566181675434</c:v>
                </c:pt>
                <c:pt idx="397">
                  <c:v>-158.1471583406894</c:v>
                </c:pt>
                <c:pt idx="398">
                  <c:v>-158.50881364885231</c:v>
                </c:pt>
                <c:pt idx="399">
                  <c:v>-158.86076305171224</c:v>
                </c:pt>
                <c:pt idx="400">
                  <c:v>-159.20314323602383</c:v>
                </c:pt>
                <c:pt idx="401">
                  <c:v>-159.53609216717334</c:v>
                </c:pt>
                <c:pt idx="402">
                  <c:v>-159.85974900677022</c:v>
                </c:pt>
                <c:pt idx="403">
                  <c:v>-160.17425404521299</c:v>
                </c:pt>
                <c:pt idx="404">
                  <c:v>-160.47974864890233</c:v>
                </c:pt>
                <c:pt idx="405">
                  <c:v>-160.77637522173202</c:v>
                </c:pt>
                <c:pt idx="406">
                  <c:v>-161.06427718043471</c:v>
                </c:pt>
                <c:pt idx="407">
                  <c:v>-161.34359894331476</c:v>
                </c:pt>
                <c:pt idx="408">
                  <c:v>-161.61448593185034</c:v>
                </c:pt>
                <c:pt idx="409">
                  <c:v>-161.87708458459963</c:v>
                </c:pt>
                <c:pt idx="410">
                  <c:v>-162.13154238279117</c:v>
                </c:pt>
                <c:pt idx="411">
                  <c:v>-162.37800788693013</c:v>
                </c:pt>
                <c:pt idx="412">
                  <c:v>-162.61663078369725</c:v>
                </c:pt>
                <c:pt idx="413">
                  <c:v>-162.84756194235368</c:v>
                </c:pt>
                <c:pt idx="414">
                  <c:v>-163.07095347981075</c:v>
                </c:pt>
                <c:pt idx="415">
                  <c:v>-163.28695883345964</c:v>
                </c:pt>
                <c:pt idx="416">
                  <c:v>-163.49573284078261</c:v>
                </c:pt>
                <c:pt idx="417">
                  <c:v>-163.69743182470833</c:v>
                </c:pt>
                <c:pt idx="418">
                  <c:v>-163.89221368359352</c:v>
                </c:pt>
                <c:pt idx="419">
                  <c:v>-164.08023798463728</c:v>
                </c:pt>
                <c:pt idx="420">
                  <c:v>-164.26166605946585</c:v>
                </c:pt>
                <c:pt idx="421">
                  <c:v>-164.43666110053786</c:v>
                </c:pt>
                <c:pt idx="422">
                  <c:v>-164.6053882569457</c:v>
                </c:pt>
                <c:pt idx="423">
                  <c:v>-164.76801472810871</c:v>
                </c:pt>
                <c:pt idx="424">
                  <c:v>-164.92470985377597</c:v>
                </c:pt>
                <c:pt idx="425">
                  <c:v>-165.07564519868268</c:v>
                </c:pt>
                <c:pt idx="426">
                  <c:v>-165.22099463013248</c:v>
                </c:pt>
                <c:pt idx="427">
                  <c:v>-165.36093438671372</c:v>
                </c:pt>
                <c:pt idx="428">
                  <c:v>-165.49564313630307</c:v>
                </c:pt>
                <c:pt idx="429">
                  <c:v>-165.62530202145899</c:v>
                </c:pt>
                <c:pt idx="430">
                  <c:v>-165.750094690277</c:v>
                </c:pt>
                <c:pt idx="431">
                  <c:v>-165.87020731075751</c:v>
                </c:pt>
                <c:pt idx="432">
                  <c:v>-165.98582856672797</c:v>
                </c:pt>
                <c:pt idx="433">
                  <c:v>-166.09714963338931</c:v>
                </c:pt>
                <c:pt idx="434">
                  <c:v>-166.20436413057604</c:v>
                </c:pt>
                <c:pt idx="435">
                  <c:v>-166.30766805190143</c:v>
                </c:pt>
                <c:pt idx="436">
                  <c:v>-166.40725966802881</c:v>
                </c:pt>
                <c:pt idx="437">
                  <c:v>-166.50333940243559</c:v>
                </c:pt>
                <c:pt idx="438">
                  <c:v>-166.59610967818674</c:v>
                </c:pt>
                <c:pt idx="439">
                  <c:v>-166.68577473440058</c:v>
                </c:pt>
                <c:pt idx="440">
                  <c:v>-166.77254041131363</c:v>
                </c:pt>
                <c:pt idx="441">
                  <c:v>-166.85661390308985</c:v>
                </c:pt>
                <c:pt idx="442">
                  <c:v>-166.93820347779706</c:v>
                </c:pt>
                <c:pt idx="443">
                  <c:v>-167.01751816428759</c:v>
                </c:pt>
                <c:pt idx="444">
                  <c:v>-167.09476740605857</c:v>
                </c:pt>
                <c:pt idx="445">
                  <c:v>-167.17016068253989</c:v>
                </c:pt>
                <c:pt idx="446">
                  <c:v>-167.24390709865335</c:v>
                </c:pt>
                <c:pt idx="447">
                  <c:v>-167.31621494390416</c:v>
                </c:pt>
                <c:pt idx="448">
                  <c:v>-167.38729122269845</c:v>
                </c:pt>
                <c:pt idx="449">
                  <c:v>-167.45734115803162</c:v>
                </c:pt>
                <c:pt idx="450">
                  <c:v>-167.52656767112813</c:v>
                </c:pt>
                <c:pt idx="451">
                  <c:v>-167.59517084007879</c:v>
                </c:pt>
                <c:pt idx="452">
                  <c:v>-167.66334734093604</c:v>
                </c:pt>
                <c:pt idx="453">
                  <c:v>-167.73128987515415</c:v>
                </c:pt>
                <c:pt idx="454">
                  <c:v>-167.79918658764677</c:v>
                </c:pt>
                <c:pt idx="455">
                  <c:v>-167.8672204800763</c:v>
                </c:pt>
                <c:pt idx="456">
                  <c:v>-167.93556882430065</c:v>
                </c:pt>
                <c:pt idx="457">
                  <c:v>-168.00440258114287</c:v>
                </c:pt>
                <c:pt idx="458">
                  <c:v>-168.07388582984211</c:v>
                </c:pt>
                <c:pt idx="459">
                  <c:v>-168.14417521365397</c:v>
                </c:pt>
                <c:pt idx="460">
                  <c:v>-168.21541940711217</c:v>
                </c:pt>
                <c:pt idx="461">
                  <c:v>-168.28775861042928</c:v>
                </c:pt>
                <c:pt idx="462">
                  <c:v>-168.36132407638272</c:v>
                </c:pt>
                <c:pt idx="463">
                  <c:v>-168.43623767483979</c:v>
                </c:pt>
                <c:pt idx="464">
                  <c:v>-168.51261149977546</c:v>
                </c:pt>
                <c:pt idx="465">
                  <c:v>-168.59054752327791</c:v>
                </c:pt>
                <c:pt idx="466">
                  <c:v>-168.67013730058321</c:v>
                </c:pt>
                <c:pt idx="467">
                  <c:v>-168.75146172967004</c:v>
                </c:pt>
                <c:pt idx="468">
                  <c:v>-168.83459086835916</c:v>
                </c:pt>
                <c:pt idx="469">
                  <c:v>-168.91958381124735</c:v>
                </c:pt>
                <c:pt idx="470">
                  <c:v>-169.00648862810465</c:v>
                </c:pt>
                <c:pt idx="471">
                  <c:v>-169.09534236469372</c:v>
                </c:pt>
                <c:pt idx="472">
                  <c:v>-169.18617110621585</c:v>
                </c:pt>
                <c:pt idx="473">
                  <c:v>-169.27899010288817</c:v>
                </c:pt>
                <c:pt idx="474">
                  <c:v>-169.37380395642865</c:v>
                </c:pt>
                <c:pt idx="475">
                  <c:v>-169.47060686553016</c:v>
                </c:pt>
                <c:pt idx="476">
                  <c:v>-169.56938292774944</c:v>
                </c:pt>
                <c:pt idx="477">
                  <c:v>-169.67010649463069</c:v>
                </c:pt>
                <c:pt idx="478">
                  <c:v>-169.77274257630225</c:v>
                </c:pt>
                <c:pt idx="479">
                  <c:v>-169.87724729133211</c:v>
                </c:pt>
                <c:pt idx="480">
                  <c:v>-169.9835683571682</c:v>
                </c:pt>
                <c:pt idx="481">
                  <c:v>-170.09164561618289</c:v>
                </c:pt>
                <c:pt idx="482">
                  <c:v>-170.20141159206739</c:v>
                </c:pt>
                <c:pt idx="483">
                  <c:v>-170.31279207114</c:v>
                </c:pt>
                <c:pt idx="484">
                  <c:v>-170.42570670306611</c:v>
                </c:pt>
                <c:pt idx="485">
                  <c:v>-170.54006961544869</c:v>
                </c:pt>
                <c:pt idx="486">
                  <c:v>-170.6557900368382</c:v>
                </c:pt>
                <c:pt idx="487">
                  <c:v>-170.77277292283947</c:v>
                </c:pt>
                <c:pt idx="488">
                  <c:v>-170.89091958020617</c:v>
                </c:pt>
                <c:pt idx="489">
                  <c:v>-171.01012828408406</c:v>
                </c:pt>
                <c:pt idx="490">
                  <c:v>-171.13029488386735</c:v>
                </c:pt>
                <c:pt idx="491">
                  <c:v>-171.2513133935137</c:v>
                </c:pt>
                <c:pt idx="492">
                  <c:v>-171.37307656254322</c:v>
                </c:pt>
                <c:pt idx="493">
                  <c:v>-171.49547642437329</c:v>
                </c:pt>
                <c:pt idx="494">
                  <c:v>-171.61840481907328</c:v>
                </c:pt>
                <c:pt idx="495">
                  <c:v>-171.74175388807058</c:v>
                </c:pt>
                <c:pt idx="496">
                  <c:v>-171.86541653878012</c:v>
                </c:pt>
                <c:pt idx="497">
                  <c:v>-171.98928687757174</c:v>
                </c:pt>
                <c:pt idx="498">
                  <c:v>-172.1132606099047</c:v>
                </c:pt>
                <c:pt idx="499">
                  <c:v>-172.23723540687226</c:v>
                </c:pt>
                <c:pt idx="500">
                  <c:v>-172.36111123777619</c:v>
                </c:pt>
                <c:pt idx="501">
                  <c:v>-172.48479066870667</c:v>
                </c:pt>
                <c:pt idx="502">
                  <c:v>-172.60817912742374</c:v>
                </c:pt>
                <c:pt idx="503">
                  <c:v>-172.73118513513549</c:v>
                </c:pt>
                <c:pt idx="504">
                  <c:v>-172.8537205060199</c:v>
                </c:pt>
                <c:pt idx="505">
                  <c:v>-172.97570051556431</c:v>
                </c:pt>
                <c:pt idx="506">
                  <c:v>-173.0970440389903</c:v>
                </c:pt>
                <c:pt idx="507">
                  <c:v>-173.21767366118752</c:v>
                </c:pt>
                <c:pt idx="508">
                  <c:v>-173.33751575970658</c:v>
                </c:pt>
                <c:pt idx="509">
                  <c:v>-173.45650056246001</c:v>
                </c:pt>
                <c:pt idx="510">
                  <c:v>-173.57456218184558</c:v>
                </c:pt>
                <c:pt idx="511">
                  <c:v>-173.69163862705489</c:v>
                </c:pt>
                <c:pt idx="512">
                  <c:v>-173.80767179634049</c:v>
                </c:pt>
                <c:pt idx="513">
                  <c:v>-173.92260745102232</c:v>
                </c:pt>
                <c:pt idx="514">
                  <c:v>-174.03639517298825</c:v>
                </c:pt>
                <c:pt idx="515">
                  <c:v>-174.14898830740449</c:v>
                </c:pt>
                <c:pt idx="516">
                  <c:v>-174.26034389231236</c:v>
                </c:pt>
                <c:pt idx="517">
                  <c:v>-174.37042257670871</c:v>
                </c:pt>
                <c:pt idx="518">
                  <c:v>-174.47918852865476</c:v>
                </c:pt>
                <c:pt idx="519">
                  <c:v>-174.58660933486217</c:v>
                </c:pt>
                <c:pt idx="520">
                  <c:v>-174.69265589313827</c:v>
                </c:pt>
                <c:pt idx="521">
                  <c:v>-174.79730229896586</c:v>
                </c:pt>
                <c:pt idx="522">
                  <c:v>-174.90052572742343</c:v>
                </c:pt>
                <c:pt idx="523">
                  <c:v>-175.00230631154255</c:v>
                </c:pt>
                <c:pt idx="524">
                  <c:v>-175.1026270181213</c:v>
                </c:pt>
                <c:pt idx="525">
                  <c:v>-175.20147352191862</c:v>
                </c:pt>
                <c:pt idx="526">
                  <c:v>-175.29883407906519</c:v>
                </c:pt>
                <c:pt idx="527">
                  <c:v>-175.39469940044822</c:v>
                </c:pt>
                <c:pt idx="528">
                  <c:v>-175.48906252574031</c:v>
                </c:pt>
                <c:pt idx="529">
                  <c:v>-175.58191869867142</c:v>
                </c:pt>
                <c:pt idx="530">
                  <c:v>-175.6732652440644</c:v>
                </c:pt>
                <c:pt idx="531">
                  <c:v>-175.76310144708998</c:v>
                </c:pt>
                <c:pt idx="532">
                  <c:v>-175.85142843513285</c:v>
                </c:pt>
                <c:pt idx="533">
                  <c:v>-175.93824906259854</c:v>
                </c:pt>
                <c:pt idx="534">
                  <c:v>-176.02356779893702</c:v>
                </c:pt>
                <c:pt idx="535">
                  <c:v>-176.10739062011137</c:v>
                </c:pt>
                <c:pt idx="536">
                  <c:v>-176.18972490368733</c:v>
                </c:pt>
                <c:pt idx="537">
                  <c:v>-176.27057932768463</c:v>
                </c:pt>
                <c:pt idx="538">
                  <c:v>-176.34996377328952</c:v>
                </c:pt>
                <c:pt idx="539">
                  <c:v>-176.42788923149268</c:v>
                </c:pt>
                <c:pt idx="540">
                  <c:v>-176.50436771369095</c:v>
                </c:pt>
                <c:pt idx="541">
                  <c:v>-176.57941216626085</c:v>
                </c:pt>
              </c:numCache>
            </c:numRef>
          </c:yVal>
          <c:smooth val="1"/>
          <c:extLst>
            <c:ext xmlns:c16="http://schemas.microsoft.com/office/drawing/2014/chart" uri="{C3380CC4-5D6E-409C-BE32-E72D297353CC}">
              <c16:uniqueId val="{00000001-83C7-483B-9FAA-73F41D4B5EAC}"/>
            </c:ext>
          </c:extLst>
        </c:ser>
        <c:dLbls>
          <c:showLegendKey val="0"/>
          <c:showVal val="0"/>
          <c:showCatName val="0"/>
          <c:showSerName val="0"/>
          <c:showPercent val="0"/>
          <c:showBubbleSize val="0"/>
        </c:dLbls>
        <c:axId val="384296832"/>
        <c:axId val="384295296"/>
      </c:scatterChart>
      <c:valAx>
        <c:axId val="377549184"/>
        <c:scaling>
          <c:logBase val="10"/>
          <c:orientation val="minMax"/>
          <c:max val="2200000"/>
          <c:min val="10"/>
        </c:scaling>
        <c:delete val="0"/>
        <c:axPos val="b"/>
        <c:minorGridlines/>
        <c:title>
          <c:tx>
            <c:rich>
              <a:bodyPr/>
              <a:lstStyle/>
              <a:p>
                <a:pPr>
                  <a:defRPr/>
                </a:pPr>
                <a:r>
                  <a:rPr lang="en-US"/>
                  <a:t>Frequency</a:t>
                </a:r>
                <a:r>
                  <a:rPr lang="en-US" baseline="0"/>
                  <a:t> (Hz)</a:t>
                </a:r>
                <a:endParaRPr lang="en-US"/>
              </a:p>
            </c:rich>
          </c:tx>
          <c:overlay val="0"/>
        </c:title>
        <c:numFmt formatCode="0" sourceLinked="0"/>
        <c:majorTickMark val="out"/>
        <c:minorTickMark val="none"/>
        <c:tickLblPos val="low"/>
        <c:crossAx val="377551104"/>
        <c:crosses val="autoZero"/>
        <c:crossBetween val="midCat"/>
      </c:valAx>
      <c:valAx>
        <c:axId val="377551104"/>
        <c:scaling>
          <c:orientation val="minMax"/>
          <c:max val="40"/>
          <c:min val="-40"/>
        </c:scaling>
        <c:delete val="0"/>
        <c:axPos val="l"/>
        <c:majorGridlines/>
        <c:minorGridlines/>
        <c:title>
          <c:tx>
            <c:rich>
              <a:bodyPr rot="-5400000" vert="horz"/>
              <a:lstStyle/>
              <a:p>
                <a:pPr>
                  <a:defRPr/>
                </a:pPr>
                <a:r>
                  <a:rPr lang="en-US">
                    <a:solidFill>
                      <a:srgbClr val="FF0000"/>
                    </a:solidFill>
                  </a:rPr>
                  <a:t>Gain</a:t>
                </a:r>
                <a:r>
                  <a:rPr lang="en-US" baseline="0">
                    <a:solidFill>
                      <a:srgbClr val="FF0000"/>
                    </a:solidFill>
                  </a:rPr>
                  <a:t> (dB)</a:t>
                </a:r>
                <a:endParaRPr lang="en-US">
                  <a:solidFill>
                    <a:srgbClr val="FF0000"/>
                  </a:solidFill>
                </a:endParaRPr>
              </a:p>
            </c:rich>
          </c:tx>
          <c:overlay val="0"/>
        </c:title>
        <c:numFmt formatCode="General" sourceLinked="0"/>
        <c:majorTickMark val="out"/>
        <c:minorTickMark val="none"/>
        <c:tickLblPos val="nextTo"/>
        <c:txPr>
          <a:bodyPr/>
          <a:lstStyle/>
          <a:p>
            <a:pPr>
              <a:defRPr>
                <a:solidFill>
                  <a:srgbClr val="FF0000"/>
                </a:solidFill>
              </a:defRPr>
            </a:pPr>
            <a:endParaRPr lang="en-US"/>
          </a:p>
        </c:txPr>
        <c:crossAx val="377549184"/>
        <c:crosses val="autoZero"/>
        <c:crossBetween val="midCat"/>
        <c:majorUnit val="20"/>
        <c:minorUnit val="10"/>
      </c:valAx>
      <c:valAx>
        <c:axId val="384295296"/>
        <c:scaling>
          <c:orientation val="minMax"/>
          <c:max val="180"/>
          <c:min val="-180"/>
        </c:scaling>
        <c:delete val="0"/>
        <c:axPos val="r"/>
        <c:numFmt formatCode="General" sourceLinked="1"/>
        <c:majorTickMark val="out"/>
        <c:minorTickMark val="none"/>
        <c:tickLblPos val="nextTo"/>
        <c:txPr>
          <a:bodyPr/>
          <a:lstStyle/>
          <a:p>
            <a:pPr>
              <a:defRPr>
                <a:solidFill>
                  <a:schemeClr val="tx1">
                    <a:lumMod val="95000"/>
                    <a:lumOff val="5000"/>
                  </a:schemeClr>
                </a:solidFill>
              </a:defRPr>
            </a:pPr>
            <a:endParaRPr lang="en-US"/>
          </a:p>
        </c:txPr>
        <c:crossAx val="384296832"/>
        <c:crosses val="max"/>
        <c:crossBetween val="midCat"/>
        <c:majorUnit val="90"/>
        <c:minorUnit val="45"/>
      </c:valAx>
      <c:valAx>
        <c:axId val="384296832"/>
        <c:scaling>
          <c:logBase val="10"/>
          <c:orientation val="minMax"/>
        </c:scaling>
        <c:delete val="1"/>
        <c:axPos val="b"/>
        <c:numFmt formatCode="0.00" sourceLinked="1"/>
        <c:majorTickMark val="out"/>
        <c:minorTickMark val="none"/>
        <c:tickLblPos val="nextTo"/>
        <c:crossAx val="384295296"/>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Eff_vs_IOUT!$BZ$7:$BZ$157</c:f>
              <c:numCache>
                <c:formatCode>General</c:formatCode>
                <c:ptCount val="151"/>
                <c:pt idx="0">
                  <c:v>0</c:v>
                </c:pt>
                <c:pt idx="1">
                  <c:v>49.0362395285524</c:v>
                </c:pt>
                <c:pt idx="2">
                  <c:v>64.489521815492409</c:v>
                </c:pt>
                <c:pt idx="3">
                  <c:v>72.104963594677272</c:v>
                </c:pt>
                <c:pt idx="4">
                  <c:v>76.647487522770092</c:v>
                </c:pt>
                <c:pt idx="5">
                  <c:v>79.6673266190042</c:v>
                </c:pt>
                <c:pt idx="6">
                  <c:v>81.821107789819351</c:v>
                </c:pt>
                <c:pt idx="7">
                  <c:v>83.434983834181494</c:v>
                </c:pt>
                <c:pt idx="8">
                  <c:v>84.689428387103575</c:v>
                </c:pt>
                <c:pt idx="9">
                  <c:v>85.692454586184965</c:v>
                </c:pt>
                <c:pt idx="10">
                  <c:v>86.512688887391391</c:v>
                </c:pt>
                <c:pt idx="11">
                  <c:v>87.195836779376364</c:v>
                </c:pt>
                <c:pt idx="12">
                  <c:v>87.773521751397809</c:v>
                </c:pt>
                <c:pt idx="13">
                  <c:v>88.268324887613133</c:v>
                </c:pt>
                <c:pt idx="14">
                  <c:v>88.696803683357871</c:v>
                </c:pt>
                <c:pt idx="15">
                  <c:v>89.071376535380779</c:v>
                </c:pt>
                <c:pt idx="16">
                  <c:v>89.401541042035547</c:v>
                </c:pt>
                <c:pt idx="17">
                  <c:v>89.694685684656974</c:v>
                </c:pt>
                <c:pt idx="18">
                  <c:v>89.956644938146013</c:v>
                </c:pt>
                <c:pt idx="19">
                  <c:v>90.19208773026088</c:v>
                </c:pt>
                <c:pt idx="20">
                  <c:v>90.404794860364348</c:v>
                </c:pt>
                <c:pt idx="21">
                  <c:v>90.597860739204208</c:v>
                </c:pt>
                <c:pt idx="22">
                  <c:v>90.773842497695227</c:v>
                </c:pt>
                <c:pt idx="23">
                  <c:v>90.934871822757017</c:v>
                </c:pt>
                <c:pt idx="24">
                  <c:v>91.082739959885757</c:v>
                </c:pt>
                <c:pt idx="25">
                  <c:v>91.218963107949492</c:v>
                </c:pt>
                <c:pt idx="26">
                  <c:v>91.344833289802978</c:v>
                </c:pt>
                <c:pt idx="27">
                  <c:v>91.461458329368014</c:v>
                </c:pt>
                <c:pt idx="28">
                  <c:v>91.569793564054208</c:v>
                </c:pt>
                <c:pt idx="29">
                  <c:v>91.670667220289175</c:v>
                </c:pt>
                <c:pt idx="30">
                  <c:v>91.764800882441264</c:v>
                </c:pt>
                <c:pt idx="31">
                  <c:v>91.852826127883219</c:v>
                </c:pt>
                <c:pt idx="32">
                  <c:v>91.935298140936339</c:v>
                </c:pt>
                <c:pt idx="33">
                  <c:v>92.012706927254285</c:v>
                </c:pt>
                <c:pt idx="34">
                  <c:v>92.085486608187267</c:v>
                </c:pt>
                <c:pt idx="35">
                  <c:v>92.154023168148029</c:v>
                </c:pt>
                <c:pt idx="36">
                  <c:v>92.218660947389068</c:v>
                </c:pt>
                <c:pt idx="37">
                  <c:v>92.279708111075578</c:v>
                </c:pt>
                <c:pt idx="38">
                  <c:v>92.337441278207237</c:v>
                </c:pt>
                <c:pt idx="39">
                  <c:v>92.392109457257348</c:v>
                </c:pt>
                <c:pt idx="40">
                  <c:v>92.443937406761094</c:v>
                </c:pt>
                <c:pt idx="41">
                  <c:v>92.493128516582729</c:v>
                </c:pt>
                <c:pt idx="42">
                  <c:v>92.539867287796199</c:v>
                </c:pt>
                <c:pt idx="43">
                  <c:v>92.584321474956027</c:v>
                </c:pt>
                <c:pt idx="44">
                  <c:v>92.626643943208393</c:v>
                </c:pt>
                <c:pt idx="45">
                  <c:v>92.666974283578853</c:v>
                </c:pt>
                <c:pt idx="46">
                  <c:v>92.70544022240415</c:v>
                </c:pt>
                <c:pt idx="47">
                  <c:v>92.742158854887819</c:v>
                </c:pt>
                <c:pt idx="48">
                  <c:v>92.777237727869149</c:v>
                </c:pt>
                <c:pt idx="49">
                  <c:v>92.810775792885906</c:v>
                </c:pt>
                <c:pt idx="50">
                  <c:v>92.842864247307261</c:v>
                </c:pt>
                <c:pt idx="51">
                  <c:v>92.873587278583017</c:v>
                </c:pt>
                <c:pt idx="52">
                  <c:v>92.903022724385536</c:v>
                </c:pt>
                <c:pt idx="53">
                  <c:v>92.928260453654033</c:v>
                </c:pt>
                <c:pt idx="54">
                  <c:v>92.951531317437414</c:v>
                </c:pt>
                <c:pt idx="55">
                  <c:v>92.973665796253542</c:v>
                </c:pt>
                <c:pt idx="56">
                  <c:v>92.994723787324745</c:v>
                </c:pt>
                <c:pt idx="57">
                  <c:v>93.014761056600449</c:v>
                </c:pt>
                <c:pt idx="58">
                  <c:v>93.033829588898513</c:v>
                </c:pt>
                <c:pt idx="59">
                  <c:v>93.05197790302897</c:v>
                </c:pt>
                <c:pt idx="60">
                  <c:v>93.069251335919375</c:v>
                </c:pt>
                <c:pt idx="61">
                  <c:v>93.085692299241515</c:v>
                </c:pt>
                <c:pt idx="62">
                  <c:v>93.101340511595296</c:v>
                </c:pt>
                <c:pt idx="63">
                  <c:v>93.116233208923461</c:v>
                </c:pt>
                <c:pt idx="64">
                  <c:v>93.130405335501877</c:v>
                </c:pt>
                <c:pt idx="65">
                  <c:v>93.143889717565401</c:v>
                </c:pt>
                <c:pt idx="66">
                  <c:v>93.156717221383929</c:v>
                </c:pt>
                <c:pt idx="67">
                  <c:v>93.168916897389494</c:v>
                </c:pt>
                <c:pt idx="68">
                  <c:v>93.180516111769293</c:v>
                </c:pt>
                <c:pt idx="69">
                  <c:v>93.19154066677882</c:v>
                </c:pt>
                <c:pt idx="70">
                  <c:v>93.202014910886405</c:v>
                </c:pt>
                <c:pt idx="71">
                  <c:v>93.211961839738677</c:v>
                </c:pt>
                <c:pt idx="72">
                  <c:v>93.221403188826756</c:v>
                </c:pt>
                <c:pt idx="73">
                  <c:v>93.230359518638338</c:v>
                </c:pt>
                <c:pt idx="74">
                  <c:v>93.238850292997171</c:v>
                </c:pt>
                <c:pt idx="75">
                  <c:v>93.246893951217274</c:v>
                </c:pt>
                <c:pt idx="76">
                  <c:v>93.254507974634592</c:v>
                </c:pt>
                <c:pt idx="77">
                  <c:v>93.261708948020086</c:v>
                </c:pt>
                <c:pt idx="78">
                  <c:v>93.268512616328536</c:v>
                </c:pt>
                <c:pt idx="79">
                  <c:v>93.274933937190724</c:v>
                </c:pt>
                <c:pt idx="80">
                  <c:v>93.28098712951703</c:v>
                </c:pt>
                <c:pt idx="81">
                  <c:v>93.286685718544533</c:v>
                </c:pt>
                <c:pt idx="82">
                  <c:v>93.292042577627299</c:v>
                </c:pt>
                <c:pt idx="83">
                  <c:v>93.297069967041679</c:v>
                </c:pt>
                <c:pt idx="84">
                  <c:v>93.301779570051963</c:v>
                </c:pt>
                <c:pt idx="85">
                  <c:v>93.306182526459949</c:v>
                </c:pt>
                <c:pt idx="86">
                  <c:v>93.310289463840277</c:v>
                </c:pt>
                <c:pt idx="87">
                  <c:v>93.314110526646289</c:v>
                </c:pt>
                <c:pt idx="88">
                  <c:v>93.317655403353257</c:v>
                </c:pt>
                <c:pt idx="89">
                  <c:v>93.320933351792149</c:v>
                </c:pt>
                <c:pt idx="90">
                  <c:v>93.323953222812932</c:v>
                </c:pt>
                <c:pt idx="91">
                  <c:v>93.326723482404375</c:v>
                </c:pt>
                <c:pt idx="92">
                  <c:v>93.329252232386793</c:v>
                </c:pt>
                <c:pt idx="93">
                  <c:v>93.331547229783894</c:v>
                </c:pt>
                <c:pt idx="94">
                  <c:v>93.333615904971097</c:v>
                </c:pt>
                <c:pt idx="95">
                  <c:v>93.335465378689364</c:v>
                </c:pt>
                <c:pt idx="96">
                  <c:v>93.337102478006798</c:v>
                </c:pt>
                <c:pt idx="97">
                  <c:v>93.338533751302649</c:v>
                </c:pt>
                <c:pt idx="98">
                  <c:v>93.339765482343509</c:v>
                </c:pt>
                <c:pt idx="99">
                  <c:v>93.340803703514595</c:v>
                </c:pt>
                <c:pt idx="100">
                  <c:v>93.341654208265041</c:v>
                </c:pt>
                <c:pt idx="101">
                  <c:v>93.342322562821224</c:v>
                </c:pt>
                <c:pt idx="102">
                  <c:v>93.342814117217458</c:v>
                </c:pt>
                <c:pt idx="103">
                  <c:v>93.343134015690509</c:v>
                </c:pt>
                <c:pt idx="104">
                  <c:v>93.343287206480028</c:v>
                </c:pt>
                <c:pt idx="105">
                  <c:v>93.343278451074085</c:v>
                </c:pt>
                <c:pt idx="106">
                  <c:v>93.343112332936499</c:v>
                </c:pt>
                <c:pt idx="107">
                  <c:v>93.342793265748952</c:v>
                </c:pt>
                <c:pt idx="108">
                  <c:v>93.342325501199781</c:v>
                </c:pt>
                <c:pt idx="109">
                  <c:v>93.341713136347479</c:v>
                </c:pt>
                <c:pt idx="110">
                  <c:v>93.340960120586558</c:v>
                </c:pt>
                <c:pt idx="111">
                  <c:v>93.340070262239877</c:v>
                </c:pt>
                <c:pt idx="112">
                  <c:v>93.339047234801185</c:v>
                </c:pt>
                <c:pt idx="113">
                  <c:v>93.337894582848875</c:v>
                </c:pt>
                <c:pt idx="114">
                  <c:v>93.336615727651392</c:v>
                </c:pt>
                <c:pt idx="115">
                  <c:v>93.335213972482421</c:v>
                </c:pt>
                <c:pt idx="116">
                  <c:v>93.333692507663841</c:v>
                </c:pt>
                <c:pt idx="117">
                  <c:v>93.332054415351891</c:v>
                </c:pt>
                <c:pt idx="118">
                  <c:v>93.330302674082276</c:v>
                </c:pt>
                <c:pt idx="119">
                  <c:v>93.328440163087834</c:v>
                </c:pt>
                <c:pt idx="120">
                  <c:v>93.326469666402161</c:v>
                </c:pt>
                <c:pt idx="121">
                  <c:v>93.324393876761462</c:v>
                </c:pt>
                <c:pt idx="122">
                  <c:v>93.322215399315908</c:v>
                </c:pt>
                <c:pt idx="123">
                  <c:v>93.319936755161606</c:v>
                </c:pt>
                <c:pt idx="124">
                  <c:v>93.317560384702801</c:v>
                </c:pt>
                <c:pt idx="125">
                  <c:v>93.315088650854221</c:v>
                </c:pt>
                <c:pt idx="126">
                  <c:v>93.312523842091863</c:v>
                </c:pt>
                <c:pt idx="127">
                  <c:v>93.309868175360933</c:v>
                </c:pt>
                <c:pt idx="128">
                  <c:v>93.307123798848508</c:v>
                </c:pt>
                <c:pt idx="129">
                  <c:v>93.304292794628168</c:v>
                </c:pt>
                <c:pt idx="130">
                  <c:v>93.301377181183554</c:v>
                </c:pt>
                <c:pt idx="131">
                  <c:v>93.298378915817167</c:v>
                </c:pt>
                <c:pt idx="132">
                  <c:v>93.29529989695051</c:v>
                </c:pt>
                <c:pt idx="133">
                  <c:v>93.292141966321225</c:v>
                </c:pt>
                <c:pt idx="134">
                  <c:v>93.288906911082663</c:v>
                </c:pt>
                <c:pt idx="135">
                  <c:v>93.285596465810613</c:v>
                </c:pt>
                <c:pt idx="136">
                  <c:v>93.282212314422438</c:v>
                </c:pt>
                <c:pt idx="137">
                  <c:v>93.2787560920125</c:v>
                </c:pt>
                <c:pt idx="138">
                  <c:v>93.275229386608416</c:v>
                </c:pt>
                <c:pt idx="139">
                  <c:v>93.271633740852238</c:v>
                </c:pt>
                <c:pt idx="140">
                  <c:v>93.267970653609837</c:v>
                </c:pt>
                <c:pt idx="141">
                  <c:v>93.264241581512351</c:v>
                </c:pt>
                <c:pt idx="142">
                  <c:v>93.260447940433096</c:v>
                </c:pt>
                <c:pt idx="143">
                  <c:v>93.256591106902704</c:v>
                </c:pt>
                <c:pt idx="144">
                  <c:v>93.252672419465981</c:v>
                </c:pt>
                <c:pt idx="145">
                  <c:v>93.248693179982666</c:v>
                </c:pt>
                <c:pt idx="146">
                  <c:v>93.244654654875418</c:v>
                </c:pt>
                <c:pt idx="147">
                  <c:v>93.240558076327019</c:v>
                </c:pt>
                <c:pt idx="148">
                  <c:v>93.236404643429367</c:v>
                </c:pt>
                <c:pt idx="149">
                  <c:v>93.232195523286592</c:v>
                </c:pt>
                <c:pt idx="150">
                  <c:v>93.227931852074335</c:v>
                </c:pt>
              </c:numCache>
            </c:numRef>
          </c:yVal>
          <c:smooth val="0"/>
          <c:extLst>
            <c:ext xmlns:c16="http://schemas.microsoft.com/office/drawing/2014/chart" uri="{C3380CC4-5D6E-409C-BE32-E72D297353CC}">
              <c16:uniqueId val="{00000000-9977-4FA8-9358-1BE425CE3F05}"/>
            </c:ext>
          </c:extLst>
        </c:ser>
        <c:dLbls>
          <c:showLegendKey val="0"/>
          <c:showVal val="0"/>
          <c:showCatName val="0"/>
          <c:showSerName val="0"/>
          <c:showPercent val="0"/>
          <c:showBubbleSize val="0"/>
        </c:dLbls>
        <c:axId val="583325184"/>
        <c:axId val="583326720"/>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Eff_vs_IOUT!$AJ$7:$AJ$157</c:f>
              <c:numCache>
                <c:formatCode>General</c:formatCode>
                <c:ptCount val="151"/>
                <c:pt idx="0">
                  <c:v>0</c:v>
                </c:pt>
                <c:pt idx="1">
                  <c:v>5.3217457793648254E-3</c:v>
                </c:pt>
                <c:pt idx="2">
                  <c:v>7.5709478729362734E-3</c:v>
                </c:pt>
                <c:pt idx="3">
                  <c:v>9.3274250830784142E-3</c:v>
                </c:pt>
                <c:pt idx="4">
                  <c:v>1.0833828368319344E-2</c:v>
                </c:pt>
                <c:pt idx="5">
                  <c:v>1.2183522684874338E-2</c:v>
                </c:pt>
                <c:pt idx="6">
                  <c:v>1.3424085085890498E-2</c:v>
                </c:pt>
                <c:pt idx="7">
                  <c:v>1.4583599736422721E-2</c:v>
                </c:pt>
                <c:pt idx="8">
                  <c:v>1.5680249540953685E-2</c:v>
                </c:pt>
                <c:pt idx="9">
                  <c:v>1.6726584576453245E-2</c:v>
                </c:pt>
                <c:pt idx="10">
                  <c:v>1.7731684552490558E-2</c:v>
                </c:pt>
                <c:pt idx="11">
                  <c:v>1.8702360281814479E-2</c:v>
                </c:pt>
                <c:pt idx="12">
                  <c:v>1.9643869240436561E-2</c:v>
                </c:pt>
                <c:pt idx="13">
                  <c:v>2.0560365535651669E-2</c:v>
                </c:pt>
                <c:pt idx="14">
                  <c:v>2.145519551997534E-2</c:v>
                </c:pt>
                <c:pt idx="15">
                  <c:v>2.2331099128222221E-2</c:v>
                </c:pt>
                <c:pt idx="16">
                  <c:v>2.319035121335623E-2</c:v>
                </c:pt>
                <c:pt idx="17">
                  <c:v>2.4034863348689831E-2</c:v>
                </c:pt>
                <c:pt idx="18">
                  <c:v>2.4866258799133373E-2</c:v>
                </c:pt>
                <c:pt idx="19">
                  <c:v>2.5685928810177613E-2</c:v>
                </c:pt>
                <c:pt idx="20">
                  <c:v>2.6495075594063614E-2</c:v>
                </c:pt>
                <c:pt idx="21">
                  <c:v>2.7294745654854947E-2</c:v>
                </c:pt>
                <c:pt idx="22">
                  <c:v>2.8085855973115626E-2</c:v>
                </c:pt>
                <c:pt idx="23">
                  <c:v>2.886921482981665E-2</c:v>
                </c:pt>
                <c:pt idx="24">
                  <c:v>2.9645538548365161E-2</c:v>
                </c:pt>
                <c:pt idx="25">
                  <c:v>3.0415465088617977E-2</c:v>
                </c:pt>
                <c:pt idx="26">
                  <c:v>3.1179565184748102E-2</c:v>
                </c:pt>
                <c:pt idx="27">
                  <c:v>3.1938351546354181E-2</c:v>
                </c:pt>
                <c:pt idx="28">
                  <c:v>3.2692286517455912E-2</c:v>
                </c:pt>
                <c:pt idx="29">
                  <c:v>3.3441788496573858E-2</c:v>
                </c:pt>
                <c:pt idx="30">
                  <c:v>3.4187237353225874E-2</c:v>
                </c:pt>
                <c:pt idx="31">
                  <c:v>3.4928979025229831E-2</c:v>
                </c:pt>
                <c:pt idx="32">
                  <c:v>3.5667329442556475E-2</c:v>
                </c:pt>
                <c:pt idx="33">
                  <c:v>3.6402577893871496E-2</c:v>
                </c:pt>
                <c:pt idx="34">
                  <c:v>3.7134989929019369E-2</c:v>
                </c:pt>
                <c:pt idx="35">
                  <c:v>3.7864809872857771E-2</c:v>
                </c:pt>
                <c:pt idx="36">
                  <c:v>3.8592263011828193E-2</c:v>
                </c:pt>
                <c:pt idx="37">
                  <c:v>3.9317557503545195E-2</c:v>
                </c:pt>
                <c:pt idx="38">
                  <c:v>4.0040886050834286E-2</c:v>
                </c:pt>
                <c:pt idx="39">
                  <c:v>4.0762427374543192E-2</c:v>
                </c:pt>
                <c:pt idx="40">
                  <c:v>4.14823475137132E-2</c:v>
                </c:pt>
                <c:pt idx="41">
                  <c:v>4.220080097703624E-2</c:v>
                </c:pt>
                <c:pt idx="42">
                  <c:v>4.2917931765715581E-2</c:v>
                </c:pt>
                <c:pt idx="43">
                  <c:v>4.3633874284721791E-2</c:v>
                </c:pt>
                <c:pt idx="44">
                  <c:v>4.4348754156854603E-2</c:v>
                </c:pt>
                <c:pt idx="45">
                  <c:v>4.5062688951882757E-2</c:v>
                </c:pt>
                <c:pt idx="46">
                  <c:v>4.5775788841250747E-2</c:v>
                </c:pt>
                <c:pt idx="47">
                  <c:v>4.6488157187351442E-2</c:v>
                </c:pt>
                <c:pt idx="48">
                  <c:v>4.7199891075110995E-2</c:v>
                </c:pt>
                <c:pt idx="49">
                  <c:v>4.7911081792576575E-2</c:v>
                </c:pt>
                <c:pt idx="50">
                  <c:v>4.862181526630413E-2</c:v>
                </c:pt>
                <c:pt idx="51">
                  <c:v>4.9332172456583723E-2</c:v>
                </c:pt>
                <c:pt idx="52">
                  <c:v>5.0042229716893566E-2</c:v>
                </c:pt>
                <c:pt idx="53">
                  <c:v>5.1045028398696991E-2</c:v>
                </c:pt>
                <c:pt idx="54">
                  <c:v>5.2129514008259409E-2</c:v>
                </c:pt>
                <c:pt idx="55">
                  <c:v>5.3220585356215634E-2</c:v>
                </c:pt>
                <c:pt idx="56">
                  <c:v>5.4318242442565653E-2</c:v>
                </c:pt>
                <c:pt idx="57">
                  <c:v>5.5422485267309488E-2</c:v>
                </c:pt>
                <c:pt idx="58">
                  <c:v>5.6533313830447129E-2</c:v>
                </c:pt>
                <c:pt idx="59">
                  <c:v>5.7650728131978579E-2</c:v>
                </c:pt>
                <c:pt idx="60">
                  <c:v>5.8774728171903837E-2</c:v>
                </c:pt>
                <c:pt idx="61">
                  <c:v>5.9905313950222902E-2</c:v>
                </c:pt>
                <c:pt idx="62">
                  <c:v>6.1042485466935775E-2</c:v>
                </c:pt>
                <c:pt idx="63">
                  <c:v>6.218624272204247E-2</c:v>
                </c:pt>
                <c:pt idx="64">
                  <c:v>6.3336585715542959E-2</c:v>
                </c:pt>
                <c:pt idx="65">
                  <c:v>6.4493514447437256E-2</c:v>
                </c:pt>
                <c:pt idx="66">
                  <c:v>6.5657028917725346E-2</c:v>
                </c:pt>
                <c:pt idx="67">
                  <c:v>6.6827129126407273E-2</c:v>
                </c:pt>
                <c:pt idx="68">
                  <c:v>6.8003815073482993E-2</c:v>
                </c:pt>
                <c:pt idx="69">
                  <c:v>6.9187086758952521E-2</c:v>
                </c:pt>
                <c:pt idx="70">
                  <c:v>7.037694418281587E-2</c:v>
                </c:pt>
                <c:pt idx="71">
                  <c:v>7.1573387345072986E-2</c:v>
                </c:pt>
                <c:pt idx="72">
                  <c:v>7.2776416245723966E-2</c:v>
                </c:pt>
                <c:pt idx="73">
                  <c:v>7.3986030884768725E-2</c:v>
                </c:pt>
                <c:pt idx="74">
                  <c:v>7.5202231262207292E-2</c:v>
                </c:pt>
                <c:pt idx="75">
                  <c:v>7.6425017378039653E-2</c:v>
                </c:pt>
                <c:pt idx="76">
                  <c:v>7.765438923226585E-2</c:v>
                </c:pt>
                <c:pt idx="77">
                  <c:v>7.889034682488584E-2</c:v>
                </c:pt>
                <c:pt idx="78">
                  <c:v>8.0132890155899639E-2</c:v>
                </c:pt>
                <c:pt idx="79">
                  <c:v>8.1382019225307259E-2</c:v>
                </c:pt>
                <c:pt idx="80">
                  <c:v>8.2637734033108659E-2</c:v>
                </c:pt>
                <c:pt idx="81">
                  <c:v>8.3900034579303909E-2</c:v>
                </c:pt>
                <c:pt idx="82">
                  <c:v>8.5168920863892952E-2</c:v>
                </c:pt>
                <c:pt idx="83">
                  <c:v>8.6444392886875748E-2</c:v>
                </c:pt>
                <c:pt idx="84">
                  <c:v>8.7726450648252408E-2</c:v>
                </c:pt>
                <c:pt idx="85">
                  <c:v>8.9015094148022861E-2</c:v>
                </c:pt>
                <c:pt idx="86">
                  <c:v>9.0310323386187136E-2</c:v>
                </c:pt>
                <c:pt idx="87">
                  <c:v>9.1612138362745191E-2</c:v>
                </c:pt>
                <c:pt idx="88">
                  <c:v>9.2920539077697081E-2</c:v>
                </c:pt>
                <c:pt idx="89">
                  <c:v>9.423552553104278E-2</c:v>
                </c:pt>
                <c:pt idx="90">
                  <c:v>9.5557097722782286E-2</c:v>
                </c:pt>
                <c:pt idx="91">
                  <c:v>9.6885255652915572E-2</c:v>
                </c:pt>
                <c:pt idx="92">
                  <c:v>9.8219999321442694E-2</c:v>
                </c:pt>
                <c:pt idx="93">
                  <c:v>9.9561328728363596E-2</c:v>
                </c:pt>
                <c:pt idx="94">
                  <c:v>0.10090924387367833</c:v>
                </c:pt>
                <c:pt idx="95">
                  <c:v>0.10226374475738688</c:v>
                </c:pt>
                <c:pt idx="96">
                  <c:v>0.10362483137948919</c:v>
                </c:pt>
                <c:pt idx="97">
                  <c:v>0.10499250373998532</c:v>
                </c:pt>
                <c:pt idx="98">
                  <c:v>0.10636676183887531</c:v>
                </c:pt>
                <c:pt idx="99">
                  <c:v>0.10774760567615907</c:v>
                </c:pt>
                <c:pt idx="100">
                  <c:v>0.10913503525183663</c:v>
                </c:pt>
                <c:pt idx="101">
                  <c:v>0.11052905056590803</c:v>
                </c:pt>
                <c:pt idx="102">
                  <c:v>0.11192965161837323</c:v>
                </c:pt>
                <c:pt idx="103">
                  <c:v>0.11333683840923221</c:v>
                </c:pt>
                <c:pt idx="104">
                  <c:v>0.11475061093848501</c:v>
                </c:pt>
                <c:pt idx="105">
                  <c:v>0.11617096920613165</c:v>
                </c:pt>
                <c:pt idx="106">
                  <c:v>0.11759791321217208</c:v>
                </c:pt>
                <c:pt idx="107">
                  <c:v>0.11903144295660628</c:v>
                </c:pt>
                <c:pt idx="108">
                  <c:v>0.12047155843943436</c:v>
                </c:pt>
                <c:pt idx="109">
                  <c:v>0.12191825966065617</c:v>
                </c:pt>
                <c:pt idx="110">
                  <c:v>0.12337154662027185</c:v>
                </c:pt>
                <c:pt idx="111">
                  <c:v>0.12483141931828132</c:v>
                </c:pt>
                <c:pt idx="112">
                  <c:v>0.1262978777546846</c:v>
                </c:pt>
                <c:pt idx="113">
                  <c:v>0.12777092192948164</c:v>
                </c:pt>
                <c:pt idx="114">
                  <c:v>0.12925055184267253</c:v>
                </c:pt>
                <c:pt idx="115">
                  <c:v>0.13073676749425722</c:v>
                </c:pt>
                <c:pt idx="116">
                  <c:v>0.1322295688842357</c:v>
                </c:pt>
                <c:pt idx="117">
                  <c:v>0.13372895601260798</c:v>
                </c:pt>
                <c:pt idx="118">
                  <c:v>0.13523492887937411</c:v>
                </c:pt>
                <c:pt idx="119">
                  <c:v>0.13674748748453405</c:v>
                </c:pt>
                <c:pt idx="120">
                  <c:v>0.13826663182808779</c:v>
                </c:pt>
                <c:pt idx="121">
                  <c:v>0.13979236191003536</c:v>
                </c:pt>
                <c:pt idx="122">
                  <c:v>0.14132467773037669</c:v>
                </c:pt>
                <c:pt idx="123">
                  <c:v>0.14286357928911181</c:v>
                </c:pt>
                <c:pt idx="124">
                  <c:v>0.14440906658624078</c:v>
                </c:pt>
                <c:pt idx="125">
                  <c:v>0.14596113962176355</c:v>
                </c:pt>
                <c:pt idx="126">
                  <c:v>0.14751979839568016</c:v>
                </c:pt>
                <c:pt idx="127">
                  <c:v>0.14908504290799049</c:v>
                </c:pt>
                <c:pt idx="128">
                  <c:v>0.15065687315869472</c:v>
                </c:pt>
                <c:pt idx="129">
                  <c:v>0.15223528914779272</c:v>
                </c:pt>
                <c:pt idx="130">
                  <c:v>0.15382029087528451</c:v>
                </c:pt>
                <c:pt idx="131">
                  <c:v>0.15541187834117015</c:v>
                </c:pt>
                <c:pt idx="132">
                  <c:v>0.15701005154544956</c:v>
                </c:pt>
                <c:pt idx="133">
                  <c:v>0.15861481048812281</c:v>
                </c:pt>
                <c:pt idx="134">
                  <c:v>0.16022615516918987</c:v>
                </c:pt>
                <c:pt idx="135">
                  <c:v>0.16184408558865071</c:v>
                </c:pt>
                <c:pt idx="136">
                  <c:v>0.16346860174650535</c:v>
                </c:pt>
                <c:pt idx="137">
                  <c:v>0.16509970364275384</c:v>
                </c:pt>
                <c:pt idx="138">
                  <c:v>0.16673739127739612</c:v>
                </c:pt>
                <c:pt idx="139">
                  <c:v>0.16838166465043219</c:v>
                </c:pt>
                <c:pt idx="140">
                  <c:v>0.17003252376186209</c:v>
                </c:pt>
                <c:pt idx="141">
                  <c:v>0.17168996861168573</c:v>
                </c:pt>
                <c:pt idx="142">
                  <c:v>0.17335399919990319</c:v>
                </c:pt>
                <c:pt idx="143">
                  <c:v>0.17502461552651455</c:v>
                </c:pt>
                <c:pt idx="144">
                  <c:v>0.17670181759151971</c:v>
                </c:pt>
                <c:pt idx="145">
                  <c:v>0.17838560539491857</c:v>
                </c:pt>
                <c:pt idx="146">
                  <c:v>0.18007597893671137</c:v>
                </c:pt>
                <c:pt idx="147">
                  <c:v>0.18177293821689791</c:v>
                </c:pt>
                <c:pt idx="148">
                  <c:v>0.18347648323547824</c:v>
                </c:pt>
                <c:pt idx="149">
                  <c:v>0.1851866139924524</c:v>
                </c:pt>
                <c:pt idx="150">
                  <c:v>0.18690333048782037</c:v>
                </c:pt>
              </c:numCache>
            </c:numRef>
          </c:yVal>
          <c:smooth val="1"/>
          <c:extLst>
            <c:ext xmlns:c16="http://schemas.microsoft.com/office/drawing/2014/chart" uri="{C3380CC4-5D6E-409C-BE32-E72D297353CC}">
              <c16:uniqueId val="{00000001-9977-4FA8-9358-1BE425CE3F05}"/>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Eff_vs_IOUT!$BU$7:$BU$157</c:f>
              <c:numCache>
                <c:formatCode>General</c:formatCode>
                <c:ptCount val="151"/>
                <c:pt idx="0">
                  <c:v>0</c:v>
                </c:pt>
                <c:pt idx="1">
                  <c:v>7.2925980685706084E-6</c:v>
                </c:pt>
                <c:pt idx="2">
                  <c:v>2.0626582187016798E-5</c:v>
                </c:pt>
                <c:pt idx="3">
                  <c:v>3.7893451121828883E-5</c:v>
                </c:pt>
                <c:pt idx="4">
                  <c:v>5.8340784548564888E-5</c:v>
                </c:pt>
                <c:pt idx="5">
                  <c:v>8.1533725069537797E-5</c:v>
                </c:pt>
                <c:pt idx="6">
                  <c:v>1.0717886500322474E-4</c:v>
                </c:pt>
                <c:pt idx="7">
                  <c:v>1.3506080630691465E-4</c:v>
                </c:pt>
                <c:pt idx="8">
                  <c:v>1.6501265749613439E-4</c:v>
                </c:pt>
                <c:pt idx="9">
                  <c:v>1.9690014785140648E-4</c:v>
                </c:pt>
                <c:pt idx="10">
                  <c:v>2.3061219956827911E-4</c:v>
                </c:pt>
                <c:pt idx="11">
                  <c:v>2.6605492694351115E-4</c:v>
                </c:pt>
                <c:pt idx="12">
                  <c:v>3.0314760897463101E-4</c:v>
                </c:pt>
                <c:pt idx="13">
                  <c:v>3.4181987147855283E-4</c:v>
                </c:pt>
                <c:pt idx="14">
                  <c:v>3.8200964804856852E-4</c:v>
                </c:pt>
                <c:pt idx="15">
                  <c:v>4.2366166305237519E-4</c:v>
                </c:pt>
                <c:pt idx="16">
                  <c:v>4.6672627638851894E-4</c:v>
                </c:pt>
                <c:pt idx="17">
                  <c:v>5.1115858607216384E-4</c:v>
                </c:pt>
                <c:pt idx="18">
                  <c:v>5.5691771904945332E-4</c:v>
                </c:pt>
                <c:pt idx="19">
                  <c:v>6.039662623184243E-4</c:v>
                </c:pt>
                <c:pt idx="20">
                  <c:v>6.5226980055630248E-4</c:v>
                </c:pt>
                <c:pt idx="21">
                  <c:v>7.0179653590438519E-4</c:v>
                </c:pt>
                <c:pt idx="22">
                  <c:v>7.5251697203939272E-4</c:v>
                </c:pt>
                <c:pt idx="23">
                  <c:v>8.0440364919430907E-4</c:v>
                </c:pt>
                <c:pt idx="24">
                  <c:v>8.574309200257978E-4</c:v>
                </c:pt>
                <c:pt idx="25">
                  <c:v>9.1157475857132583E-4</c:v>
                </c:pt>
                <c:pt idx="26">
                  <c:v>9.6681259626719518E-4</c:v>
                </c:pt>
                <c:pt idx="27">
                  <c:v>1.0231231802893806E-3</c:v>
                </c:pt>
                <c:pt idx="28">
                  <c:v>1.0804864504553168E-3</c:v>
                </c:pt>
                <c:pt idx="29">
                  <c:v>1.1388834316718619E-3</c:v>
                </c:pt>
                <c:pt idx="30">
                  <c:v>1.1982961394924193E-3</c:v>
                </c:pt>
                <c:pt idx="31">
                  <c:v>1.2587074967975453E-3</c:v>
                </c:pt>
                <c:pt idx="32">
                  <c:v>1.3201012599690751E-3</c:v>
                </c:pt>
                <c:pt idx="33">
                  <c:v>1.3824619532105612E-3</c:v>
                </c:pt>
                <c:pt idx="34">
                  <c:v>1.4457748098934179E-3</c:v>
                </c:pt>
                <c:pt idx="35">
                  <c:v>1.5100257199909663E-3</c:v>
                </c:pt>
                <c:pt idx="36">
                  <c:v>1.5752011828112514E-3</c:v>
                </c:pt>
                <c:pt idx="37">
                  <c:v>1.6412882643609794E-3</c:v>
                </c:pt>
                <c:pt idx="38">
                  <c:v>1.7082745587730052E-3</c:v>
                </c:pt>
                <c:pt idx="39">
                  <c:v>1.7761481533125516E-3</c:v>
                </c:pt>
                <c:pt idx="40">
                  <c:v>1.8448975965462326E-3</c:v>
                </c:pt>
                <c:pt idx="41">
                  <c:v>1.9145118693155395E-3</c:v>
                </c:pt>
                <c:pt idx="42">
                  <c:v>1.9849803582048763E-3</c:v>
                </c:pt>
                <c:pt idx="43">
                  <c:v>2.0562928312350972E-3</c:v>
                </c:pt>
                <c:pt idx="44">
                  <c:v>2.1284394155480892E-3</c:v>
                </c:pt>
                <c:pt idx="45">
                  <c:v>2.2014105768775206E-3</c:v>
                </c:pt>
                <c:pt idx="46">
                  <c:v>2.275197100626002E-3</c:v>
                </c:pt>
                <c:pt idx="47">
                  <c:v>2.3497900743905784E-3</c:v>
                </c:pt>
                <c:pt idx="48">
                  <c:v>2.4251808717970485E-3</c:v>
                </c:pt>
                <c:pt idx="49">
                  <c:v>2.5013611375197201E-3</c:v>
                </c:pt>
                <c:pt idx="50">
                  <c:v>2.578322773377099E-3</c:v>
                </c:pt>
                <c:pt idx="51">
                  <c:v>2.6560579254061687E-3</c:v>
                </c:pt>
                <c:pt idx="52">
                  <c:v>2.7345589718284226E-3</c:v>
                </c:pt>
                <c:pt idx="53">
                  <c:v>2.8140580017313498E-3</c:v>
                </c:pt>
                <c:pt idx="54">
                  <c:v>2.8950550141609421E-3</c:v>
                </c:pt>
                <c:pt idx="55">
                  <c:v>2.9775659894396862E-3</c:v>
                </c:pt>
                <c:pt idx="56">
                  <c:v>3.0615909275675773E-3</c:v>
                </c:pt>
                <c:pt idx="57">
                  <c:v>3.1471298285446233E-3</c:v>
                </c:pt>
                <c:pt idx="58">
                  <c:v>3.2341826923708186E-3</c:v>
                </c:pt>
                <c:pt idx="59">
                  <c:v>3.3227495190461648E-3</c:v>
                </c:pt>
                <c:pt idx="60">
                  <c:v>3.4128303085706651E-3</c:v>
                </c:pt>
                <c:pt idx="61">
                  <c:v>3.5044250609443128E-3</c:v>
                </c:pt>
                <c:pt idx="62">
                  <c:v>3.5975337761671145E-3</c:v>
                </c:pt>
                <c:pt idx="63">
                  <c:v>3.6921564542390681E-3</c:v>
                </c:pt>
                <c:pt idx="64">
                  <c:v>3.78829309516017E-3</c:v>
                </c:pt>
                <c:pt idx="65">
                  <c:v>3.885943698930425E-3</c:v>
                </c:pt>
                <c:pt idx="66">
                  <c:v>3.9851082655498306E-3</c:v>
                </c:pt>
                <c:pt idx="67">
                  <c:v>4.085786795018388E-3</c:v>
                </c:pt>
                <c:pt idx="68">
                  <c:v>4.1879792873360982E-3</c:v>
                </c:pt>
                <c:pt idx="69">
                  <c:v>4.291685742502954E-3</c:v>
                </c:pt>
                <c:pt idx="70">
                  <c:v>4.3969061605189678E-3</c:v>
                </c:pt>
                <c:pt idx="71">
                  <c:v>4.5036405413841265E-3</c:v>
                </c:pt>
                <c:pt idx="72">
                  <c:v>4.6118888850984422E-3</c:v>
                </c:pt>
                <c:pt idx="73">
                  <c:v>4.7216511916619054E-3</c:v>
                </c:pt>
                <c:pt idx="74">
                  <c:v>4.8329274610745213E-3</c:v>
                </c:pt>
                <c:pt idx="75">
                  <c:v>4.9457176933362882E-3</c:v>
                </c:pt>
                <c:pt idx="76">
                  <c:v>5.0600218884472069E-3</c:v>
                </c:pt>
                <c:pt idx="77">
                  <c:v>5.1758400464072766E-3</c:v>
                </c:pt>
                <c:pt idx="78">
                  <c:v>5.2931721672164972E-3</c:v>
                </c:pt>
                <c:pt idx="79">
                  <c:v>5.4120182508748697E-3</c:v>
                </c:pt>
                <c:pt idx="80">
                  <c:v>5.5323782973823897E-3</c:v>
                </c:pt>
                <c:pt idx="81">
                  <c:v>5.6542523067390684E-3</c:v>
                </c:pt>
                <c:pt idx="82">
                  <c:v>5.7776402789448955E-3</c:v>
                </c:pt>
                <c:pt idx="83">
                  <c:v>5.9025422139998684E-3</c:v>
                </c:pt>
                <c:pt idx="84">
                  <c:v>6.0289581119039939E-3</c:v>
                </c:pt>
                <c:pt idx="85">
                  <c:v>6.1568879726572765E-3</c:v>
                </c:pt>
                <c:pt idx="86">
                  <c:v>6.2863317962597075E-3</c:v>
                </c:pt>
                <c:pt idx="87">
                  <c:v>6.4172895827112868E-3</c:v>
                </c:pt>
                <c:pt idx="88">
                  <c:v>6.5497613320120206E-3</c:v>
                </c:pt>
                <c:pt idx="89">
                  <c:v>6.6837470441619027E-3</c:v>
                </c:pt>
                <c:pt idx="90">
                  <c:v>6.8192467191609428E-3</c:v>
                </c:pt>
                <c:pt idx="91">
                  <c:v>6.9562603570091286E-3</c:v>
                </c:pt>
                <c:pt idx="92">
                  <c:v>7.0947879577064671E-3</c:v>
                </c:pt>
                <c:pt idx="93">
                  <c:v>7.2348295212529548E-3</c:v>
                </c:pt>
                <c:pt idx="94">
                  <c:v>7.3763850476485961E-3</c:v>
                </c:pt>
                <c:pt idx="95">
                  <c:v>7.5194545368933901E-3</c:v>
                </c:pt>
                <c:pt idx="96">
                  <c:v>7.6640379889873298E-3</c:v>
                </c:pt>
                <c:pt idx="97">
                  <c:v>7.8101354039304188E-3</c:v>
                </c:pt>
                <c:pt idx="98">
                  <c:v>7.9577467817226709E-3</c:v>
                </c:pt>
                <c:pt idx="99">
                  <c:v>8.1068721223640644E-3</c:v>
                </c:pt>
                <c:pt idx="100">
                  <c:v>8.2575114258546106E-3</c:v>
                </c:pt>
                <c:pt idx="101">
                  <c:v>8.409664692194313E-3</c:v>
                </c:pt>
                <c:pt idx="102">
                  <c:v>8.5633319213831629E-3</c:v>
                </c:pt>
                <c:pt idx="103">
                  <c:v>8.7185131134211637E-3</c:v>
                </c:pt>
                <c:pt idx="104">
                  <c:v>8.8752082683083156E-3</c:v>
                </c:pt>
                <c:pt idx="105">
                  <c:v>9.0334173860446253E-3</c:v>
                </c:pt>
                <c:pt idx="106">
                  <c:v>9.1931404666300807E-3</c:v>
                </c:pt>
                <c:pt idx="107">
                  <c:v>9.3543775100646837E-3</c:v>
                </c:pt>
                <c:pt idx="108">
                  <c:v>9.5171285163484463E-3</c:v>
                </c:pt>
                <c:pt idx="109">
                  <c:v>9.6813934854813512E-3</c:v>
                </c:pt>
                <c:pt idx="110">
                  <c:v>9.8471724174634141E-3</c:v>
                </c:pt>
                <c:pt idx="111">
                  <c:v>1.0014465312294628E-2</c:v>
                </c:pt>
                <c:pt idx="112">
                  <c:v>1.0183272169974991E-2</c:v>
                </c:pt>
                <c:pt idx="113">
                  <c:v>1.03535929905045E-2</c:v>
                </c:pt>
                <c:pt idx="114">
                  <c:v>1.0525427773883165E-2</c:v>
                </c:pt>
                <c:pt idx="115">
                  <c:v>1.0698776520110982E-2</c:v>
                </c:pt>
                <c:pt idx="116">
                  <c:v>1.0873639229187944E-2</c:v>
                </c:pt>
                <c:pt idx="117">
                  <c:v>1.1050015901114062E-2</c:v>
                </c:pt>
                <c:pt idx="118">
                  <c:v>1.1227906535889334E-2</c:v>
                </c:pt>
                <c:pt idx="119">
                  <c:v>1.1407311133513759E-2</c:v>
                </c:pt>
                <c:pt idx="120">
                  <c:v>1.1588229693987335E-2</c:v>
                </c:pt>
                <c:pt idx="121">
                  <c:v>1.1770662217310057E-2</c:v>
                </c:pt>
                <c:pt idx="122">
                  <c:v>1.1954608703481929E-2</c:v>
                </c:pt>
                <c:pt idx="123">
                  <c:v>1.2140069152502955E-2</c:v>
                </c:pt>
                <c:pt idx="124">
                  <c:v>1.2327043564373133E-2</c:v>
                </c:pt>
                <c:pt idx="125">
                  <c:v>1.2515531939092462E-2</c:v>
                </c:pt>
                <c:pt idx="126">
                  <c:v>1.2705534276660947E-2</c:v>
                </c:pt>
                <c:pt idx="127">
                  <c:v>1.2897050577078569E-2</c:v>
                </c:pt>
                <c:pt idx="128">
                  <c:v>1.3090080840345355E-2</c:v>
                </c:pt>
                <c:pt idx="129">
                  <c:v>1.3284625066461284E-2</c:v>
                </c:pt>
                <c:pt idx="130">
                  <c:v>1.3480683255426371E-2</c:v>
                </c:pt>
                <c:pt idx="131">
                  <c:v>1.3678255407240613E-2</c:v>
                </c:pt>
                <c:pt idx="132">
                  <c:v>1.3877341521903997E-2</c:v>
                </c:pt>
                <c:pt idx="133">
                  <c:v>1.4077941599416536E-2</c:v>
                </c:pt>
                <c:pt idx="134">
                  <c:v>1.4280055639778225E-2</c:v>
                </c:pt>
                <c:pt idx="135">
                  <c:v>1.4483683642989069E-2</c:v>
                </c:pt>
                <c:pt idx="136">
                  <c:v>1.4688825609049062E-2</c:v>
                </c:pt>
                <c:pt idx="137">
                  <c:v>1.4895481537958201E-2</c:v>
                </c:pt>
                <c:pt idx="138">
                  <c:v>1.5103651429716498E-2</c:v>
                </c:pt>
                <c:pt idx="139">
                  <c:v>1.5313335284323947E-2</c:v>
                </c:pt>
                <c:pt idx="140">
                  <c:v>1.5524533101780546E-2</c:v>
                </c:pt>
                <c:pt idx="141">
                  <c:v>1.5737244882086283E-2</c:v>
                </c:pt>
                <c:pt idx="142">
                  <c:v>1.5951470625241177E-2</c:v>
                </c:pt>
                <c:pt idx="143">
                  <c:v>1.6167210331245237E-2</c:v>
                </c:pt>
                <c:pt idx="144">
                  <c:v>1.6384464000098443E-2</c:v>
                </c:pt>
                <c:pt idx="145">
                  <c:v>1.6603231631800785E-2</c:v>
                </c:pt>
                <c:pt idx="146">
                  <c:v>1.68235132263523E-2</c:v>
                </c:pt>
                <c:pt idx="147">
                  <c:v>1.7045308783752957E-2</c:v>
                </c:pt>
                <c:pt idx="148">
                  <c:v>1.726861830400276E-2</c:v>
                </c:pt>
                <c:pt idx="149">
                  <c:v>1.7493441787101716E-2</c:v>
                </c:pt>
                <c:pt idx="150">
                  <c:v>1.7719779233049831E-2</c:v>
                </c:pt>
              </c:numCache>
            </c:numRef>
          </c:yVal>
          <c:smooth val="1"/>
          <c:extLst>
            <c:ext xmlns:c16="http://schemas.microsoft.com/office/drawing/2014/chart" uri="{C3380CC4-5D6E-409C-BE32-E72D297353CC}">
              <c16:uniqueId val="{00000002-9977-4FA8-9358-1BE425CE3F05}"/>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Eff_vs_IOUT!$AY$8:$AY$157</c:f>
              <c:numCache>
                <c:formatCode>General</c:formatCode>
                <c:ptCount val="150"/>
                <c:pt idx="0">
                  <c:v>0.110428</c:v>
                </c:pt>
                <c:pt idx="1">
                  <c:v>0.111428</c:v>
                </c:pt>
                <c:pt idx="2">
                  <c:v>0.112428</c:v>
                </c:pt>
                <c:pt idx="3">
                  <c:v>0.113428</c:v>
                </c:pt>
                <c:pt idx="4">
                  <c:v>0.114428</c:v>
                </c:pt>
                <c:pt idx="5">
                  <c:v>0.115428</c:v>
                </c:pt>
                <c:pt idx="6">
                  <c:v>0.116428</c:v>
                </c:pt>
                <c:pt idx="7">
                  <c:v>0.117428</c:v>
                </c:pt>
                <c:pt idx="8">
                  <c:v>0.11842799999999999</c:v>
                </c:pt>
                <c:pt idx="9">
                  <c:v>0.11942799999999999</c:v>
                </c:pt>
                <c:pt idx="10">
                  <c:v>0.12042799999999999</c:v>
                </c:pt>
                <c:pt idx="11">
                  <c:v>0.12142799999999999</c:v>
                </c:pt>
                <c:pt idx="12">
                  <c:v>0.122428</c:v>
                </c:pt>
                <c:pt idx="13">
                  <c:v>0.123428</c:v>
                </c:pt>
                <c:pt idx="14">
                  <c:v>0.124428</c:v>
                </c:pt>
                <c:pt idx="15">
                  <c:v>0.12542799999999998</c:v>
                </c:pt>
                <c:pt idx="16">
                  <c:v>0.12642799999999998</c:v>
                </c:pt>
                <c:pt idx="17">
                  <c:v>0.12742799999999999</c:v>
                </c:pt>
                <c:pt idx="18">
                  <c:v>0.12842799999999999</c:v>
                </c:pt>
                <c:pt idx="19">
                  <c:v>0.12942799999999999</c:v>
                </c:pt>
                <c:pt idx="20">
                  <c:v>0.13042799999999999</c:v>
                </c:pt>
                <c:pt idx="21">
                  <c:v>0.13142799999999999</c:v>
                </c:pt>
                <c:pt idx="22">
                  <c:v>0.13242799999999999</c:v>
                </c:pt>
                <c:pt idx="23">
                  <c:v>0.13342799999999999</c:v>
                </c:pt>
                <c:pt idx="24">
                  <c:v>0.13442799999999999</c:v>
                </c:pt>
                <c:pt idx="25">
                  <c:v>0.13542799999999999</c:v>
                </c:pt>
                <c:pt idx="26">
                  <c:v>0.13642799999999999</c:v>
                </c:pt>
                <c:pt idx="27">
                  <c:v>0.13742799999999999</c:v>
                </c:pt>
                <c:pt idx="28">
                  <c:v>0.138428</c:v>
                </c:pt>
                <c:pt idx="29">
                  <c:v>0.139428</c:v>
                </c:pt>
                <c:pt idx="30">
                  <c:v>0.140428</c:v>
                </c:pt>
                <c:pt idx="31">
                  <c:v>0.141428</c:v>
                </c:pt>
                <c:pt idx="32">
                  <c:v>0.142428</c:v>
                </c:pt>
                <c:pt idx="33">
                  <c:v>0.143428</c:v>
                </c:pt>
                <c:pt idx="34">
                  <c:v>0.144428</c:v>
                </c:pt>
                <c:pt idx="35">
                  <c:v>0.145428</c:v>
                </c:pt>
                <c:pt idx="36">
                  <c:v>0.146428</c:v>
                </c:pt>
                <c:pt idx="37">
                  <c:v>0.147428</c:v>
                </c:pt>
                <c:pt idx="38">
                  <c:v>0.148428</c:v>
                </c:pt>
                <c:pt idx="39">
                  <c:v>0.14942800000000001</c:v>
                </c:pt>
                <c:pt idx="40">
                  <c:v>0.15042800000000001</c:v>
                </c:pt>
                <c:pt idx="41">
                  <c:v>0.15142800000000001</c:v>
                </c:pt>
                <c:pt idx="42">
                  <c:v>0.15242800000000001</c:v>
                </c:pt>
                <c:pt idx="43">
                  <c:v>0.15342800000000001</c:v>
                </c:pt>
                <c:pt idx="44">
                  <c:v>0.15442800000000001</c:v>
                </c:pt>
                <c:pt idx="45">
                  <c:v>0.15542800000000001</c:v>
                </c:pt>
                <c:pt idx="46">
                  <c:v>0.15642800000000001</c:v>
                </c:pt>
                <c:pt idx="47">
                  <c:v>0.15742800000000001</c:v>
                </c:pt>
                <c:pt idx="48">
                  <c:v>0.15842799999999999</c:v>
                </c:pt>
                <c:pt idx="49">
                  <c:v>0.15942799999999999</c:v>
                </c:pt>
                <c:pt idx="50">
                  <c:v>0.16042800000000002</c:v>
                </c:pt>
                <c:pt idx="51">
                  <c:v>0.16142799999999999</c:v>
                </c:pt>
                <c:pt idx="52">
                  <c:v>0.16242799999999999</c:v>
                </c:pt>
                <c:pt idx="53">
                  <c:v>0.16342800000000002</c:v>
                </c:pt>
                <c:pt idx="54">
                  <c:v>0.16442799999999999</c:v>
                </c:pt>
                <c:pt idx="55">
                  <c:v>0.16542799999999999</c:v>
                </c:pt>
                <c:pt idx="56">
                  <c:v>0.16642800000000002</c:v>
                </c:pt>
                <c:pt idx="57">
                  <c:v>0.16742799999999999</c:v>
                </c:pt>
                <c:pt idx="58">
                  <c:v>0.16842799999999999</c:v>
                </c:pt>
                <c:pt idx="59">
                  <c:v>0.169428</c:v>
                </c:pt>
                <c:pt idx="60">
                  <c:v>0.170428</c:v>
                </c:pt>
                <c:pt idx="61">
                  <c:v>0.171428</c:v>
                </c:pt>
                <c:pt idx="62">
                  <c:v>0.172428</c:v>
                </c:pt>
                <c:pt idx="63">
                  <c:v>0.173428</c:v>
                </c:pt>
                <c:pt idx="64">
                  <c:v>0.174428</c:v>
                </c:pt>
                <c:pt idx="65">
                  <c:v>0.175428</c:v>
                </c:pt>
                <c:pt idx="66">
                  <c:v>0.176428</c:v>
                </c:pt>
                <c:pt idx="67">
                  <c:v>0.177428</c:v>
                </c:pt>
                <c:pt idx="68">
                  <c:v>0.178428</c:v>
                </c:pt>
                <c:pt idx="69">
                  <c:v>0.179428</c:v>
                </c:pt>
                <c:pt idx="70">
                  <c:v>0.18042799999999998</c:v>
                </c:pt>
                <c:pt idx="71">
                  <c:v>0.18142799999999998</c:v>
                </c:pt>
                <c:pt idx="72">
                  <c:v>0.18242799999999998</c:v>
                </c:pt>
                <c:pt idx="73">
                  <c:v>0.18342799999999998</c:v>
                </c:pt>
                <c:pt idx="74">
                  <c:v>0.18442799999999998</c:v>
                </c:pt>
                <c:pt idx="75">
                  <c:v>0.18542799999999998</c:v>
                </c:pt>
                <c:pt idx="76">
                  <c:v>0.18642799999999998</c:v>
                </c:pt>
                <c:pt idx="77">
                  <c:v>0.18742799999999998</c:v>
                </c:pt>
                <c:pt idx="78">
                  <c:v>0.18842799999999998</c:v>
                </c:pt>
                <c:pt idx="79">
                  <c:v>0.18942799999999999</c:v>
                </c:pt>
                <c:pt idx="80">
                  <c:v>0.19042799999999999</c:v>
                </c:pt>
                <c:pt idx="81">
                  <c:v>0.19142799999999999</c:v>
                </c:pt>
                <c:pt idx="82">
                  <c:v>0.19242799999999999</c:v>
                </c:pt>
                <c:pt idx="83">
                  <c:v>0.19342799999999999</c:v>
                </c:pt>
                <c:pt idx="84">
                  <c:v>0.19442799999999999</c:v>
                </c:pt>
                <c:pt idx="85">
                  <c:v>0.19542799999999999</c:v>
                </c:pt>
                <c:pt idx="86">
                  <c:v>0.19642799999999999</c:v>
                </c:pt>
                <c:pt idx="87">
                  <c:v>0.19742799999999999</c:v>
                </c:pt>
                <c:pt idx="88">
                  <c:v>0.19842799999999999</c:v>
                </c:pt>
                <c:pt idx="89">
                  <c:v>0.19942799999999999</c:v>
                </c:pt>
                <c:pt idx="90">
                  <c:v>0.200428</c:v>
                </c:pt>
                <c:pt idx="91">
                  <c:v>0.201428</c:v>
                </c:pt>
                <c:pt idx="92">
                  <c:v>0.202428</c:v>
                </c:pt>
                <c:pt idx="93">
                  <c:v>0.203428</c:v>
                </c:pt>
                <c:pt idx="94">
                  <c:v>0.204428</c:v>
                </c:pt>
                <c:pt idx="95">
                  <c:v>0.205428</c:v>
                </c:pt>
                <c:pt idx="96">
                  <c:v>0.206428</c:v>
                </c:pt>
                <c:pt idx="97">
                  <c:v>0.207428</c:v>
                </c:pt>
                <c:pt idx="98">
                  <c:v>0.208428</c:v>
                </c:pt>
                <c:pt idx="99">
                  <c:v>0.209428</c:v>
                </c:pt>
                <c:pt idx="100">
                  <c:v>0.210428</c:v>
                </c:pt>
                <c:pt idx="101">
                  <c:v>0.211428</c:v>
                </c:pt>
                <c:pt idx="102">
                  <c:v>0.21242800000000001</c:v>
                </c:pt>
                <c:pt idx="103">
                  <c:v>0.21342800000000001</c:v>
                </c:pt>
                <c:pt idx="104">
                  <c:v>0.21442800000000001</c:v>
                </c:pt>
                <c:pt idx="105">
                  <c:v>0.21542800000000001</c:v>
                </c:pt>
                <c:pt idx="106">
                  <c:v>0.21642800000000001</c:v>
                </c:pt>
                <c:pt idx="107">
                  <c:v>0.21742800000000001</c:v>
                </c:pt>
                <c:pt idx="108">
                  <c:v>0.21842800000000001</c:v>
                </c:pt>
                <c:pt idx="109">
                  <c:v>0.21942800000000001</c:v>
                </c:pt>
                <c:pt idx="110">
                  <c:v>0.22042800000000001</c:v>
                </c:pt>
                <c:pt idx="111">
                  <c:v>0.22142800000000001</c:v>
                </c:pt>
                <c:pt idx="112">
                  <c:v>0.22242800000000001</c:v>
                </c:pt>
                <c:pt idx="113">
                  <c:v>0.22342800000000002</c:v>
                </c:pt>
                <c:pt idx="114">
                  <c:v>0.22442800000000002</c:v>
                </c:pt>
                <c:pt idx="115">
                  <c:v>0.22542799999999999</c:v>
                </c:pt>
                <c:pt idx="116">
                  <c:v>0.22642799999999996</c:v>
                </c:pt>
                <c:pt idx="117">
                  <c:v>0.22742799999999999</c:v>
                </c:pt>
                <c:pt idx="118">
                  <c:v>0.22842799999999999</c:v>
                </c:pt>
                <c:pt idx="119">
                  <c:v>0.22942799999999997</c:v>
                </c:pt>
                <c:pt idx="120">
                  <c:v>0.23042799999999999</c:v>
                </c:pt>
                <c:pt idx="121">
                  <c:v>0.23142799999999999</c:v>
                </c:pt>
                <c:pt idx="122">
                  <c:v>0.23242799999999997</c:v>
                </c:pt>
                <c:pt idx="123">
                  <c:v>0.233428</c:v>
                </c:pt>
                <c:pt idx="124">
                  <c:v>0.234428</c:v>
                </c:pt>
                <c:pt idx="125">
                  <c:v>0.235428</c:v>
                </c:pt>
                <c:pt idx="126">
                  <c:v>0.236428</c:v>
                </c:pt>
                <c:pt idx="127">
                  <c:v>0.237428</c:v>
                </c:pt>
                <c:pt idx="128">
                  <c:v>0.238428</c:v>
                </c:pt>
                <c:pt idx="129">
                  <c:v>0.239428</c:v>
                </c:pt>
                <c:pt idx="130">
                  <c:v>0.240428</c:v>
                </c:pt>
                <c:pt idx="131">
                  <c:v>0.241428</c:v>
                </c:pt>
                <c:pt idx="132">
                  <c:v>0.242428</c:v>
                </c:pt>
                <c:pt idx="133">
                  <c:v>0.24342800000000001</c:v>
                </c:pt>
                <c:pt idx="134">
                  <c:v>0.24442800000000001</c:v>
                </c:pt>
                <c:pt idx="135">
                  <c:v>0.24542800000000001</c:v>
                </c:pt>
                <c:pt idx="136">
                  <c:v>0.24642800000000001</c:v>
                </c:pt>
                <c:pt idx="137">
                  <c:v>0.24742800000000001</c:v>
                </c:pt>
                <c:pt idx="138">
                  <c:v>0.24842800000000001</c:v>
                </c:pt>
                <c:pt idx="139">
                  <c:v>0.24942800000000001</c:v>
                </c:pt>
                <c:pt idx="140">
                  <c:v>0.25042799999999998</c:v>
                </c:pt>
                <c:pt idx="141">
                  <c:v>0.25142799999999998</c:v>
                </c:pt>
                <c:pt idx="142">
                  <c:v>0.25242799999999999</c:v>
                </c:pt>
                <c:pt idx="143">
                  <c:v>0.25342799999999999</c:v>
                </c:pt>
                <c:pt idx="144">
                  <c:v>0.25442799999999999</c:v>
                </c:pt>
                <c:pt idx="145">
                  <c:v>0.25542799999999999</c:v>
                </c:pt>
                <c:pt idx="146">
                  <c:v>0.25642799999999999</c:v>
                </c:pt>
                <c:pt idx="147">
                  <c:v>0.25742799999999999</c:v>
                </c:pt>
                <c:pt idx="148">
                  <c:v>0.25842799999999999</c:v>
                </c:pt>
                <c:pt idx="149">
                  <c:v>0.25942799999999999</c:v>
                </c:pt>
              </c:numCache>
            </c:numRef>
          </c:yVal>
          <c:smooth val="1"/>
          <c:extLst>
            <c:ext xmlns:c16="http://schemas.microsoft.com/office/drawing/2014/chart" uri="{C3380CC4-5D6E-409C-BE32-E72D297353CC}">
              <c16:uniqueId val="{00000003-9977-4FA8-9358-1BE425CE3F05}"/>
            </c:ext>
          </c:extLst>
        </c:ser>
        <c:dLbls>
          <c:showLegendKey val="0"/>
          <c:showVal val="0"/>
          <c:showCatName val="0"/>
          <c:showSerName val="0"/>
          <c:showPercent val="0"/>
          <c:showBubbleSize val="0"/>
        </c:dLbls>
        <c:axId val="582753280"/>
        <c:axId val="582751360"/>
      </c:scatterChart>
      <c:valAx>
        <c:axId val="583325184"/>
        <c:scaling>
          <c:orientation val="minMax"/>
        </c:scaling>
        <c:delete val="0"/>
        <c:axPos val="b"/>
        <c:majorGridlines/>
        <c:numFmt formatCode="General" sourceLinked="1"/>
        <c:majorTickMark val="out"/>
        <c:minorTickMark val="none"/>
        <c:tickLblPos val="nextTo"/>
        <c:crossAx val="583326720"/>
        <c:crosses val="autoZero"/>
        <c:crossBetween val="midCat"/>
      </c:valAx>
      <c:valAx>
        <c:axId val="583326720"/>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3325184"/>
        <c:crosses val="autoZero"/>
        <c:crossBetween val="midCat"/>
      </c:valAx>
      <c:valAx>
        <c:axId val="582751360"/>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2753280"/>
        <c:crosses val="max"/>
        <c:crossBetween val="midCat"/>
      </c:valAx>
      <c:valAx>
        <c:axId val="582753280"/>
        <c:scaling>
          <c:orientation val="minMax"/>
        </c:scaling>
        <c:delete val="1"/>
        <c:axPos val="b"/>
        <c:title>
          <c:tx>
            <c:rich>
              <a:bodyPr/>
              <a:lstStyle/>
              <a:p>
                <a:pPr>
                  <a:defRPr/>
                </a:pPr>
                <a:r>
                  <a:rPr lang="en-US"/>
                  <a:t>Loac</a:t>
                </a:r>
                <a:r>
                  <a:rPr lang="en-US" baseline="0"/>
                  <a:t> Current (A)</a:t>
                </a:r>
                <a:endParaRPr lang="en-US"/>
              </a:p>
            </c:rich>
          </c:tx>
          <c:overlay val="0"/>
        </c:title>
        <c:numFmt formatCode="General" sourceLinked="1"/>
        <c:majorTickMark val="out"/>
        <c:minorTickMark val="none"/>
        <c:tickLblPos val="nextTo"/>
        <c:crossAx val="582751360"/>
        <c:crosses val="autoZero"/>
        <c:crossBetween val="midCat"/>
      </c:valAx>
    </c:plotArea>
    <c:legend>
      <c:legendPos val="r"/>
      <c:layout>
        <c:manualLayout>
          <c:xMode val="edge"/>
          <c:yMode val="edge"/>
          <c:x val="0.51894403926190358"/>
          <c:y val="6.4862204724409449E-3"/>
          <c:w val="0.39609572935704079"/>
          <c:h val="0.12183653099700564"/>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Eff_vs_IOUT!$BZ$7:$BZ$157</c:f>
              <c:numCache>
                <c:formatCode>General</c:formatCode>
                <c:ptCount val="151"/>
                <c:pt idx="0">
                  <c:v>0</c:v>
                </c:pt>
                <c:pt idx="1">
                  <c:v>49.0362395285524</c:v>
                </c:pt>
                <c:pt idx="2">
                  <c:v>64.489521815492409</c:v>
                </c:pt>
                <c:pt idx="3">
                  <c:v>72.104963594677272</c:v>
                </c:pt>
                <c:pt idx="4">
                  <c:v>76.647487522770092</c:v>
                </c:pt>
                <c:pt idx="5">
                  <c:v>79.6673266190042</c:v>
                </c:pt>
                <c:pt idx="6">
                  <c:v>81.821107789819351</c:v>
                </c:pt>
                <c:pt idx="7">
                  <c:v>83.434983834181494</c:v>
                </c:pt>
                <c:pt idx="8">
                  <c:v>84.689428387103575</c:v>
                </c:pt>
                <c:pt idx="9">
                  <c:v>85.692454586184965</c:v>
                </c:pt>
                <c:pt idx="10">
                  <c:v>86.512688887391391</c:v>
                </c:pt>
                <c:pt idx="11">
                  <c:v>87.195836779376364</c:v>
                </c:pt>
                <c:pt idx="12">
                  <c:v>87.773521751397809</c:v>
                </c:pt>
                <c:pt idx="13">
                  <c:v>88.268324887613133</c:v>
                </c:pt>
                <c:pt idx="14">
                  <c:v>88.696803683357871</c:v>
                </c:pt>
                <c:pt idx="15">
                  <c:v>89.071376535380779</c:v>
                </c:pt>
                <c:pt idx="16">
                  <c:v>89.401541042035547</c:v>
                </c:pt>
                <c:pt idx="17">
                  <c:v>89.694685684656974</c:v>
                </c:pt>
                <c:pt idx="18">
                  <c:v>89.956644938146013</c:v>
                </c:pt>
                <c:pt idx="19">
                  <c:v>90.19208773026088</c:v>
                </c:pt>
                <c:pt idx="20">
                  <c:v>90.404794860364348</c:v>
                </c:pt>
                <c:pt idx="21">
                  <c:v>90.597860739204208</c:v>
                </c:pt>
                <c:pt idx="22">
                  <c:v>90.773842497695227</c:v>
                </c:pt>
                <c:pt idx="23">
                  <c:v>90.934871822757017</c:v>
                </c:pt>
                <c:pt idx="24">
                  <c:v>91.082739959885757</c:v>
                </c:pt>
                <c:pt idx="25">
                  <c:v>91.218963107949492</c:v>
                </c:pt>
                <c:pt idx="26">
                  <c:v>91.344833289802978</c:v>
                </c:pt>
                <c:pt idx="27">
                  <c:v>91.461458329368014</c:v>
                </c:pt>
                <c:pt idx="28">
                  <c:v>91.569793564054208</c:v>
                </c:pt>
                <c:pt idx="29">
                  <c:v>91.670667220289175</c:v>
                </c:pt>
                <c:pt idx="30">
                  <c:v>91.764800882441264</c:v>
                </c:pt>
                <c:pt idx="31">
                  <c:v>91.852826127883219</c:v>
                </c:pt>
                <c:pt idx="32">
                  <c:v>91.935298140936339</c:v>
                </c:pt>
                <c:pt idx="33">
                  <c:v>92.012706927254285</c:v>
                </c:pt>
                <c:pt idx="34">
                  <c:v>92.085486608187267</c:v>
                </c:pt>
                <c:pt idx="35">
                  <c:v>92.154023168148029</c:v>
                </c:pt>
                <c:pt idx="36">
                  <c:v>92.218660947389068</c:v>
                </c:pt>
                <c:pt idx="37">
                  <c:v>92.279708111075578</c:v>
                </c:pt>
                <c:pt idx="38">
                  <c:v>92.337441278207237</c:v>
                </c:pt>
                <c:pt idx="39">
                  <c:v>92.392109457257348</c:v>
                </c:pt>
                <c:pt idx="40">
                  <c:v>92.443937406761094</c:v>
                </c:pt>
                <c:pt idx="41">
                  <c:v>92.493128516582729</c:v>
                </c:pt>
                <c:pt idx="42">
                  <c:v>92.539867287796199</c:v>
                </c:pt>
                <c:pt idx="43">
                  <c:v>92.584321474956027</c:v>
                </c:pt>
                <c:pt idx="44">
                  <c:v>92.626643943208393</c:v>
                </c:pt>
                <c:pt idx="45">
                  <c:v>92.666974283578853</c:v>
                </c:pt>
                <c:pt idx="46">
                  <c:v>92.70544022240415</c:v>
                </c:pt>
                <c:pt idx="47">
                  <c:v>92.742158854887819</c:v>
                </c:pt>
                <c:pt idx="48">
                  <c:v>92.777237727869149</c:v>
                </c:pt>
                <c:pt idx="49">
                  <c:v>92.810775792885906</c:v>
                </c:pt>
                <c:pt idx="50">
                  <c:v>92.842864247307261</c:v>
                </c:pt>
                <c:pt idx="51">
                  <c:v>92.873587278583017</c:v>
                </c:pt>
                <c:pt idx="52">
                  <c:v>92.903022724385536</c:v>
                </c:pt>
                <c:pt idx="53">
                  <c:v>92.928260453654033</c:v>
                </c:pt>
                <c:pt idx="54">
                  <c:v>92.951531317437414</c:v>
                </c:pt>
                <c:pt idx="55">
                  <c:v>92.973665796253542</c:v>
                </c:pt>
                <c:pt idx="56">
                  <c:v>92.994723787324745</c:v>
                </c:pt>
                <c:pt idx="57">
                  <c:v>93.014761056600449</c:v>
                </c:pt>
                <c:pt idx="58">
                  <c:v>93.033829588898513</c:v>
                </c:pt>
                <c:pt idx="59">
                  <c:v>93.05197790302897</c:v>
                </c:pt>
                <c:pt idx="60">
                  <c:v>93.069251335919375</c:v>
                </c:pt>
                <c:pt idx="61">
                  <c:v>93.085692299241515</c:v>
                </c:pt>
                <c:pt idx="62">
                  <c:v>93.101340511595296</c:v>
                </c:pt>
                <c:pt idx="63">
                  <c:v>93.116233208923461</c:v>
                </c:pt>
                <c:pt idx="64">
                  <c:v>93.130405335501877</c:v>
                </c:pt>
                <c:pt idx="65">
                  <c:v>93.143889717565401</c:v>
                </c:pt>
                <c:pt idx="66">
                  <c:v>93.156717221383929</c:v>
                </c:pt>
                <c:pt idx="67">
                  <c:v>93.168916897389494</c:v>
                </c:pt>
                <c:pt idx="68">
                  <c:v>93.180516111769293</c:v>
                </c:pt>
                <c:pt idx="69">
                  <c:v>93.19154066677882</c:v>
                </c:pt>
                <c:pt idx="70">
                  <c:v>93.202014910886405</c:v>
                </c:pt>
                <c:pt idx="71">
                  <c:v>93.211961839738677</c:v>
                </c:pt>
                <c:pt idx="72">
                  <c:v>93.221403188826756</c:v>
                </c:pt>
                <c:pt idx="73">
                  <c:v>93.230359518638338</c:v>
                </c:pt>
                <c:pt idx="74">
                  <c:v>93.238850292997171</c:v>
                </c:pt>
                <c:pt idx="75">
                  <c:v>93.246893951217274</c:v>
                </c:pt>
                <c:pt idx="76">
                  <c:v>93.254507974634592</c:v>
                </c:pt>
                <c:pt idx="77">
                  <c:v>93.261708948020086</c:v>
                </c:pt>
                <c:pt idx="78">
                  <c:v>93.268512616328536</c:v>
                </c:pt>
                <c:pt idx="79">
                  <c:v>93.274933937190724</c:v>
                </c:pt>
                <c:pt idx="80">
                  <c:v>93.28098712951703</c:v>
                </c:pt>
                <c:pt idx="81">
                  <c:v>93.286685718544533</c:v>
                </c:pt>
                <c:pt idx="82">
                  <c:v>93.292042577627299</c:v>
                </c:pt>
                <c:pt idx="83">
                  <c:v>93.297069967041679</c:v>
                </c:pt>
                <c:pt idx="84">
                  <c:v>93.301779570051963</c:v>
                </c:pt>
                <c:pt idx="85">
                  <c:v>93.306182526459949</c:v>
                </c:pt>
                <c:pt idx="86">
                  <c:v>93.310289463840277</c:v>
                </c:pt>
                <c:pt idx="87">
                  <c:v>93.314110526646289</c:v>
                </c:pt>
                <c:pt idx="88">
                  <c:v>93.317655403353257</c:v>
                </c:pt>
                <c:pt idx="89">
                  <c:v>93.320933351792149</c:v>
                </c:pt>
                <c:pt idx="90">
                  <c:v>93.323953222812932</c:v>
                </c:pt>
                <c:pt idx="91">
                  <c:v>93.326723482404375</c:v>
                </c:pt>
                <c:pt idx="92">
                  <c:v>93.329252232386793</c:v>
                </c:pt>
                <c:pt idx="93">
                  <c:v>93.331547229783894</c:v>
                </c:pt>
                <c:pt idx="94">
                  <c:v>93.333615904971097</c:v>
                </c:pt>
                <c:pt idx="95">
                  <c:v>93.335465378689364</c:v>
                </c:pt>
                <c:pt idx="96">
                  <c:v>93.337102478006798</c:v>
                </c:pt>
                <c:pt idx="97">
                  <c:v>93.338533751302649</c:v>
                </c:pt>
                <c:pt idx="98">
                  <c:v>93.339765482343509</c:v>
                </c:pt>
                <c:pt idx="99">
                  <c:v>93.340803703514595</c:v>
                </c:pt>
                <c:pt idx="100">
                  <c:v>93.341654208265041</c:v>
                </c:pt>
                <c:pt idx="101">
                  <c:v>93.342322562821224</c:v>
                </c:pt>
                <c:pt idx="102">
                  <c:v>93.342814117217458</c:v>
                </c:pt>
                <c:pt idx="103">
                  <c:v>93.343134015690509</c:v>
                </c:pt>
                <c:pt idx="104">
                  <c:v>93.343287206480028</c:v>
                </c:pt>
                <c:pt idx="105">
                  <c:v>93.343278451074085</c:v>
                </c:pt>
                <c:pt idx="106">
                  <c:v>93.343112332936499</c:v>
                </c:pt>
                <c:pt idx="107">
                  <c:v>93.342793265748952</c:v>
                </c:pt>
                <c:pt idx="108">
                  <c:v>93.342325501199781</c:v>
                </c:pt>
                <c:pt idx="109">
                  <c:v>93.341713136347479</c:v>
                </c:pt>
                <c:pt idx="110">
                  <c:v>93.340960120586558</c:v>
                </c:pt>
                <c:pt idx="111">
                  <c:v>93.340070262239877</c:v>
                </c:pt>
                <c:pt idx="112">
                  <c:v>93.339047234801185</c:v>
                </c:pt>
                <c:pt idx="113">
                  <c:v>93.337894582848875</c:v>
                </c:pt>
                <c:pt idx="114">
                  <c:v>93.336615727651392</c:v>
                </c:pt>
                <c:pt idx="115">
                  <c:v>93.335213972482421</c:v>
                </c:pt>
                <c:pt idx="116">
                  <c:v>93.333692507663841</c:v>
                </c:pt>
                <c:pt idx="117">
                  <c:v>93.332054415351891</c:v>
                </c:pt>
                <c:pt idx="118">
                  <c:v>93.330302674082276</c:v>
                </c:pt>
                <c:pt idx="119">
                  <c:v>93.328440163087834</c:v>
                </c:pt>
                <c:pt idx="120">
                  <c:v>93.326469666402161</c:v>
                </c:pt>
                <c:pt idx="121">
                  <c:v>93.324393876761462</c:v>
                </c:pt>
                <c:pt idx="122">
                  <c:v>93.322215399315908</c:v>
                </c:pt>
                <c:pt idx="123">
                  <c:v>93.319936755161606</c:v>
                </c:pt>
                <c:pt idx="124">
                  <c:v>93.317560384702801</c:v>
                </c:pt>
                <c:pt idx="125">
                  <c:v>93.315088650854221</c:v>
                </c:pt>
                <c:pt idx="126">
                  <c:v>93.312523842091863</c:v>
                </c:pt>
                <c:pt idx="127">
                  <c:v>93.309868175360933</c:v>
                </c:pt>
                <c:pt idx="128">
                  <c:v>93.307123798848508</c:v>
                </c:pt>
                <c:pt idx="129">
                  <c:v>93.304292794628168</c:v>
                </c:pt>
                <c:pt idx="130">
                  <c:v>93.301377181183554</c:v>
                </c:pt>
                <c:pt idx="131">
                  <c:v>93.298378915817167</c:v>
                </c:pt>
                <c:pt idx="132">
                  <c:v>93.29529989695051</c:v>
                </c:pt>
                <c:pt idx="133">
                  <c:v>93.292141966321225</c:v>
                </c:pt>
                <c:pt idx="134">
                  <c:v>93.288906911082663</c:v>
                </c:pt>
                <c:pt idx="135">
                  <c:v>93.285596465810613</c:v>
                </c:pt>
                <c:pt idx="136">
                  <c:v>93.282212314422438</c:v>
                </c:pt>
                <c:pt idx="137">
                  <c:v>93.2787560920125</c:v>
                </c:pt>
                <c:pt idx="138">
                  <c:v>93.275229386608416</c:v>
                </c:pt>
                <c:pt idx="139">
                  <c:v>93.271633740852238</c:v>
                </c:pt>
                <c:pt idx="140">
                  <c:v>93.267970653609837</c:v>
                </c:pt>
                <c:pt idx="141">
                  <c:v>93.264241581512351</c:v>
                </c:pt>
                <c:pt idx="142">
                  <c:v>93.260447940433096</c:v>
                </c:pt>
                <c:pt idx="143">
                  <c:v>93.256591106902704</c:v>
                </c:pt>
                <c:pt idx="144">
                  <c:v>93.252672419465981</c:v>
                </c:pt>
                <c:pt idx="145">
                  <c:v>93.248693179982666</c:v>
                </c:pt>
                <c:pt idx="146">
                  <c:v>93.244654654875418</c:v>
                </c:pt>
                <c:pt idx="147">
                  <c:v>93.240558076327019</c:v>
                </c:pt>
                <c:pt idx="148">
                  <c:v>93.236404643429367</c:v>
                </c:pt>
                <c:pt idx="149">
                  <c:v>93.232195523286592</c:v>
                </c:pt>
                <c:pt idx="150">
                  <c:v>93.227931852074335</c:v>
                </c:pt>
              </c:numCache>
            </c:numRef>
          </c:yVal>
          <c:smooth val="0"/>
          <c:extLst>
            <c:ext xmlns:c16="http://schemas.microsoft.com/office/drawing/2014/chart" uri="{C3380CC4-5D6E-409C-BE32-E72D297353CC}">
              <c16:uniqueId val="{00000000-C391-4527-8BBE-DDCDE94A24A4}"/>
            </c:ext>
          </c:extLst>
        </c:ser>
        <c:dLbls>
          <c:showLegendKey val="0"/>
          <c:showVal val="0"/>
          <c:showCatName val="0"/>
          <c:showSerName val="0"/>
          <c:showPercent val="0"/>
          <c:showBubbleSize val="0"/>
        </c:dLbls>
        <c:axId val="582782976"/>
        <c:axId val="582784512"/>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Eff_vs_IOUT!$AJ$7:$AJ$157</c:f>
              <c:numCache>
                <c:formatCode>General</c:formatCode>
                <c:ptCount val="151"/>
                <c:pt idx="0">
                  <c:v>0</c:v>
                </c:pt>
                <c:pt idx="1">
                  <c:v>5.3217457793648254E-3</c:v>
                </c:pt>
                <c:pt idx="2">
                  <c:v>7.5709478729362734E-3</c:v>
                </c:pt>
                <c:pt idx="3">
                  <c:v>9.3274250830784142E-3</c:v>
                </c:pt>
                <c:pt idx="4">
                  <c:v>1.0833828368319344E-2</c:v>
                </c:pt>
                <c:pt idx="5">
                  <c:v>1.2183522684874338E-2</c:v>
                </c:pt>
                <c:pt idx="6">
                  <c:v>1.3424085085890498E-2</c:v>
                </c:pt>
                <c:pt idx="7">
                  <c:v>1.4583599736422721E-2</c:v>
                </c:pt>
                <c:pt idx="8">
                  <c:v>1.5680249540953685E-2</c:v>
                </c:pt>
                <c:pt idx="9">
                  <c:v>1.6726584576453245E-2</c:v>
                </c:pt>
                <c:pt idx="10">
                  <c:v>1.7731684552490558E-2</c:v>
                </c:pt>
                <c:pt idx="11">
                  <c:v>1.8702360281814479E-2</c:v>
                </c:pt>
                <c:pt idx="12">
                  <c:v>1.9643869240436561E-2</c:v>
                </c:pt>
                <c:pt idx="13">
                  <c:v>2.0560365535651669E-2</c:v>
                </c:pt>
                <c:pt idx="14">
                  <c:v>2.145519551997534E-2</c:v>
                </c:pt>
                <c:pt idx="15">
                  <c:v>2.2331099128222221E-2</c:v>
                </c:pt>
                <c:pt idx="16">
                  <c:v>2.319035121335623E-2</c:v>
                </c:pt>
                <c:pt idx="17">
                  <c:v>2.4034863348689831E-2</c:v>
                </c:pt>
                <c:pt idx="18">
                  <c:v>2.4866258799133373E-2</c:v>
                </c:pt>
                <c:pt idx="19">
                  <c:v>2.5685928810177613E-2</c:v>
                </c:pt>
                <c:pt idx="20">
                  <c:v>2.6495075594063614E-2</c:v>
                </c:pt>
                <c:pt idx="21">
                  <c:v>2.7294745654854947E-2</c:v>
                </c:pt>
                <c:pt idx="22">
                  <c:v>2.8085855973115626E-2</c:v>
                </c:pt>
                <c:pt idx="23">
                  <c:v>2.886921482981665E-2</c:v>
                </c:pt>
                <c:pt idx="24">
                  <c:v>2.9645538548365161E-2</c:v>
                </c:pt>
                <c:pt idx="25">
                  <c:v>3.0415465088617977E-2</c:v>
                </c:pt>
                <c:pt idx="26">
                  <c:v>3.1179565184748102E-2</c:v>
                </c:pt>
                <c:pt idx="27">
                  <c:v>3.1938351546354181E-2</c:v>
                </c:pt>
                <c:pt idx="28">
                  <c:v>3.2692286517455912E-2</c:v>
                </c:pt>
                <c:pt idx="29">
                  <c:v>3.3441788496573858E-2</c:v>
                </c:pt>
                <c:pt idx="30">
                  <c:v>3.4187237353225874E-2</c:v>
                </c:pt>
                <c:pt idx="31">
                  <c:v>3.4928979025229831E-2</c:v>
                </c:pt>
                <c:pt idx="32">
                  <c:v>3.5667329442556475E-2</c:v>
                </c:pt>
                <c:pt idx="33">
                  <c:v>3.6402577893871496E-2</c:v>
                </c:pt>
                <c:pt idx="34">
                  <c:v>3.7134989929019369E-2</c:v>
                </c:pt>
                <c:pt idx="35">
                  <c:v>3.7864809872857771E-2</c:v>
                </c:pt>
                <c:pt idx="36">
                  <c:v>3.8592263011828193E-2</c:v>
                </c:pt>
                <c:pt idx="37">
                  <c:v>3.9317557503545195E-2</c:v>
                </c:pt>
                <c:pt idx="38">
                  <c:v>4.0040886050834286E-2</c:v>
                </c:pt>
                <c:pt idx="39">
                  <c:v>4.0762427374543192E-2</c:v>
                </c:pt>
                <c:pt idx="40">
                  <c:v>4.14823475137132E-2</c:v>
                </c:pt>
                <c:pt idx="41">
                  <c:v>4.220080097703624E-2</c:v>
                </c:pt>
                <c:pt idx="42">
                  <c:v>4.2917931765715581E-2</c:v>
                </c:pt>
                <c:pt idx="43">
                  <c:v>4.3633874284721791E-2</c:v>
                </c:pt>
                <c:pt idx="44">
                  <c:v>4.4348754156854603E-2</c:v>
                </c:pt>
                <c:pt idx="45">
                  <c:v>4.5062688951882757E-2</c:v>
                </c:pt>
                <c:pt idx="46">
                  <c:v>4.5775788841250747E-2</c:v>
                </c:pt>
                <c:pt idx="47">
                  <c:v>4.6488157187351442E-2</c:v>
                </c:pt>
                <c:pt idx="48">
                  <c:v>4.7199891075110995E-2</c:v>
                </c:pt>
                <c:pt idx="49">
                  <c:v>4.7911081792576575E-2</c:v>
                </c:pt>
                <c:pt idx="50">
                  <c:v>4.862181526630413E-2</c:v>
                </c:pt>
                <c:pt idx="51">
                  <c:v>4.9332172456583723E-2</c:v>
                </c:pt>
                <c:pt idx="52">
                  <c:v>5.0042229716893566E-2</c:v>
                </c:pt>
                <c:pt idx="53">
                  <c:v>5.1045028398696991E-2</c:v>
                </c:pt>
                <c:pt idx="54">
                  <c:v>5.2129514008259409E-2</c:v>
                </c:pt>
                <c:pt idx="55">
                  <c:v>5.3220585356215634E-2</c:v>
                </c:pt>
                <c:pt idx="56">
                  <c:v>5.4318242442565653E-2</c:v>
                </c:pt>
                <c:pt idx="57">
                  <c:v>5.5422485267309488E-2</c:v>
                </c:pt>
                <c:pt idx="58">
                  <c:v>5.6533313830447129E-2</c:v>
                </c:pt>
                <c:pt idx="59">
                  <c:v>5.7650728131978579E-2</c:v>
                </c:pt>
                <c:pt idx="60">
                  <c:v>5.8774728171903837E-2</c:v>
                </c:pt>
                <c:pt idx="61">
                  <c:v>5.9905313950222902E-2</c:v>
                </c:pt>
                <c:pt idx="62">
                  <c:v>6.1042485466935775E-2</c:v>
                </c:pt>
                <c:pt idx="63">
                  <c:v>6.218624272204247E-2</c:v>
                </c:pt>
                <c:pt idx="64">
                  <c:v>6.3336585715542959E-2</c:v>
                </c:pt>
                <c:pt idx="65">
                  <c:v>6.4493514447437256E-2</c:v>
                </c:pt>
                <c:pt idx="66">
                  <c:v>6.5657028917725346E-2</c:v>
                </c:pt>
                <c:pt idx="67">
                  <c:v>6.6827129126407273E-2</c:v>
                </c:pt>
                <c:pt idx="68">
                  <c:v>6.8003815073482993E-2</c:v>
                </c:pt>
                <c:pt idx="69">
                  <c:v>6.9187086758952521E-2</c:v>
                </c:pt>
                <c:pt idx="70">
                  <c:v>7.037694418281587E-2</c:v>
                </c:pt>
                <c:pt idx="71">
                  <c:v>7.1573387345072986E-2</c:v>
                </c:pt>
                <c:pt idx="72">
                  <c:v>7.2776416245723966E-2</c:v>
                </c:pt>
                <c:pt idx="73">
                  <c:v>7.3986030884768725E-2</c:v>
                </c:pt>
                <c:pt idx="74">
                  <c:v>7.5202231262207292E-2</c:v>
                </c:pt>
                <c:pt idx="75">
                  <c:v>7.6425017378039653E-2</c:v>
                </c:pt>
                <c:pt idx="76">
                  <c:v>7.765438923226585E-2</c:v>
                </c:pt>
                <c:pt idx="77">
                  <c:v>7.889034682488584E-2</c:v>
                </c:pt>
                <c:pt idx="78">
                  <c:v>8.0132890155899639E-2</c:v>
                </c:pt>
                <c:pt idx="79">
                  <c:v>8.1382019225307259E-2</c:v>
                </c:pt>
                <c:pt idx="80">
                  <c:v>8.2637734033108659E-2</c:v>
                </c:pt>
                <c:pt idx="81">
                  <c:v>8.3900034579303909E-2</c:v>
                </c:pt>
                <c:pt idx="82">
                  <c:v>8.5168920863892952E-2</c:v>
                </c:pt>
                <c:pt idx="83">
                  <c:v>8.6444392886875748E-2</c:v>
                </c:pt>
                <c:pt idx="84">
                  <c:v>8.7726450648252408E-2</c:v>
                </c:pt>
                <c:pt idx="85">
                  <c:v>8.9015094148022861E-2</c:v>
                </c:pt>
                <c:pt idx="86">
                  <c:v>9.0310323386187136E-2</c:v>
                </c:pt>
                <c:pt idx="87">
                  <c:v>9.1612138362745191E-2</c:v>
                </c:pt>
                <c:pt idx="88">
                  <c:v>9.2920539077697081E-2</c:v>
                </c:pt>
                <c:pt idx="89">
                  <c:v>9.423552553104278E-2</c:v>
                </c:pt>
                <c:pt idx="90">
                  <c:v>9.5557097722782286E-2</c:v>
                </c:pt>
                <c:pt idx="91">
                  <c:v>9.6885255652915572E-2</c:v>
                </c:pt>
                <c:pt idx="92">
                  <c:v>9.8219999321442694E-2</c:v>
                </c:pt>
                <c:pt idx="93">
                  <c:v>9.9561328728363596E-2</c:v>
                </c:pt>
                <c:pt idx="94">
                  <c:v>0.10090924387367833</c:v>
                </c:pt>
                <c:pt idx="95">
                  <c:v>0.10226374475738688</c:v>
                </c:pt>
                <c:pt idx="96">
                  <c:v>0.10362483137948919</c:v>
                </c:pt>
                <c:pt idx="97">
                  <c:v>0.10499250373998532</c:v>
                </c:pt>
                <c:pt idx="98">
                  <c:v>0.10636676183887531</c:v>
                </c:pt>
                <c:pt idx="99">
                  <c:v>0.10774760567615907</c:v>
                </c:pt>
                <c:pt idx="100">
                  <c:v>0.10913503525183663</c:v>
                </c:pt>
                <c:pt idx="101">
                  <c:v>0.11052905056590803</c:v>
                </c:pt>
                <c:pt idx="102">
                  <c:v>0.11192965161837323</c:v>
                </c:pt>
                <c:pt idx="103">
                  <c:v>0.11333683840923221</c:v>
                </c:pt>
                <c:pt idx="104">
                  <c:v>0.11475061093848501</c:v>
                </c:pt>
                <c:pt idx="105">
                  <c:v>0.11617096920613165</c:v>
                </c:pt>
                <c:pt idx="106">
                  <c:v>0.11759791321217208</c:v>
                </c:pt>
                <c:pt idx="107">
                  <c:v>0.11903144295660628</c:v>
                </c:pt>
                <c:pt idx="108">
                  <c:v>0.12047155843943436</c:v>
                </c:pt>
                <c:pt idx="109">
                  <c:v>0.12191825966065617</c:v>
                </c:pt>
                <c:pt idx="110">
                  <c:v>0.12337154662027185</c:v>
                </c:pt>
                <c:pt idx="111">
                  <c:v>0.12483141931828132</c:v>
                </c:pt>
                <c:pt idx="112">
                  <c:v>0.1262978777546846</c:v>
                </c:pt>
                <c:pt idx="113">
                  <c:v>0.12777092192948164</c:v>
                </c:pt>
                <c:pt idx="114">
                  <c:v>0.12925055184267253</c:v>
                </c:pt>
                <c:pt idx="115">
                  <c:v>0.13073676749425722</c:v>
                </c:pt>
                <c:pt idx="116">
                  <c:v>0.1322295688842357</c:v>
                </c:pt>
                <c:pt idx="117">
                  <c:v>0.13372895601260798</c:v>
                </c:pt>
                <c:pt idx="118">
                  <c:v>0.13523492887937411</c:v>
                </c:pt>
                <c:pt idx="119">
                  <c:v>0.13674748748453405</c:v>
                </c:pt>
                <c:pt idx="120">
                  <c:v>0.13826663182808779</c:v>
                </c:pt>
                <c:pt idx="121">
                  <c:v>0.13979236191003536</c:v>
                </c:pt>
                <c:pt idx="122">
                  <c:v>0.14132467773037669</c:v>
                </c:pt>
                <c:pt idx="123">
                  <c:v>0.14286357928911181</c:v>
                </c:pt>
                <c:pt idx="124">
                  <c:v>0.14440906658624078</c:v>
                </c:pt>
                <c:pt idx="125">
                  <c:v>0.14596113962176355</c:v>
                </c:pt>
                <c:pt idx="126">
                  <c:v>0.14751979839568016</c:v>
                </c:pt>
                <c:pt idx="127">
                  <c:v>0.14908504290799049</c:v>
                </c:pt>
                <c:pt idx="128">
                  <c:v>0.15065687315869472</c:v>
                </c:pt>
                <c:pt idx="129">
                  <c:v>0.15223528914779272</c:v>
                </c:pt>
                <c:pt idx="130">
                  <c:v>0.15382029087528451</c:v>
                </c:pt>
                <c:pt idx="131">
                  <c:v>0.15541187834117015</c:v>
                </c:pt>
                <c:pt idx="132">
                  <c:v>0.15701005154544956</c:v>
                </c:pt>
                <c:pt idx="133">
                  <c:v>0.15861481048812281</c:v>
                </c:pt>
                <c:pt idx="134">
                  <c:v>0.16022615516918987</c:v>
                </c:pt>
                <c:pt idx="135">
                  <c:v>0.16184408558865071</c:v>
                </c:pt>
                <c:pt idx="136">
                  <c:v>0.16346860174650535</c:v>
                </c:pt>
                <c:pt idx="137">
                  <c:v>0.16509970364275384</c:v>
                </c:pt>
                <c:pt idx="138">
                  <c:v>0.16673739127739612</c:v>
                </c:pt>
                <c:pt idx="139">
                  <c:v>0.16838166465043219</c:v>
                </c:pt>
                <c:pt idx="140">
                  <c:v>0.17003252376186209</c:v>
                </c:pt>
                <c:pt idx="141">
                  <c:v>0.17168996861168573</c:v>
                </c:pt>
                <c:pt idx="142">
                  <c:v>0.17335399919990319</c:v>
                </c:pt>
                <c:pt idx="143">
                  <c:v>0.17502461552651455</c:v>
                </c:pt>
                <c:pt idx="144">
                  <c:v>0.17670181759151971</c:v>
                </c:pt>
                <c:pt idx="145">
                  <c:v>0.17838560539491857</c:v>
                </c:pt>
                <c:pt idx="146">
                  <c:v>0.18007597893671137</c:v>
                </c:pt>
                <c:pt idx="147">
                  <c:v>0.18177293821689791</c:v>
                </c:pt>
                <c:pt idx="148">
                  <c:v>0.18347648323547824</c:v>
                </c:pt>
                <c:pt idx="149">
                  <c:v>0.1851866139924524</c:v>
                </c:pt>
                <c:pt idx="150">
                  <c:v>0.18690333048782037</c:v>
                </c:pt>
              </c:numCache>
            </c:numRef>
          </c:yVal>
          <c:smooth val="1"/>
          <c:extLst>
            <c:ext xmlns:c16="http://schemas.microsoft.com/office/drawing/2014/chart" uri="{C3380CC4-5D6E-409C-BE32-E72D297353CC}">
              <c16:uniqueId val="{00000001-C391-4527-8BBE-DDCDE94A24A4}"/>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Eff_vs_IOUT!$BU$7:$BU$157</c:f>
              <c:numCache>
                <c:formatCode>General</c:formatCode>
                <c:ptCount val="151"/>
                <c:pt idx="0">
                  <c:v>0</c:v>
                </c:pt>
                <c:pt idx="1">
                  <c:v>7.2925980685706084E-6</c:v>
                </c:pt>
                <c:pt idx="2">
                  <c:v>2.0626582187016798E-5</c:v>
                </c:pt>
                <c:pt idx="3">
                  <c:v>3.7893451121828883E-5</c:v>
                </c:pt>
                <c:pt idx="4">
                  <c:v>5.8340784548564888E-5</c:v>
                </c:pt>
                <c:pt idx="5">
                  <c:v>8.1533725069537797E-5</c:v>
                </c:pt>
                <c:pt idx="6">
                  <c:v>1.0717886500322474E-4</c:v>
                </c:pt>
                <c:pt idx="7">
                  <c:v>1.3506080630691465E-4</c:v>
                </c:pt>
                <c:pt idx="8">
                  <c:v>1.6501265749613439E-4</c:v>
                </c:pt>
                <c:pt idx="9">
                  <c:v>1.9690014785140648E-4</c:v>
                </c:pt>
                <c:pt idx="10">
                  <c:v>2.3061219956827911E-4</c:v>
                </c:pt>
                <c:pt idx="11">
                  <c:v>2.6605492694351115E-4</c:v>
                </c:pt>
                <c:pt idx="12">
                  <c:v>3.0314760897463101E-4</c:v>
                </c:pt>
                <c:pt idx="13">
                  <c:v>3.4181987147855283E-4</c:v>
                </c:pt>
                <c:pt idx="14">
                  <c:v>3.8200964804856852E-4</c:v>
                </c:pt>
                <c:pt idx="15">
                  <c:v>4.2366166305237519E-4</c:v>
                </c:pt>
                <c:pt idx="16">
                  <c:v>4.6672627638851894E-4</c:v>
                </c:pt>
                <c:pt idx="17">
                  <c:v>5.1115858607216384E-4</c:v>
                </c:pt>
                <c:pt idx="18">
                  <c:v>5.5691771904945332E-4</c:v>
                </c:pt>
                <c:pt idx="19">
                  <c:v>6.039662623184243E-4</c:v>
                </c:pt>
                <c:pt idx="20">
                  <c:v>6.5226980055630248E-4</c:v>
                </c:pt>
                <c:pt idx="21">
                  <c:v>7.0179653590438519E-4</c:v>
                </c:pt>
                <c:pt idx="22">
                  <c:v>7.5251697203939272E-4</c:v>
                </c:pt>
                <c:pt idx="23">
                  <c:v>8.0440364919430907E-4</c:v>
                </c:pt>
                <c:pt idx="24">
                  <c:v>8.574309200257978E-4</c:v>
                </c:pt>
                <c:pt idx="25">
                  <c:v>9.1157475857132583E-4</c:v>
                </c:pt>
                <c:pt idx="26">
                  <c:v>9.6681259626719518E-4</c:v>
                </c:pt>
                <c:pt idx="27">
                  <c:v>1.0231231802893806E-3</c:v>
                </c:pt>
                <c:pt idx="28">
                  <c:v>1.0804864504553168E-3</c:v>
                </c:pt>
                <c:pt idx="29">
                  <c:v>1.1388834316718619E-3</c:v>
                </c:pt>
                <c:pt idx="30">
                  <c:v>1.1982961394924193E-3</c:v>
                </c:pt>
                <c:pt idx="31">
                  <c:v>1.2587074967975453E-3</c:v>
                </c:pt>
                <c:pt idx="32">
                  <c:v>1.3201012599690751E-3</c:v>
                </c:pt>
                <c:pt idx="33">
                  <c:v>1.3824619532105612E-3</c:v>
                </c:pt>
                <c:pt idx="34">
                  <c:v>1.4457748098934179E-3</c:v>
                </c:pt>
                <c:pt idx="35">
                  <c:v>1.5100257199909663E-3</c:v>
                </c:pt>
                <c:pt idx="36">
                  <c:v>1.5752011828112514E-3</c:v>
                </c:pt>
                <c:pt idx="37">
                  <c:v>1.6412882643609794E-3</c:v>
                </c:pt>
                <c:pt idx="38">
                  <c:v>1.7082745587730052E-3</c:v>
                </c:pt>
                <c:pt idx="39">
                  <c:v>1.7761481533125516E-3</c:v>
                </c:pt>
                <c:pt idx="40">
                  <c:v>1.8448975965462326E-3</c:v>
                </c:pt>
                <c:pt idx="41">
                  <c:v>1.9145118693155395E-3</c:v>
                </c:pt>
                <c:pt idx="42">
                  <c:v>1.9849803582048763E-3</c:v>
                </c:pt>
                <c:pt idx="43">
                  <c:v>2.0562928312350972E-3</c:v>
                </c:pt>
                <c:pt idx="44">
                  <c:v>2.1284394155480892E-3</c:v>
                </c:pt>
                <c:pt idx="45">
                  <c:v>2.2014105768775206E-3</c:v>
                </c:pt>
                <c:pt idx="46">
                  <c:v>2.275197100626002E-3</c:v>
                </c:pt>
                <c:pt idx="47">
                  <c:v>2.3497900743905784E-3</c:v>
                </c:pt>
                <c:pt idx="48">
                  <c:v>2.4251808717970485E-3</c:v>
                </c:pt>
                <c:pt idx="49">
                  <c:v>2.5013611375197201E-3</c:v>
                </c:pt>
                <c:pt idx="50">
                  <c:v>2.578322773377099E-3</c:v>
                </c:pt>
                <c:pt idx="51">
                  <c:v>2.6560579254061687E-3</c:v>
                </c:pt>
                <c:pt idx="52">
                  <c:v>2.7345589718284226E-3</c:v>
                </c:pt>
                <c:pt idx="53">
                  <c:v>2.8140580017313498E-3</c:v>
                </c:pt>
                <c:pt idx="54">
                  <c:v>2.8950550141609421E-3</c:v>
                </c:pt>
                <c:pt idx="55">
                  <c:v>2.9775659894396862E-3</c:v>
                </c:pt>
                <c:pt idx="56">
                  <c:v>3.0615909275675773E-3</c:v>
                </c:pt>
                <c:pt idx="57">
                  <c:v>3.1471298285446233E-3</c:v>
                </c:pt>
                <c:pt idx="58">
                  <c:v>3.2341826923708186E-3</c:v>
                </c:pt>
                <c:pt idx="59">
                  <c:v>3.3227495190461648E-3</c:v>
                </c:pt>
                <c:pt idx="60">
                  <c:v>3.4128303085706651E-3</c:v>
                </c:pt>
                <c:pt idx="61">
                  <c:v>3.5044250609443128E-3</c:v>
                </c:pt>
                <c:pt idx="62">
                  <c:v>3.5975337761671145E-3</c:v>
                </c:pt>
                <c:pt idx="63">
                  <c:v>3.6921564542390681E-3</c:v>
                </c:pt>
                <c:pt idx="64">
                  <c:v>3.78829309516017E-3</c:v>
                </c:pt>
                <c:pt idx="65">
                  <c:v>3.885943698930425E-3</c:v>
                </c:pt>
                <c:pt idx="66">
                  <c:v>3.9851082655498306E-3</c:v>
                </c:pt>
                <c:pt idx="67">
                  <c:v>4.085786795018388E-3</c:v>
                </c:pt>
                <c:pt idx="68">
                  <c:v>4.1879792873360982E-3</c:v>
                </c:pt>
                <c:pt idx="69">
                  <c:v>4.291685742502954E-3</c:v>
                </c:pt>
                <c:pt idx="70">
                  <c:v>4.3969061605189678E-3</c:v>
                </c:pt>
                <c:pt idx="71">
                  <c:v>4.5036405413841265E-3</c:v>
                </c:pt>
                <c:pt idx="72">
                  <c:v>4.6118888850984422E-3</c:v>
                </c:pt>
                <c:pt idx="73">
                  <c:v>4.7216511916619054E-3</c:v>
                </c:pt>
                <c:pt idx="74">
                  <c:v>4.8329274610745213E-3</c:v>
                </c:pt>
                <c:pt idx="75">
                  <c:v>4.9457176933362882E-3</c:v>
                </c:pt>
                <c:pt idx="76">
                  <c:v>5.0600218884472069E-3</c:v>
                </c:pt>
                <c:pt idx="77">
                  <c:v>5.1758400464072766E-3</c:v>
                </c:pt>
                <c:pt idx="78">
                  <c:v>5.2931721672164972E-3</c:v>
                </c:pt>
                <c:pt idx="79">
                  <c:v>5.4120182508748697E-3</c:v>
                </c:pt>
                <c:pt idx="80">
                  <c:v>5.5323782973823897E-3</c:v>
                </c:pt>
                <c:pt idx="81">
                  <c:v>5.6542523067390684E-3</c:v>
                </c:pt>
                <c:pt idx="82">
                  <c:v>5.7776402789448955E-3</c:v>
                </c:pt>
                <c:pt idx="83">
                  <c:v>5.9025422139998684E-3</c:v>
                </c:pt>
                <c:pt idx="84">
                  <c:v>6.0289581119039939E-3</c:v>
                </c:pt>
                <c:pt idx="85">
                  <c:v>6.1568879726572765E-3</c:v>
                </c:pt>
                <c:pt idx="86">
                  <c:v>6.2863317962597075E-3</c:v>
                </c:pt>
                <c:pt idx="87">
                  <c:v>6.4172895827112868E-3</c:v>
                </c:pt>
                <c:pt idx="88">
                  <c:v>6.5497613320120206E-3</c:v>
                </c:pt>
                <c:pt idx="89">
                  <c:v>6.6837470441619027E-3</c:v>
                </c:pt>
                <c:pt idx="90">
                  <c:v>6.8192467191609428E-3</c:v>
                </c:pt>
                <c:pt idx="91">
                  <c:v>6.9562603570091286E-3</c:v>
                </c:pt>
                <c:pt idx="92">
                  <c:v>7.0947879577064671E-3</c:v>
                </c:pt>
                <c:pt idx="93">
                  <c:v>7.2348295212529548E-3</c:v>
                </c:pt>
                <c:pt idx="94">
                  <c:v>7.3763850476485961E-3</c:v>
                </c:pt>
                <c:pt idx="95">
                  <c:v>7.5194545368933901E-3</c:v>
                </c:pt>
                <c:pt idx="96">
                  <c:v>7.6640379889873298E-3</c:v>
                </c:pt>
                <c:pt idx="97">
                  <c:v>7.8101354039304188E-3</c:v>
                </c:pt>
                <c:pt idx="98">
                  <c:v>7.9577467817226709E-3</c:v>
                </c:pt>
                <c:pt idx="99">
                  <c:v>8.1068721223640644E-3</c:v>
                </c:pt>
                <c:pt idx="100">
                  <c:v>8.2575114258546106E-3</c:v>
                </c:pt>
                <c:pt idx="101">
                  <c:v>8.409664692194313E-3</c:v>
                </c:pt>
                <c:pt idx="102">
                  <c:v>8.5633319213831629E-3</c:v>
                </c:pt>
                <c:pt idx="103">
                  <c:v>8.7185131134211637E-3</c:v>
                </c:pt>
                <c:pt idx="104">
                  <c:v>8.8752082683083156E-3</c:v>
                </c:pt>
                <c:pt idx="105">
                  <c:v>9.0334173860446253E-3</c:v>
                </c:pt>
                <c:pt idx="106">
                  <c:v>9.1931404666300807E-3</c:v>
                </c:pt>
                <c:pt idx="107">
                  <c:v>9.3543775100646837E-3</c:v>
                </c:pt>
                <c:pt idx="108">
                  <c:v>9.5171285163484463E-3</c:v>
                </c:pt>
                <c:pt idx="109">
                  <c:v>9.6813934854813512E-3</c:v>
                </c:pt>
                <c:pt idx="110">
                  <c:v>9.8471724174634141E-3</c:v>
                </c:pt>
                <c:pt idx="111">
                  <c:v>1.0014465312294628E-2</c:v>
                </c:pt>
                <c:pt idx="112">
                  <c:v>1.0183272169974991E-2</c:v>
                </c:pt>
                <c:pt idx="113">
                  <c:v>1.03535929905045E-2</c:v>
                </c:pt>
                <c:pt idx="114">
                  <c:v>1.0525427773883165E-2</c:v>
                </c:pt>
                <c:pt idx="115">
                  <c:v>1.0698776520110982E-2</c:v>
                </c:pt>
                <c:pt idx="116">
                  <c:v>1.0873639229187944E-2</c:v>
                </c:pt>
                <c:pt idx="117">
                  <c:v>1.1050015901114062E-2</c:v>
                </c:pt>
                <c:pt idx="118">
                  <c:v>1.1227906535889334E-2</c:v>
                </c:pt>
                <c:pt idx="119">
                  <c:v>1.1407311133513759E-2</c:v>
                </c:pt>
                <c:pt idx="120">
                  <c:v>1.1588229693987335E-2</c:v>
                </c:pt>
                <c:pt idx="121">
                  <c:v>1.1770662217310057E-2</c:v>
                </c:pt>
                <c:pt idx="122">
                  <c:v>1.1954608703481929E-2</c:v>
                </c:pt>
                <c:pt idx="123">
                  <c:v>1.2140069152502955E-2</c:v>
                </c:pt>
                <c:pt idx="124">
                  <c:v>1.2327043564373133E-2</c:v>
                </c:pt>
                <c:pt idx="125">
                  <c:v>1.2515531939092462E-2</c:v>
                </c:pt>
                <c:pt idx="126">
                  <c:v>1.2705534276660947E-2</c:v>
                </c:pt>
                <c:pt idx="127">
                  <c:v>1.2897050577078569E-2</c:v>
                </c:pt>
                <c:pt idx="128">
                  <c:v>1.3090080840345355E-2</c:v>
                </c:pt>
                <c:pt idx="129">
                  <c:v>1.3284625066461284E-2</c:v>
                </c:pt>
                <c:pt idx="130">
                  <c:v>1.3480683255426371E-2</c:v>
                </c:pt>
                <c:pt idx="131">
                  <c:v>1.3678255407240613E-2</c:v>
                </c:pt>
                <c:pt idx="132">
                  <c:v>1.3877341521903997E-2</c:v>
                </c:pt>
                <c:pt idx="133">
                  <c:v>1.4077941599416536E-2</c:v>
                </c:pt>
                <c:pt idx="134">
                  <c:v>1.4280055639778225E-2</c:v>
                </c:pt>
                <c:pt idx="135">
                  <c:v>1.4483683642989069E-2</c:v>
                </c:pt>
                <c:pt idx="136">
                  <c:v>1.4688825609049062E-2</c:v>
                </c:pt>
                <c:pt idx="137">
                  <c:v>1.4895481537958201E-2</c:v>
                </c:pt>
                <c:pt idx="138">
                  <c:v>1.5103651429716498E-2</c:v>
                </c:pt>
                <c:pt idx="139">
                  <c:v>1.5313335284323947E-2</c:v>
                </c:pt>
                <c:pt idx="140">
                  <c:v>1.5524533101780546E-2</c:v>
                </c:pt>
                <c:pt idx="141">
                  <c:v>1.5737244882086283E-2</c:v>
                </c:pt>
                <c:pt idx="142">
                  <c:v>1.5951470625241177E-2</c:v>
                </c:pt>
                <c:pt idx="143">
                  <c:v>1.6167210331245237E-2</c:v>
                </c:pt>
                <c:pt idx="144">
                  <c:v>1.6384464000098443E-2</c:v>
                </c:pt>
                <c:pt idx="145">
                  <c:v>1.6603231631800785E-2</c:v>
                </c:pt>
                <c:pt idx="146">
                  <c:v>1.68235132263523E-2</c:v>
                </c:pt>
                <c:pt idx="147">
                  <c:v>1.7045308783752957E-2</c:v>
                </c:pt>
                <c:pt idx="148">
                  <c:v>1.726861830400276E-2</c:v>
                </c:pt>
                <c:pt idx="149">
                  <c:v>1.7493441787101716E-2</c:v>
                </c:pt>
                <c:pt idx="150">
                  <c:v>1.7719779233049831E-2</c:v>
                </c:pt>
              </c:numCache>
            </c:numRef>
          </c:yVal>
          <c:smooth val="1"/>
          <c:extLst>
            <c:ext xmlns:c16="http://schemas.microsoft.com/office/drawing/2014/chart" uri="{C3380CC4-5D6E-409C-BE32-E72D297353CC}">
              <c16:uniqueId val="{00000002-C391-4527-8BBE-DDCDE94A24A4}"/>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Eff_vs_IOUT!$AY$8:$AY$157</c:f>
              <c:numCache>
                <c:formatCode>General</c:formatCode>
                <c:ptCount val="150"/>
                <c:pt idx="0">
                  <c:v>0.110428</c:v>
                </c:pt>
                <c:pt idx="1">
                  <c:v>0.111428</c:v>
                </c:pt>
                <c:pt idx="2">
                  <c:v>0.112428</c:v>
                </c:pt>
                <c:pt idx="3">
                  <c:v>0.113428</c:v>
                </c:pt>
                <c:pt idx="4">
                  <c:v>0.114428</c:v>
                </c:pt>
                <c:pt idx="5">
                  <c:v>0.115428</c:v>
                </c:pt>
                <c:pt idx="6">
                  <c:v>0.116428</c:v>
                </c:pt>
                <c:pt idx="7">
                  <c:v>0.117428</c:v>
                </c:pt>
                <c:pt idx="8">
                  <c:v>0.11842799999999999</c:v>
                </c:pt>
                <c:pt idx="9">
                  <c:v>0.11942799999999999</c:v>
                </c:pt>
                <c:pt idx="10">
                  <c:v>0.12042799999999999</c:v>
                </c:pt>
                <c:pt idx="11">
                  <c:v>0.12142799999999999</c:v>
                </c:pt>
                <c:pt idx="12">
                  <c:v>0.122428</c:v>
                </c:pt>
                <c:pt idx="13">
                  <c:v>0.123428</c:v>
                </c:pt>
                <c:pt idx="14">
                  <c:v>0.124428</c:v>
                </c:pt>
                <c:pt idx="15">
                  <c:v>0.12542799999999998</c:v>
                </c:pt>
                <c:pt idx="16">
                  <c:v>0.12642799999999998</c:v>
                </c:pt>
                <c:pt idx="17">
                  <c:v>0.12742799999999999</c:v>
                </c:pt>
                <c:pt idx="18">
                  <c:v>0.12842799999999999</c:v>
                </c:pt>
                <c:pt idx="19">
                  <c:v>0.12942799999999999</c:v>
                </c:pt>
                <c:pt idx="20">
                  <c:v>0.13042799999999999</c:v>
                </c:pt>
                <c:pt idx="21">
                  <c:v>0.13142799999999999</c:v>
                </c:pt>
                <c:pt idx="22">
                  <c:v>0.13242799999999999</c:v>
                </c:pt>
                <c:pt idx="23">
                  <c:v>0.13342799999999999</c:v>
                </c:pt>
                <c:pt idx="24">
                  <c:v>0.13442799999999999</c:v>
                </c:pt>
                <c:pt idx="25">
                  <c:v>0.13542799999999999</c:v>
                </c:pt>
                <c:pt idx="26">
                  <c:v>0.13642799999999999</c:v>
                </c:pt>
                <c:pt idx="27">
                  <c:v>0.13742799999999999</c:v>
                </c:pt>
                <c:pt idx="28">
                  <c:v>0.138428</c:v>
                </c:pt>
                <c:pt idx="29">
                  <c:v>0.139428</c:v>
                </c:pt>
                <c:pt idx="30">
                  <c:v>0.140428</c:v>
                </c:pt>
                <c:pt idx="31">
                  <c:v>0.141428</c:v>
                </c:pt>
                <c:pt idx="32">
                  <c:v>0.142428</c:v>
                </c:pt>
                <c:pt idx="33">
                  <c:v>0.143428</c:v>
                </c:pt>
                <c:pt idx="34">
                  <c:v>0.144428</c:v>
                </c:pt>
                <c:pt idx="35">
                  <c:v>0.145428</c:v>
                </c:pt>
                <c:pt idx="36">
                  <c:v>0.146428</c:v>
                </c:pt>
                <c:pt idx="37">
                  <c:v>0.147428</c:v>
                </c:pt>
                <c:pt idx="38">
                  <c:v>0.148428</c:v>
                </c:pt>
                <c:pt idx="39">
                  <c:v>0.14942800000000001</c:v>
                </c:pt>
                <c:pt idx="40">
                  <c:v>0.15042800000000001</c:v>
                </c:pt>
                <c:pt idx="41">
                  <c:v>0.15142800000000001</c:v>
                </c:pt>
                <c:pt idx="42">
                  <c:v>0.15242800000000001</c:v>
                </c:pt>
                <c:pt idx="43">
                  <c:v>0.15342800000000001</c:v>
                </c:pt>
                <c:pt idx="44">
                  <c:v>0.15442800000000001</c:v>
                </c:pt>
                <c:pt idx="45">
                  <c:v>0.15542800000000001</c:v>
                </c:pt>
                <c:pt idx="46">
                  <c:v>0.15642800000000001</c:v>
                </c:pt>
                <c:pt idx="47">
                  <c:v>0.15742800000000001</c:v>
                </c:pt>
                <c:pt idx="48">
                  <c:v>0.15842799999999999</c:v>
                </c:pt>
                <c:pt idx="49">
                  <c:v>0.15942799999999999</c:v>
                </c:pt>
                <c:pt idx="50">
                  <c:v>0.16042800000000002</c:v>
                </c:pt>
                <c:pt idx="51">
                  <c:v>0.16142799999999999</c:v>
                </c:pt>
                <c:pt idx="52">
                  <c:v>0.16242799999999999</c:v>
                </c:pt>
                <c:pt idx="53">
                  <c:v>0.16342800000000002</c:v>
                </c:pt>
                <c:pt idx="54">
                  <c:v>0.16442799999999999</c:v>
                </c:pt>
                <c:pt idx="55">
                  <c:v>0.16542799999999999</c:v>
                </c:pt>
                <c:pt idx="56">
                  <c:v>0.16642800000000002</c:v>
                </c:pt>
                <c:pt idx="57">
                  <c:v>0.16742799999999999</c:v>
                </c:pt>
                <c:pt idx="58">
                  <c:v>0.16842799999999999</c:v>
                </c:pt>
                <c:pt idx="59">
                  <c:v>0.169428</c:v>
                </c:pt>
                <c:pt idx="60">
                  <c:v>0.170428</c:v>
                </c:pt>
                <c:pt idx="61">
                  <c:v>0.171428</c:v>
                </c:pt>
                <c:pt idx="62">
                  <c:v>0.172428</c:v>
                </c:pt>
                <c:pt idx="63">
                  <c:v>0.173428</c:v>
                </c:pt>
                <c:pt idx="64">
                  <c:v>0.174428</c:v>
                </c:pt>
                <c:pt idx="65">
                  <c:v>0.175428</c:v>
                </c:pt>
                <c:pt idx="66">
                  <c:v>0.176428</c:v>
                </c:pt>
                <c:pt idx="67">
                  <c:v>0.177428</c:v>
                </c:pt>
                <c:pt idx="68">
                  <c:v>0.178428</c:v>
                </c:pt>
                <c:pt idx="69">
                  <c:v>0.179428</c:v>
                </c:pt>
                <c:pt idx="70">
                  <c:v>0.18042799999999998</c:v>
                </c:pt>
                <c:pt idx="71">
                  <c:v>0.18142799999999998</c:v>
                </c:pt>
                <c:pt idx="72">
                  <c:v>0.18242799999999998</c:v>
                </c:pt>
                <c:pt idx="73">
                  <c:v>0.18342799999999998</c:v>
                </c:pt>
                <c:pt idx="74">
                  <c:v>0.18442799999999998</c:v>
                </c:pt>
                <c:pt idx="75">
                  <c:v>0.18542799999999998</c:v>
                </c:pt>
                <c:pt idx="76">
                  <c:v>0.18642799999999998</c:v>
                </c:pt>
                <c:pt idx="77">
                  <c:v>0.18742799999999998</c:v>
                </c:pt>
                <c:pt idx="78">
                  <c:v>0.18842799999999998</c:v>
                </c:pt>
                <c:pt idx="79">
                  <c:v>0.18942799999999999</c:v>
                </c:pt>
                <c:pt idx="80">
                  <c:v>0.19042799999999999</c:v>
                </c:pt>
                <c:pt idx="81">
                  <c:v>0.19142799999999999</c:v>
                </c:pt>
                <c:pt idx="82">
                  <c:v>0.19242799999999999</c:v>
                </c:pt>
                <c:pt idx="83">
                  <c:v>0.19342799999999999</c:v>
                </c:pt>
                <c:pt idx="84">
                  <c:v>0.19442799999999999</c:v>
                </c:pt>
                <c:pt idx="85">
                  <c:v>0.19542799999999999</c:v>
                </c:pt>
                <c:pt idx="86">
                  <c:v>0.19642799999999999</c:v>
                </c:pt>
                <c:pt idx="87">
                  <c:v>0.19742799999999999</c:v>
                </c:pt>
                <c:pt idx="88">
                  <c:v>0.19842799999999999</c:v>
                </c:pt>
                <c:pt idx="89">
                  <c:v>0.19942799999999999</c:v>
                </c:pt>
                <c:pt idx="90">
                  <c:v>0.200428</c:v>
                </c:pt>
                <c:pt idx="91">
                  <c:v>0.201428</c:v>
                </c:pt>
                <c:pt idx="92">
                  <c:v>0.202428</c:v>
                </c:pt>
                <c:pt idx="93">
                  <c:v>0.203428</c:v>
                </c:pt>
                <c:pt idx="94">
                  <c:v>0.204428</c:v>
                </c:pt>
                <c:pt idx="95">
                  <c:v>0.205428</c:v>
                </c:pt>
                <c:pt idx="96">
                  <c:v>0.206428</c:v>
                </c:pt>
                <c:pt idx="97">
                  <c:v>0.207428</c:v>
                </c:pt>
                <c:pt idx="98">
                  <c:v>0.208428</c:v>
                </c:pt>
                <c:pt idx="99">
                  <c:v>0.209428</c:v>
                </c:pt>
                <c:pt idx="100">
                  <c:v>0.210428</c:v>
                </c:pt>
                <c:pt idx="101">
                  <c:v>0.211428</c:v>
                </c:pt>
                <c:pt idx="102">
                  <c:v>0.21242800000000001</c:v>
                </c:pt>
                <c:pt idx="103">
                  <c:v>0.21342800000000001</c:v>
                </c:pt>
                <c:pt idx="104">
                  <c:v>0.21442800000000001</c:v>
                </c:pt>
                <c:pt idx="105">
                  <c:v>0.21542800000000001</c:v>
                </c:pt>
                <c:pt idx="106">
                  <c:v>0.21642800000000001</c:v>
                </c:pt>
                <c:pt idx="107">
                  <c:v>0.21742800000000001</c:v>
                </c:pt>
                <c:pt idx="108">
                  <c:v>0.21842800000000001</c:v>
                </c:pt>
                <c:pt idx="109">
                  <c:v>0.21942800000000001</c:v>
                </c:pt>
                <c:pt idx="110">
                  <c:v>0.22042800000000001</c:v>
                </c:pt>
                <c:pt idx="111">
                  <c:v>0.22142800000000001</c:v>
                </c:pt>
                <c:pt idx="112">
                  <c:v>0.22242800000000001</c:v>
                </c:pt>
                <c:pt idx="113">
                  <c:v>0.22342800000000002</c:v>
                </c:pt>
                <c:pt idx="114">
                  <c:v>0.22442800000000002</c:v>
                </c:pt>
                <c:pt idx="115">
                  <c:v>0.22542799999999999</c:v>
                </c:pt>
                <c:pt idx="116">
                  <c:v>0.22642799999999996</c:v>
                </c:pt>
                <c:pt idx="117">
                  <c:v>0.22742799999999999</c:v>
                </c:pt>
                <c:pt idx="118">
                  <c:v>0.22842799999999999</c:v>
                </c:pt>
                <c:pt idx="119">
                  <c:v>0.22942799999999997</c:v>
                </c:pt>
                <c:pt idx="120">
                  <c:v>0.23042799999999999</c:v>
                </c:pt>
                <c:pt idx="121">
                  <c:v>0.23142799999999999</c:v>
                </c:pt>
                <c:pt idx="122">
                  <c:v>0.23242799999999997</c:v>
                </c:pt>
                <c:pt idx="123">
                  <c:v>0.233428</c:v>
                </c:pt>
                <c:pt idx="124">
                  <c:v>0.234428</c:v>
                </c:pt>
                <c:pt idx="125">
                  <c:v>0.235428</c:v>
                </c:pt>
                <c:pt idx="126">
                  <c:v>0.236428</c:v>
                </c:pt>
                <c:pt idx="127">
                  <c:v>0.237428</c:v>
                </c:pt>
                <c:pt idx="128">
                  <c:v>0.238428</c:v>
                </c:pt>
                <c:pt idx="129">
                  <c:v>0.239428</c:v>
                </c:pt>
                <c:pt idx="130">
                  <c:v>0.240428</c:v>
                </c:pt>
                <c:pt idx="131">
                  <c:v>0.241428</c:v>
                </c:pt>
                <c:pt idx="132">
                  <c:v>0.242428</c:v>
                </c:pt>
                <c:pt idx="133">
                  <c:v>0.24342800000000001</c:v>
                </c:pt>
                <c:pt idx="134">
                  <c:v>0.24442800000000001</c:v>
                </c:pt>
                <c:pt idx="135">
                  <c:v>0.24542800000000001</c:v>
                </c:pt>
                <c:pt idx="136">
                  <c:v>0.24642800000000001</c:v>
                </c:pt>
                <c:pt idx="137">
                  <c:v>0.24742800000000001</c:v>
                </c:pt>
                <c:pt idx="138">
                  <c:v>0.24842800000000001</c:v>
                </c:pt>
                <c:pt idx="139">
                  <c:v>0.24942800000000001</c:v>
                </c:pt>
                <c:pt idx="140">
                  <c:v>0.25042799999999998</c:v>
                </c:pt>
                <c:pt idx="141">
                  <c:v>0.25142799999999998</c:v>
                </c:pt>
                <c:pt idx="142">
                  <c:v>0.25242799999999999</c:v>
                </c:pt>
                <c:pt idx="143">
                  <c:v>0.25342799999999999</c:v>
                </c:pt>
                <c:pt idx="144">
                  <c:v>0.25442799999999999</c:v>
                </c:pt>
                <c:pt idx="145">
                  <c:v>0.25542799999999999</c:v>
                </c:pt>
                <c:pt idx="146">
                  <c:v>0.25642799999999999</c:v>
                </c:pt>
                <c:pt idx="147">
                  <c:v>0.25742799999999999</c:v>
                </c:pt>
                <c:pt idx="148">
                  <c:v>0.25842799999999999</c:v>
                </c:pt>
                <c:pt idx="149">
                  <c:v>0.25942799999999999</c:v>
                </c:pt>
              </c:numCache>
            </c:numRef>
          </c:yVal>
          <c:smooth val="1"/>
          <c:extLst>
            <c:ext xmlns:c16="http://schemas.microsoft.com/office/drawing/2014/chart" uri="{C3380CC4-5D6E-409C-BE32-E72D297353CC}">
              <c16:uniqueId val="{00000003-C391-4527-8BBE-DDCDE94A24A4}"/>
            </c:ext>
          </c:extLst>
        </c:ser>
        <c:ser>
          <c:idx val="4"/>
          <c:order val="4"/>
          <c:tx>
            <c:v>D2</c:v>
          </c:tx>
          <c:marker>
            <c:symbol val="none"/>
          </c:marker>
          <c:xVal>
            <c:numRef>
              <c:f>Eff_vs_IOUT!$R$8:$R$157</c:f>
              <c:numCache>
                <c:formatCode>General</c:formatCode>
                <c:ptCount val="150"/>
                <c:pt idx="0">
                  <c:v>0.16216666666666668</c:v>
                </c:pt>
                <c:pt idx="1">
                  <c:v>0.32433333333333336</c:v>
                </c:pt>
                <c:pt idx="2">
                  <c:v>0.48649999999999999</c:v>
                </c:pt>
                <c:pt idx="3">
                  <c:v>0.64866666666666672</c:v>
                </c:pt>
                <c:pt idx="4">
                  <c:v>0.81083333333333341</c:v>
                </c:pt>
                <c:pt idx="5">
                  <c:v>0.97299999999999998</c:v>
                </c:pt>
                <c:pt idx="6">
                  <c:v>1.1351666666666669</c:v>
                </c:pt>
                <c:pt idx="7">
                  <c:v>1.2973333333333334</c:v>
                </c:pt>
                <c:pt idx="8">
                  <c:v>1.4595</c:v>
                </c:pt>
                <c:pt idx="9">
                  <c:v>1.6216666666666668</c:v>
                </c:pt>
                <c:pt idx="10">
                  <c:v>1.7838333333333334</c:v>
                </c:pt>
                <c:pt idx="11">
                  <c:v>1.946</c:v>
                </c:pt>
                <c:pt idx="12">
                  <c:v>2.1081666666666665</c:v>
                </c:pt>
                <c:pt idx="13">
                  <c:v>2.2703333333333338</c:v>
                </c:pt>
                <c:pt idx="14">
                  <c:v>2.4325000000000001</c:v>
                </c:pt>
                <c:pt idx="15">
                  <c:v>2.5946666666666669</c:v>
                </c:pt>
                <c:pt idx="16">
                  <c:v>2.7568333333333337</c:v>
                </c:pt>
                <c:pt idx="17">
                  <c:v>2.919</c:v>
                </c:pt>
                <c:pt idx="18">
                  <c:v>3.0811666666666668</c:v>
                </c:pt>
                <c:pt idx="19">
                  <c:v>3.2433333333333336</c:v>
                </c:pt>
                <c:pt idx="20">
                  <c:v>3.4055</c:v>
                </c:pt>
                <c:pt idx="21">
                  <c:v>3.5676666666666668</c:v>
                </c:pt>
                <c:pt idx="22">
                  <c:v>3.7298333333333336</c:v>
                </c:pt>
                <c:pt idx="23">
                  <c:v>3.8919999999999999</c:v>
                </c:pt>
                <c:pt idx="24">
                  <c:v>4.0541666666666663</c:v>
                </c:pt>
                <c:pt idx="25">
                  <c:v>4.216333333333333</c:v>
                </c:pt>
                <c:pt idx="26">
                  <c:v>4.3785000000000007</c:v>
                </c:pt>
                <c:pt idx="27">
                  <c:v>4.5406666666666675</c:v>
                </c:pt>
                <c:pt idx="28">
                  <c:v>4.7028333333333334</c:v>
                </c:pt>
                <c:pt idx="29">
                  <c:v>4.8650000000000002</c:v>
                </c:pt>
                <c:pt idx="30">
                  <c:v>5.027166666666667</c:v>
                </c:pt>
                <c:pt idx="31">
                  <c:v>5.1893333333333338</c:v>
                </c:pt>
                <c:pt idx="32">
                  <c:v>5.3515000000000006</c:v>
                </c:pt>
                <c:pt idx="33">
                  <c:v>5.5136666666666674</c:v>
                </c:pt>
                <c:pt idx="34">
                  <c:v>5.6758333333333342</c:v>
                </c:pt>
                <c:pt idx="35">
                  <c:v>5.8380000000000001</c:v>
                </c:pt>
                <c:pt idx="36">
                  <c:v>6.0001666666666669</c:v>
                </c:pt>
                <c:pt idx="37">
                  <c:v>6.1623333333333337</c:v>
                </c:pt>
                <c:pt idx="38">
                  <c:v>6.3245000000000005</c:v>
                </c:pt>
                <c:pt idx="39">
                  <c:v>6.4866666666666672</c:v>
                </c:pt>
                <c:pt idx="40">
                  <c:v>6.648833333333334</c:v>
                </c:pt>
                <c:pt idx="41">
                  <c:v>6.8109999999999999</c:v>
                </c:pt>
                <c:pt idx="42">
                  <c:v>6.9731666666666667</c:v>
                </c:pt>
                <c:pt idx="43">
                  <c:v>7.1353333333333335</c:v>
                </c:pt>
                <c:pt idx="44">
                  <c:v>7.2975000000000003</c:v>
                </c:pt>
                <c:pt idx="45">
                  <c:v>7.4596666666666671</c:v>
                </c:pt>
                <c:pt idx="46">
                  <c:v>7.6218333333333339</c:v>
                </c:pt>
                <c:pt idx="47">
                  <c:v>7.7839999999999998</c:v>
                </c:pt>
                <c:pt idx="48">
                  <c:v>7.9461666666666666</c:v>
                </c:pt>
                <c:pt idx="49">
                  <c:v>8.1083333333333325</c:v>
                </c:pt>
                <c:pt idx="50">
                  <c:v>8.2705000000000002</c:v>
                </c:pt>
                <c:pt idx="51">
                  <c:v>8.4326666666666661</c:v>
                </c:pt>
                <c:pt idx="52">
                  <c:v>8.5948333333333338</c:v>
                </c:pt>
                <c:pt idx="53">
                  <c:v>8.7570000000000014</c:v>
                </c:pt>
                <c:pt idx="54">
                  <c:v>8.9191666666666674</c:v>
                </c:pt>
                <c:pt idx="55">
                  <c:v>9.081333333333335</c:v>
                </c:pt>
                <c:pt idx="56">
                  <c:v>9.2435000000000009</c:v>
                </c:pt>
                <c:pt idx="57">
                  <c:v>9.4056666666666668</c:v>
                </c:pt>
                <c:pt idx="58">
                  <c:v>9.5678333333333327</c:v>
                </c:pt>
                <c:pt idx="59">
                  <c:v>9.73</c:v>
                </c:pt>
                <c:pt idx="60">
                  <c:v>9.8921666666666663</c:v>
                </c:pt>
                <c:pt idx="61">
                  <c:v>10.054333333333334</c:v>
                </c:pt>
                <c:pt idx="62">
                  <c:v>10.2165</c:v>
                </c:pt>
                <c:pt idx="63">
                  <c:v>10.378666666666668</c:v>
                </c:pt>
                <c:pt idx="64">
                  <c:v>10.540833333333333</c:v>
                </c:pt>
                <c:pt idx="65">
                  <c:v>10.703000000000001</c:v>
                </c:pt>
                <c:pt idx="66">
                  <c:v>10.865166666666667</c:v>
                </c:pt>
                <c:pt idx="67">
                  <c:v>11.027333333333335</c:v>
                </c:pt>
                <c:pt idx="68">
                  <c:v>11.189500000000001</c:v>
                </c:pt>
                <c:pt idx="69">
                  <c:v>11.351666666666668</c:v>
                </c:pt>
                <c:pt idx="70">
                  <c:v>11.513833333333332</c:v>
                </c:pt>
                <c:pt idx="71">
                  <c:v>11.676</c:v>
                </c:pt>
                <c:pt idx="72">
                  <c:v>11.838166666666666</c:v>
                </c:pt>
                <c:pt idx="73">
                  <c:v>12.000333333333334</c:v>
                </c:pt>
                <c:pt idx="74">
                  <c:v>12.1625</c:v>
                </c:pt>
                <c:pt idx="75">
                  <c:v>12.324666666666667</c:v>
                </c:pt>
                <c:pt idx="76">
                  <c:v>12.486833333333333</c:v>
                </c:pt>
                <c:pt idx="77">
                  <c:v>12.649000000000001</c:v>
                </c:pt>
                <c:pt idx="78">
                  <c:v>12.811166666666667</c:v>
                </c:pt>
                <c:pt idx="79">
                  <c:v>12.973333333333334</c:v>
                </c:pt>
                <c:pt idx="80">
                  <c:v>13.1355</c:v>
                </c:pt>
                <c:pt idx="81">
                  <c:v>13.297666666666668</c:v>
                </c:pt>
                <c:pt idx="82">
                  <c:v>13.459833333333334</c:v>
                </c:pt>
                <c:pt idx="83">
                  <c:v>13.622</c:v>
                </c:pt>
                <c:pt idx="84">
                  <c:v>13.784166666666666</c:v>
                </c:pt>
                <c:pt idx="85">
                  <c:v>13.946333333333333</c:v>
                </c:pt>
                <c:pt idx="86">
                  <c:v>14.108499999999999</c:v>
                </c:pt>
                <c:pt idx="87">
                  <c:v>14.270666666666667</c:v>
                </c:pt>
                <c:pt idx="88">
                  <c:v>14.432833333333333</c:v>
                </c:pt>
                <c:pt idx="89">
                  <c:v>14.595000000000001</c:v>
                </c:pt>
                <c:pt idx="90">
                  <c:v>14.757166666666667</c:v>
                </c:pt>
                <c:pt idx="91">
                  <c:v>14.919333333333334</c:v>
                </c:pt>
                <c:pt idx="92">
                  <c:v>15.0815</c:v>
                </c:pt>
                <c:pt idx="93">
                  <c:v>15.243666666666668</c:v>
                </c:pt>
                <c:pt idx="94">
                  <c:v>15.405833333333334</c:v>
                </c:pt>
                <c:pt idx="95">
                  <c:v>15.568</c:v>
                </c:pt>
                <c:pt idx="96">
                  <c:v>15.730166666666666</c:v>
                </c:pt>
                <c:pt idx="97">
                  <c:v>15.892333333333333</c:v>
                </c:pt>
                <c:pt idx="98">
                  <c:v>16.054500000000001</c:v>
                </c:pt>
                <c:pt idx="99">
                  <c:v>16.216666666666665</c:v>
                </c:pt>
                <c:pt idx="100">
                  <c:v>16.378833333333333</c:v>
                </c:pt>
                <c:pt idx="101">
                  <c:v>16.541</c:v>
                </c:pt>
                <c:pt idx="102">
                  <c:v>16.703166666666668</c:v>
                </c:pt>
                <c:pt idx="103">
                  <c:v>16.865333333333332</c:v>
                </c:pt>
                <c:pt idx="104">
                  <c:v>17.0275</c:v>
                </c:pt>
                <c:pt idx="105">
                  <c:v>17.189666666666668</c:v>
                </c:pt>
                <c:pt idx="106">
                  <c:v>17.351833333333335</c:v>
                </c:pt>
                <c:pt idx="107">
                  <c:v>17.514000000000003</c:v>
                </c:pt>
                <c:pt idx="108">
                  <c:v>17.676166666666667</c:v>
                </c:pt>
                <c:pt idx="109">
                  <c:v>17.838333333333335</c:v>
                </c:pt>
                <c:pt idx="110">
                  <c:v>18.000500000000002</c:v>
                </c:pt>
                <c:pt idx="111">
                  <c:v>18.16266666666667</c:v>
                </c:pt>
                <c:pt idx="112">
                  <c:v>18.324833333333334</c:v>
                </c:pt>
                <c:pt idx="113">
                  <c:v>18.487000000000002</c:v>
                </c:pt>
                <c:pt idx="114">
                  <c:v>18.64916666666667</c:v>
                </c:pt>
                <c:pt idx="115">
                  <c:v>18.811333333333334</c:v>
                </c:pt>
                <c:pt idx="116">
                  <c:v>18.973499999999998</c:v>
                </c:pt>
                <c:pt idx="117">
                  <c:v>19.135666666666665</c:v>
                </c:pt>
                <c:pt idx="118">
                  <c:v>19.297833333333333</c:v>
                </c:pt>
                <c:pt idx="119">
                  <c:v>19.46</c:v>
                </c:pt>
                <c:pt idx="120">
                  <c:v>19.622166666666665</c:v>
                </c:pt>
                <c:pt idx="121">
                  <c:v>19.784333333333333</c:v>
                </c:pt>
                <c:pt idx="122">
                  <c:v>19.9465</c:v>
                </c:pt>
                <c:pt idx="123">
                  <c:v>20.108666666666668</c:v>
                </c:pt>
                <c:pt idx="124">
                  <c:v>20.270833333333332</c:v>
                </c:pt>
                <c:pt idx="125">
                  <c:v>20.433</c:v>
                </c:pt>
                <c:pt idx="126">
                  <c:v>20.595166666666668</c:v>
                </c:pt>
                <c:pt idx="127">
                  <c:v>20.757333333333335</c:v>
                </c:pt>
                <c:pt idx="128">
                  <c:v>20.919499999999999</c:v>
                </c:pt>
                <c:pt idx="129">
                  <c:v>21.081666666666667</c:v>
                </c:pt>
                <c:pt idx="130">
                  <c:v>21.243833333333335</c:v>
                </c:pt>
                <c:pt idx="131">
                  <c:v>21.406000000000002</c:v>
                </c:pt>
                <c:pt idx="132">
                  <c:v>21.568166666666666</c:v>
                </c:pt>
                <c:pt idx="133">
                  <c:v>21.730333333333334</c:v>
                </c:pt>
                <c:pt idx="134">
                  <c:v>21.892500000000002</c:v>
                </c:pt>
                <c:pt idx="135">
                  <c:v>22.05466666666667</c:v>
                </c:pt>
                <c:pt idx="136">
                  <c:v>22.216833333333334</c:v>
                </c:pt>
                <c:pt idx="137">
                  <c:v>22.379000000000001</c:v>
                </c:pt>
                <c:pt idx="138">
                  <c:v>22.541166666666669</c:v>
                </c:pt>
                <c:pt idx="139">
                  <c:v>22.703333333333337</c:v>
                </c:pt>
                <c:pt idx="140">
                  <c:v>22.865499999999997</c:v>
                </c:pt>
                <c:pt idx="141">
                  <c:v>23.027666666666665</c:v>
                </c:pt>
                <c:pt idx="142">
                  <c:v>23.189833333333333</c:v>
                </c:pt>
                <c:pt idx="143">
                  <c:v>23.352</c:v>
                </c:pt>
                <c:pt idx="144">
                  <c:v>23.514166666666664</c:v>
                </c:pt>
                <c:pt idx="145">
                  <c:v>23.676333333333332</c:v>
                </c:pt>
                <c:pt idx="146">
                  <c:v>23.8385</c:v>
                </c:pt>
                <c:pt idx="147">
                  <c:v>24.000666666666667</c:v>
                </c:pt>
                <c:pt idx="148">
                  <c:v>24.162833333333332</c:v>
                </c:pt>
                <c:pt idx="149">
                  <c:v>24.324999999999999</c:v>
                </c:pt>
              </c:numCache>
            </c:numRef>
          </c:xVal>
          <c:yVal>
            <c:numRef>
              <c:f>Eff_vs_IOUT!$BI$8:$BI$157</c:f>
              <c:numCache>
                <c:formatCode>General</c:formatCode>
                <c:ptCount val="150"/>
                <c:pt idx="0">
                  <c:v>1.4800399999999998E-2</c:v>
                </c:pt>
                <c:pt idx="1">
                  <c:v>1.4900399999999999E-2</c:v>
                </c:pt>
                <c:pt idx="2">
                  <c:v>1.5000399999999999E-2</c:v>
                </c:pt>
                <c:pt idx="3">
                  <c:v>1.5100399999999998E-2</c:v>
                </c:pt>
                <c:pt idx="4">
                  <c:v>1.5200399999999999E-2</c:v>
                </c:pt>
                <c:pt idx="5">
                  <c:v>1.5300399999999999E-2</c:v>
                </c:pt>
                <c:pt idx="6">
                  <c:v>1.5400399999999998E-2</c:v>
                </c:pt>
                <c:pt idx="7">
                  <c:v>1.5500399999999999E-2</c:v>
                </c:pt>
                <c:pt idx="8">
                  <c:v>1.5600399999999999E-2</c:v>
                </c:pt>
                <c:pt idx="9">
                  <c:v>1.57004E-2</c:v>
                </c:pt>
                <c:pt idx="10">
                  <c:v>1.5800399999999999E-2</c:v>
                </c:pt>
                <c:pt idx="11">
                  <c:v>1.5900399999999999E-2</c:v>
                </c:pt>
                <c:pt idx="12">
                  <c:v>1.6000399999999998E-2</c:v>
                </c:pt>
                <c:pt idx="13">
                  <c:v>1.6100399999999997E-2</c:v>
                </c:pt>
                <c:pt idx="14">
                  <c:v>1.62004E-2</c:v>
                </c:pt>
                <c:pt idx="15">
                  <c:v>1.63004E-2</c:v>
                </c:pt>
                <c:pt idx="16">
                  <c:v>1.6400399999999999E-2</c:v>
                </c:pt>
                <c:pt idx="17">
                  <c:v>1.6500399999999998E-2</c:v>
                </c:pt>
                <c:pt idx="18">
                  <c:v>1.6600399999999998E-2</c:v>
                </c:pt>
                <c:pt idx="19">
                  <c:v>1.6700399999999997E-2</c:v>
                </c:pt>
                <c:pt idx="20">
                  <c:v>1.68004E-2</c:v>
                </c:pt>
                <c:pt idx="21">
                  <c:v>1.6900399999999999E-2</c:v>
                </c:pt>
                <c:pt idx="22">
                  <c:v>1.7000399999999999E-2</c:v>
                </c:pt>
                <c:pt idx="23">
                  <c:v>1.7100399999999998E-2</c:v>
                </c:pt>
                <c:pt idx="24">
                  <c:v>1.7200399999999998E-2</c:v>
                </c:pt>
                <c:pt idx="25">
                  <c:v>1.73004E-2</c:v>
                </c:pt>
                <c:pt idx="26">
                  <c:v>1.74004E-2</c:v>
                </c:pt>
                <c:pt idx="27">
                  <c:v>1.7500399999999999E-2</c:v>
                </c:pt>
                <c:pt idx="28">
                  <c:v>1.7600399999999999E-2</c:v>
                </c:pt>
                <c:pt idx="29">
                  <c:v>1.7700399999999998E-2</c:v>
                </c:pt>
                <c:pt idx="30">
                  <c:v>1.7800399999999997E-2</c:v>
                </c:pt>
                <c:pt idx="31">
                  <c:v>1.7900399999999997E-2</c:v>
                </c:pt>
                <c:pt idx="32">
                  <c:v>1.80004E-2</c:v>
                </c:pt>
                <c:pt idx="33">
                  <c:v>1.8100399999999999E-2</c:v>
                </c:pt>
                <c:pt idx="34">
                  <c:v>1.8200399999999999E-2</c:v>
                </c:pt>
                <c:pt idx="35">
                  <c:v>1.8300399999999998E-2</c:v>
                </c:pt>
                <c:pt idx="36">
                  <c:v>1.8400399999999997E-2</c:v>
                </c:pt>
                <c:pt idx="37">
                  <c:v>1.85004E-2</c:v>
                </c:pt>
                <c:pt idx="38">
                  <c:v>1.86004E-2</c:v>
                </c:pt>
                <c:pt idx="39">
                  <c:v>1.8700399999999999E-2</c:v>
                </c:pt>
                <c:pt idx="40">
                  <c:v>1.8800399999999998E-2</c:v>
                </c:pt>
                <c:pt idx="41">
                  <c:v>1.8900399999999998E-2</c:v>
                </c:pt>
                <c:pt idx="42">
                  <c:v>1.9000400000000001E-2</c:v>
                </c:pt>
                <c:pt idx="43">
                  <c:v>1.9100399999999997E-2</c:v>
                </c:pt>
                <c:pt idx="44">
                  <c:v>1.9200399999999999E-2</c:v>
                </c:pt>
                <c:pt idx="45">
                  <c:v>1.9300399999999999E-2</c:v>
                </c:pt>
                <c:pt idx="46">
                  <c:v>1.9400399999999998E-2</c:v>
                </c:pt>
                <c:pt idx="47">
                  <c:v>1.9500399999999998E-2</c:v>
                </c:pt>
                <c:pt idx="48">
                  <c:v>1.9600399999999997E-2</c:v>
                </c:pt>
                <c:pt idx="49">
                  <c:v>1.97004E-2</c:v>
                </c:pt>
                <c:pt idx="50">
                  <c:v>1.9800399999999999E-2</c:v>
                </c:pt>
                <c:pt idx="51">
                  <c:v>1.9900399999999999E-2</c:v>
                </c:pt>
                <c:pt idx="52">
                  <c:v>2.0000399999999998E-2</c:v>
                </c:pt>
                <c:pt idx="53">
                  <c:v>2.0100399999999997E-2</c:v>
                </c:pt>
                <c:pt idx="54">
                  <c:v>2.02004E-2</c:v>
                </c:pt>
                <c:pt idx="55">
                  <c:v>2.0300399999999996E-2</c:v>
                </c:pt>
                <c:pt idx="56">
                  <c:v>2.0400399999999999E-2</c:v>
                </c:pt>
                <c:pt idx="57">
                  <c:v>2.0500399999999998E-2</c:v>
                </c:pt>
                <c:pt idx="58">
                  <c:v>2.0600399999999998E-2</c:v>
                </c:pt>
                <c:pt idx="59">
                  <c:v>2.0700400000000001E-2</c:v>
                </c:pt>
                <c:pt idx="60">
                  <c:v>2.0800399999999997E-2</c:v>
                </c:pt>
                <c:pt idx="61">
                  <c:v>2.09004E-2</c:v>
                </c:pt>
                <c:pt idx="62">
                  <c:v>2.1000399999999999E-2</c:v>
                </c:pt>
                <c:pt idx="63">
                  <c:v>2.1100399999999998E-2</c:v>
                </c:pt>
                <c:pt idx="64">
                  <c:v>2.1200399999999998E-2</c:v>
                </c:pt>
                <c:pt idx="65">
                  <c:v>2.1300399999999997E-2</c:v>
                </c:pt>
                <c:pt idx="66">
                  <c:v>2.14004E-2</c:v>
                </c:pt>
                <c:pt idx="67">
                  <c:v>2.1500399999999999E-2</c:v>
                </c:pt>
                <c:pt idx="68">
                  <c:v>2.1600399999999999E-2</c:v>
                </c:pt>
                <c:pt idx="69">
                  <c:v>2.1700399999999998E-2</c:v>
                </c:pt>
                <c:pt idx="70">
                  <c:v>2.1800399999999998E-2</c:v>
                </c:pt>
                <c:pt idx="71">
                  <c:v>2.19004E-2</c:v>
                </c:pt>
                <c:pt idx="72">
                  <c:v>2.2000399999999996E-2</c:v>
                </c:pt>
                <c:pt idx="73">
                  <c:v>2.2100399999999999E-2</c:v>
                </c:pt>
                <c:pt idx="74">
                  <c:v>2.2200399999999999E-2</c:v>
                </c:pt>
                <c:pt idx="75">
                  <c:v>2.2300399999999998E-2</c:v>
                </c:pt>
                <c:pt idx="76">
                  <c:v>2.2400400000000001E-2</c:v>
                </c:pt>
                <c:pt idx="77">
                  <c:v>2.2500399999999997E-2</c:v>
                </c:pt>
                <c:pt idx="78">
                  <c:v>2.26004E-2</c:v>
                </c:pt>
                <c:pt idx="79">
                  <c:v>2.2700399999999999E-2</c:v>
                </c:pt>
                <c:pt idx="80">
                  <c:v>2.2800399999999998E-2</c:v>
                </c:pt>
                <c:pt idx="81">
                  <c:v>2.2900400000000001E-2</c:v>
                </c:pt>
                <c:pt idx="82">
                  <c:v>2.3000399999999997E-2</c:v>
                </c:pt>
                <c:pt idx="83">
                  <c:v>2.31004E-2</c:v>
                </c:pt>
                <c:pt idx="84">
                  <c:v>2.3200399999999996E-2</c:v>
                </c:pt>
                <c:pt idx="85">
                  <c:v>2.3300399999999999E-2</c:v>
                </c:pt>
                <c:pt idx="86">
                  <c:v>2.3400399999999998E-2</c:v>
                </c:pt>
                <c:pt idx="87">
                  <c:v>2.3500399999999998E-2</c:v>
                </c:pt>
                <c:pt idx="88">
                  <c:v>2.3600400000000001E-2</c:v>
                </c:pt>
                <c:pt idx="89">
                  <c:v>2.3700399999999996E-2</c:v>
                </c:pt>
                <c:pt idx="90">
                  <c:v>2.3800399999999999E-2</c:v>
                </c:pt>
                <c:pt idx="91">
                  <c:v>2.3900399999999999E-2</c:v>
                </c:pt>
                <c:pt idx="92">
                  <c:v>2.4000399999999998E-2</c:v>
                </c:pt>
                <c:pt idx="93">
                  <c:v>2.4100399999999998E-2</c:v>
                </c:pt>
                <c:pt idx="94">
                  <c:v>2.4200399999999997E-2</c:v>
                </c:pt>
                <c:pt idx="95">
                  <c:v>2.43004E-2</c:v>
                </c:pt>
                <c:pt idx="96">
                  <c:v>2.4400399999999996E-2</c:v>
                </c:pt>
                <c:pt idx="97">
                  <c:v>2.4500399999999999E-2</c:v>
                </c:pt>
                <c:pt idx="98">
                  <c:v>2.4600400000000001E-2</c:v>
                </c:pt>
                <c:pt idx="99">
                  <c:v>2.4700399999999997E-2</c:v>
                </c:pt>
                <c:pt idx="100">
                  <c:v>2.48004E-2</c:v>
                </c:pt>
                <c:pt idx="101">
                  <c:v>2.49004E-2</c:v>
                </c:pt>
                <c:pt idx="102">
                  <c:v>2.5000399999999999E-2</c:v>
                </c:pt>
                <c:pt idx="103">
                  <c:v>2.5100399999999998E-2</c:v>
                </c:pt>
                <c:pt idx="104">
                  <c:v>2.5200399999999998E-2</c:v>
                </c:pt>
                <c:pt idx="105">
                  <c:v>2.5300400000000001E-2</c:v>
                </c:pt>
                <c:pt idx="106">
                  <c:v>2.5400399999999997E-2</c:v>
                </c:pt>
                <c:pt idx="107">
                  <c:v>2.5500399999999999E-2</c:v>
                </c:pt>
                <c:pt idx="108">
                  <c:v>2.5600399999999999E-2</c:v>
                </c:pt>
                <c:pt idx="109">
                  <c:v>2.5700399999999998E-2</c:v>
                </c:pt>
                <c:pt idx="110">
                  <c:v>2.5800399999999998E-2</c:v>
                </c:pt>
                <c:pt idx="111">
                  <c:v>2.5900399999999997E-2</c:v>
                </c:pt>
                <c:pt idx="112">
                  <c:v>2.60004E-2</c:v>
                </c:pt>
                <c:pt idx="113">
                  <c:v>2.6100399999999996E-2</c:v>
                </c:pt>
                <c:pt idx="114">
                  <c:v>2.6200399999999999E-2</c:v>
                </c:pt>
                <c:pt idx="115">
                  <c:v>2.6300399999999995E-2</c:v>
                </c:pt>
                <c:pt idx="116">
                  <c:v>2.6400399999999997E-2</c:v>
                </c:pt>
                <c:pt idx="117">
                  <c:v>2.65004E-2</c:v>
                </c:pt>
                <c:pt idx="118">
                  <c:v>2.6600399999999996E-2</c:v>
                </c:pt>
                <c:pt idx="119">
                  <c:v>2.6700399999999999E-2</c:v>
                </c:pt>
                <c:pt idx="120">
                  <c:v>2.6800399999999999E-2</c:v>
                </c:pt>
                <c:pt idx="121">
                  <c:v>2.6900399999999998E-2</c:v>
                </c:pt>
                <c:pt idx="122">
                  <c:v>2.7000400000000001E-2</c:v>
                </c:pt>
                <c:pt idx="123">
                  <c:v>2.7100399999999997E-2</c:v>
                </c:pt>
                <c:pt idx="124">
                  <c:v>2.72004E-2</c:v>
                </c:pt>
                <c:pt idx="125">
                  <c:v>2.7300399999999996E-2</c:v>
                </c:pt>
                <c:pt idx="126">
                  <c:v>2.7400399999999998E-2</c:v>
                </c:pt>
                <c:pt idx="127">
                  <c:v>2.7500399999999998E-2</c:v>
                </c:pt>
                <c:pt idx="128">
                  <c:v>2.7600399999999997E-2</c:v>
                </c:pt>
                <c:pt idx="129">
                  <c:v>2.77004E-2</c:v>
                </c:pt>
                <c:pt idx="130">
                  <c:v>2.7800399999999996E-2</c:v>
                </c:pt>
                <c:pt idx="131">
                  <c:v>2.7900399999999999E-2</c:v>
                </c:pt>
                <c:pt idx="132">
                  <c:v>2.8000399999999995E-2</c:v>
                </c:pt>
                <c:pt idx="133">
                  <c:v>2.8100399999999998E-2</c:v>
                </c:pt>
                <c:pt idx="134">
                  <c:v>2.82004E-2</c:v>
                </c:pt>
                <c:pt idx="135">
                  <c:v>2.8300399999999996E-2</c:v>
                </c:pt>
                <c:pt idx="136">
                  <c:v>2.8400399999999999E-2</c:v>
                </c:pt>
                <c:pt idx="137">
                  <c:v>2.8500399999999999E-2</c:v>
                </c:pt>
                <c:pt idx="138">
                  <c:v>2.8600399999999998E-2</c:v>
                </c:pt>
                <c:pt idx="139">
                  <c:v>2.8700400000000001E-2</c:v>
                </c:pt>
                <c:pt idx="140">
                  <c:v>2.8800399999999997E-2</c:v>
                </c:pt>
                <c:pt idx="141">
                  <c:v>2.89004E-2</c:v>
                </c:pt>
                <c:pt idx="142">
                  <c:v>2.9000399999999996E-2</c:v>
                </c:pt>
                <c:pt idx="143">
                  <c:v>2.9100399999999998E-2</c:v>
                </c:pt>
                <c:pt idx="144">
                  <c:v>2.9200399999999998E-2</c:v>
                </c:pt>
                <c:pt idx="145">
                  <c:v>2.9300399999999997E-2</c:v>
                </c:pt>
                <c:pt idx="146">
                  <c:v>2.94004E-2</c:v>
                </c:pt>
                <c:pt idx="147">
                  <c:v>2.9500399999999996E-2</c:v>
                </c:pt>
                <c:pt idx="148">
                  <c:v>2.9600399999999999E-2</c:v>
                </c:pt>
                <c:pt idx="149">
                  <c:v>2.9700399999999998E-2</c:v>
                </c:pt>
              </c:numCache>
            </c:numRef>
          </c:yVal>
          <c:smooth val="1"/>
          <c:extLst>
            <c:ext xmlns:c16="http://schemas.microsoft.com/office/drawing/2014/chart" uri="{C3380CC4-5D6E-409C-BE32-E72D297353CC}">
              <c16:uniqueId val="{00000004-C391-4527-8BBE-DDCDE94A24A4}"/>
            </c:ext>
          </c:extLst>
        </c:ser>
        <c:dLbls>
          <c:showLegendKey val="0"/>
          <c:showVal val="0"/>
          <c:showCatName val="0"/>
          <c:showSerName val="0"/>
          <c:showPercent val="0"/>
          <c:showBubbleSize val="0"/>
        </c:dLbls>
        <c:axId val="582788608"/>
        <c:axId val="582786432"/>
      </c:scatterChart>
      <c:valAx>
        <c:axId val="582782976"/>
        <c:scaling>
          <c:orientation val="minMax"/>
        </c:scaling>
        <c:delete val="0"/>
        <c:axPos val="b"/>
        <c:majorGridlines/>
        <c:numFmt formatCode="General" sourceLinked="1"/>
        <c:majorTickMark val="out"/>
        <c:minorTickMark val="none"/>
        <c:tickLblPos val="nextTo"/>
        <c:crossAx val="582784512"/>
        <c:crosses val="autoZero"/>
        <c:crossBetween val="midCat"/>
      </c:valAx>
      <c:valAx>
        <c:axId val="582784512"/>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2782976"/>
        <c:crosses val="autoZero"/>
        <c:crossBetween val="midCat"/>
      </c:valAx>
      <c:valAx>
        <c:axId val="582786432"/>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2788608"/>
        <c:crosses val="max"/>
        <c:crossBetween val="midCat"/>
      </c:valAx>
      <c:valAx>
        <c:axId val="582788608"/>
        <c:scaling>
          <c:orientation val="minMax"/>
        </c:scaling>
        <c:delete val="1"/>
        <c:axPos val="b"/>
        <c:title>
          <c:tx>
            <c:rich>
              <a:bodyPr/>
              <a:lstStyle/>
              <a:p>
                <a:pPr>
                  <a:defRPr/>
                </a:pPr>
                <a:r>
                  <a:rPr lang="en-US"/>
                  <a:t>Loac</a:t>
                </a:r>
                <a:r>
                  <a:rPr lang="en-US" baseline="0"/>
                  <a:t> Current (A)</a:t>
                </a:r>
                <a:endParaRPr lang="en-US"/>
              </a:p>
            </c:rich>
          </c:tx>
          <c:overlay val="0"/>
        </c:title>
        <c:numFmt formatCode="General" sourceLinked="1"/>
        <c:majorTickMark val="out"/>
        <c:minorTickMark val="none"/>
        <c:tickLblPos val="nextTo"/>
        <c:crossAx val="582786432"/>
        <c:crosses val="autoZero"/>
        <c:crossBetween val="midCat"/>
      </c:valAx>
    </c:plotArea>
    <c:legend>
      <c:legendPos val="r"/>
      <c:layout>
        <c:manualLayout>
          <c:xMode val="edge"/>
          <c:yMode val="edge"/>
          <c:x val="0.49339941826540429"/>
          <c:y val="6.4862204724409449E-3"/>
          <c:w val="0.42227913565687919"/>
          <c:h val="0.1165233360670469"/>
        </c:manualLayout>
      </c:layout>
      <c:overlay val="1"/>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2400"/>
            </a:pPr>
            <a:r>
              <a:rPr lang="el-GR" sz="2400"/>
              <a:t>η</a:t>
            </a:r>
            <a:endParaRPr lang="en-US" sz="2400"/>
          </a:p>
        </c:rich>
      </c:tx>
      <c:layout>
        <c:manualLayout>
          <c:xMode val="edge"/>
          <c:yMode val="edge"/>
          <c:x val="9.2321838295158831E-2"/>
          <c:y val="6.7069081153588199E-3"/>
        </c:manualLayout>
      </c:layout>
      <c:overlay val="1"/>
    </c:title>
    <c:autoTitleDeleted val="0"/>
    <c:plotArea>
      <c:layout>
        <c:manualLayout>
          <c:layoutTarget val="inner"/>
          <c:xMode val="edge"/>
          <c:yMode val="edge"/>
          <c:x val="9.4343575816580413E-2"/>
          <c:y val="0.12777504924560487"/>
          <c:w val="0.82170691922728745"/>
          <c:h val="0.74982770867653059"/>
        </c:manualLayout>
      </c:layout>
      <c:scatterChart>
        <c:scatterStyle val="smoothMarker"/>
        <c:varyColors val="0"/>
        <c:ser>
          <c:idx val="0"/>
          <c:order val="0"/>
          <c:tx>
            <c:v>Eff</c:v>
          </c:tx>
          <c:spPr>
            <a:ln>
              <a:solidFill>
                <a:srgbClr val="FF0000"/>
              </a:solidFill>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Eff_vs_IOUT!$BZ$7:$BZ$157</c:f>
              <c:numCache>
                <c:formatCode>General</c:formatCode>
                <c:ptCount val="151"/>
                <c:pt idx="0">
                  <c:v>0</c:v>
                </c:pt>
                <c:pt idx="1">
                  <c:v>49.0362395285524</c:v>
                </c:pt>
                <c:pt idx="2">
                  <c:v>64.489521815492409</c:v>
                </c:pt>
                <c:pt idx="3">
                  <c:v>72.104963594677272</c:v>
                </c:pt>
                <c:pt idx="4">
                  <c:v>76.647487522770092</c:v>
                </c:pt>
                <c:pt idx="5">
                  <c:v>79.6673266190042</c:v>
                </c:pt>
                <c:pt idx="6">
                  <c:v>81.821107789819351</c:v>
                </c:pt>
                <c:pt idx="7">
                  <c:v>83.434983834181494</c:v>
                </c:pt>
                <c:pt idx="8">
                  <c:v>84.689428387103575</c:v>
                </c:pt>
                <c:pt idx="9">
                  <c:v>85.692454586184965</c:v>
                </c:pt>
                <c:pt idx="10">
                  <c:v>86.512688887391391</c:v>
                </c:pt>
                <c:pt idx="11">
                  <c:v>87.195836779376364</c:v>
                </c:pt>
                <c:pt idx="12">
                  <c:v>87.773521751397809</c:v>
                </c:pt>
                <c:pt idx="13">
                  <c:v>88.268324887613133</c:v>
                </c:pt>
                <c:pt idx="14">
                  <c:v>88.696803683357871</c:v>
                </c:pt>
                <c:pt idx="15">
                  <c:v>89.071376535380779</c:v>
                </c:pt>
                <c:pt idx="16">
                  <c:v>89.401541042035547</c:v>
                </c:pt>
                <c:pt idx="17">
                  <c:v>89.694685684656974</c:v>
                </c:pt>
                <c:pt idx="18">
                  <c:v>89.956644938146013</c:v>
                </c:pt>
                <c:pt idx="19">
                  <c:v>90.19208773026088</c:v>
                </c:pt>
                <c:pt idx="20">
                  <c:v>90.404794860364348</c:v>
                </c:pt>
                <c:pt idx="21">
                  <c:v>90.597860739204208</c:v>
                </c:pt>
                <c:pt idx="22">
                  <c:v>90.773842497695227</c:v>
                </c:pt>
                <c:pt idx="23">
                  <c:v>90.934871822757017</c:v>
                </c:pt>
                <c:pt idx="24">
                  <c:v>91.082739959885757</c:v>
                </c:pt>
                <c:pt idx="25">
                  <c:v>91.218963107949492</c:v>
                </c:pt>
                <c:pt idx="26">
                  <c:v>91.344833289802978</c:v>
                </c:pt>
                <c:pt idx="27">
                  <c:v>91.461458329368014</c:v>
                </c:pt>
                <c:pt idx="28">
                  <c:v>91.569793564054208</c:v>
                </c:pt>
                <c:pt idx="29">
                  <c:v>91.670667220289175</c:v>
                </c:pt>
                <c:pt idx="30">
                  <c:v>91.764800882441264</c:v>
                </c:pt>
                <c:pt idx="31">
                  <c:v>91.852826127883219</c:v>
                </c:pt>
                <c:pt idx="32">
                  <c:v>91.935298140936339</c:v>
                </c:pt>
                <c:pt idx="33">
                  <c:v>92.012706927254285</c:v>
                </c:pt>
                <c:pt idx="34">
                  <c:v>92.085486608187267</c:v>
                </c:pt>
                <c:pt idx="35">
                  <c:v>92.154023168148029</c:v>
                </c:pt>
                <c:pt idx="36">
                  <c:v>92.218660947389068</c:v>
                </c:pt>
                <c:pt idx="37">
                  <c:v>92.279708111075578</c:v>
                </c:pt>
                <c:pt idx="38">
                  <c:v>92.337441278207237</c:v>
                </c:pt>
                <c:pt idx="39">
                  <c:v>92.392109457257348</c:v>
                </c:pt>
                <c:pt idx="40">
                  <c:v>92.443937406761094</c:v>
                </c:pt>
                <c:pt idx="41">
                  <c:v>92.493128516582729</c:v>
                </c:pt>
                <c:pt idx="42">
                  <c:v>92.539867287796199</c:v>
                </c:pt>
                <c:pt idx="43">
                  <c:v>92.584321474956027</c:v>
                </c:pt>
                <c:pt idx="44">
                  <c:v>92.626643943208393</c:v>
                </c:pt>
                <c:pt idx="45">
                  <c:v>92.666974283578853</c:v>
                </c:pt>
                <c:pt idx="46">
                  <c:v>92.70544022240415</c:v>
                </c:pt>
                <c:pt idx="47">
                  <c:v>92.742158854887819</c:v>
                </c:pt>
                <c:pt idx="48">
                  <c:v>92.777237727869149</c:v>
                </c:pt>
                <c:pt idx="49">
                  <c:v>92.810775792885906</c:v>
                </c:pt>
                <c:pt idx="50">
                  <c:v>92.842864247307261</c:v>
                </c:pt>
                <c:pt idx="51">
                  <c:v>92.873587278583017</c:v>
                </c:pt>
                <c:pt idx="52">
                  <c:v>92.903022724385536</c:v>
                </c:pt>
                <c:pt idx="53">
                  <c:v>92.928260453654033</c:v>
                </c:pt>
                <c:pt idx="54">
                  <c:v>92.951531317437414</c:v>
                </c:pt>
                <c:pt idx="55">
                  <c:v>92.973665796253542</c:v>
                </c:pt>
                <c:pt idx="56">
                  <c:v>92.994723787324745</c:v>
                </c:pt>
                <c:pt idx="57">
                  <c:v>93.014761056600449</c:v>
                </c:pt>
                <c:pt idx="58">
                  <c:v>93.033829588898513</c:v>
                </c:pt>
                <c:pt idx="59">
                  <c:v>93.05197790302897</c:v>
                </c:pt>
                <c:pt idx="60">
                  <c:v>93.069251335919375</c:v>
                </c:pt>
                <c:pt idx="61">
                  <c:v>93.085692299241515</c:v>
                </c:pt>
                <c:pt idx="62">
                  <c:v>93.101340511595296</c:v>
                </c:pt>
                <c:pt idx="63">
                  <c:v>93.116233208923461</c:v>
                </c:pt>
                <c:pt idx="64">
                  <c:v>93.130405335501877</c:v>
                </c:pt>
                <c:pt idx="65">
                  <c:v>93.143889717565401</c:v>
                </c:pt>
                <c:pt idx="66">
                  <c:v>93.156717221383929</c:v>
                </c:pt>
                <c:pt idx="67">
                  <c:v>93.168916897389494</c:v>
                </c:pt>
                <c:pt idx="68">
                  <c:v>93.180516111769293</c:v>
                </c:pt>
                <c:pt idx="69">
                  <c:v>93.19154066677882</c:v>
                </c:pt>
                <c:pt idx="70">
                  <c:v>93.202014910886405</c:v>
                </c:pt>
                <c:pt idx="71">
                  <c:v>93.211961839738677</c:v>
                </c:pt>
                <c:pt idx="72">
                  <c:v>93.221403188826756</c:v>
                </c:pt>
                <c:pt idx="73">
                  <c:v>93.230359518638338</c:v>
                </c:pt>
                <c:pt idx="74">
                  <c:v>93.238850292997171</c:v>
                </c:pt>
                <c:pt idx="75">
                  <c:v>93.246893951217274</c:v>
                </c:pt>
                <c:pt idx="76">
                  <c:v>93.254507974634592</c:v>
                </c:pt>
                <c:pt idx="77">
                  <c:v>93.261708948020086</c:v>
                </c:pt>
                <c:pt idx="78">
                  <c:v>93.268512616328536</c:v>
                </c:pt>
                <c:pt idx="79">
                  <c:v>93.274933937190724</c:v>
                </c:pt>
                <c:pt idx="80">
                  <c:v>93.28098712951703</c:v>
                </c:pt>
                <c:pt idx="81">
                  <c:v>93.286685718544533</c:v>
                </c:pt>
                <c:pt idx="82">
                  <c:v>93.292042577627299</c:v>
                </c:pt>
                <c:pt idx="83">
                  <c:v>93.297069967041679</c:v>
                </c:pt>
                <c:pt idx="84">
                  <c:v>93.301779570051963</c:v>
                </c:pt>
                <c:pt idx="85">
                  <c:v>93.306182526459949</c:v>
                </c:pt>
                <c:pt idx="86">
                  <c:v>93.310289463840277</c:v>
                </c:pt>
                <c:pt idx="87">
                  <c:v>93.314110526646289</c:v>
                </c:pt>
                <c:pt idx="88">
                  <c:v>93.317655403353257</c:v>
                </c:pt>
                <c:pt idx="89">
                  <c:v>93.320933351792149</c:v>
                </c:pt>
                <c:pt idx="90">
                  <c:v>93.323953222812932</c:v>
                </c:pt>
                <c:pt idx="91">
                  <c:v>93.326723482404375</c:v>
                </c:pt>
                <c:pt idx="92">
                  <c:v>93.329252232386793</c:v>
                </c:pt>
                <c:pt idx="93">
                  <c:v>93.331547229783894</c:v>
                </c:pt>
                <c:pt idx="94">
                  <c:v>93.333615904971097</c:v>
                </c:pt>
                <c:pt idx="95">
                  <c:v>93.335465378689364</c:v>
                </c:pt>
                <c:pt idx="96">
                  <c:v>93.337102478006798</c:v>
                </c:pt>
                <c:pt idx="97">
                  <c:v>93.338533751302649</c:v>
                </c:pt>
                <c:pt idx="98">
                  <c:v>93.339765482343509</c:v>
                </c:pt>
                <c:pt idx="99">
                  <c:v>93.340803703514595</c:v>
                </c:pt>
                <c:pt idx="100">
                  <c:v>93.341654208265041</c:v>
                </c:pt>
                <c:pt idx="101">
                  <c:v>93.342322562821224</c:v>
                </c:pt>
                <c:pt idx="102">
                  <c:v>93.342814117217458</c:v>
                </c:pt>
                <c:pt idx="103">
                  <c:v>93.343134015690509</c:v>
                </c:pt>
                <c:pt idx="104">
                  <c:v>93.343287206480028</c:v>
                </c:pt>
                <c:pt idx="105">
                  <c:v>93.343278451074085</c:v>
                </c:pt>
                <c:pt idx="106">
                  <c:v>93.343112332936499</c:v>
                </c:pt>
                <c:pt idx="107">
                  <c:v>93.342793265748952</c:v>
                </c:pt>
                <c:pt idx="108">
                  <c:v>93.342325501199781</c:v>
                </c:pt>
                <c:pt idx="109">
                  <c:v>93.341713136347479</c:v>
                </c:pt>
                <c:pt idx="110">
                  <c:v>93.340960120586558</c:v>
                </c:pt>
                <c:pt idx="111">
                  <c:v>93.340070262239877</c:v>
                </c:pt>
                <c:pt idx="112">
                  <c:v>93.339047234801185</c:v>
                </c:pt>
                <c:pt idx="113">
                  <c:v>93.337894582848875</c:v>
                </c:pt>
                <c:pt idx="114">
                  <c:v>93.336615727651392</c:v>
                </c:pt>
                <c:pt idx="115">
                  <c:v>93.335213972482421</c:v>
                </c:pt>
                <c:pt idx="116">
                  <c:v>93.333692507663841</c:v>
                </c:pt>
                <c:pt idx="117">
                  <c:v>93.332054415351891</c:v>
                </c:pt>
                <c:pt idx="118">
                  <c:v>93.330302674082276</c:v>
                </c:pt>
                <c:pt idx="119">
                  <c:v>93.328440163087834</c:v>
                </c:pt>
                <c:pt idx="120">
                  <c:v>93.326469666402161</c:v>
                </c:pt>
                <c:pt idx="121">
                  <c:v>93.324393876761462</c:v>
                </c:pt>
                <c:pt idx="122">
                  <c:v>93.322215399315908</c:v>
                </c:pt>
                <c:pt idx="123">
                  <c:v>93.319936755161606</c:v>
                </c:pt>
                <c:pt idx="124">
                  <c:v>93.317560384702801</c:v>
                </c:pt>
                <c:pt idx="125">
                  <c:v>93.315088650854221</c:v>
                </c:pt>
                <c:pt idx="126">
                  <c:v>93.312523842091863</c:v>
                </c:pt>
                <c:pt idx="127">
                  <c:v>93.309868175360933</c:v>
                </c:pt>
                <c:pt idx="128">
                  <c:v>93.307123798848508</c:v>
                </c:pt>
                <c:pt idx="129">
                  <c:v>93.304292794628168</c:v>
                </c:pt>
                <c:pt idx="130">
                  <c:v>93.301377181183554</c:v>
                </c:pt>
                <c:pt idx="131">
                  <c:v>93.298378915817167</c:v>
                </c:pt>
                <c:pt idx="132">
                  <c:v>93.29529989695051</c:v>
                </c:pt>
                <c:pt idx="133">
                  <c:v>93.292141966321225</c:v>
                </c:pt>
                <c:pt idx="134">
                  <c:v>93.288906911082663</c:v>
                </c:pt>
                <c:pt idx="135">
                  <c:v>93.285596465810613</c:v>
                </c:pt>
                <c:pt idx="136">
                  <c:v>93.282212314422438</c:v>
                </c:pt>
                <c:pt idx="137">
                  <c:v>93.2787560920125</c:v>
                </c:pt>
                <c:pt idx="138">
                  <c:v>93.275229386608416</c:v>
                </c:pt>
                <c:pt idx="139">
                  <c:v>93.271633740852238</c:v>
                </c:pt>
                <c:pt idx="140">
                  <c:v>93.267970653609837</c:v>
                </c:pt>
                <c:pt idx="141">
                  <c:v>93.264241581512351</c:v>
                </c:pt>
                <c:pt idx="142">
                  <c:v>93.260447940433096</c:v>
                </c:pt>
                <c:pt idx="143">
                  <c:v>93.256591106902704</c:v>
                </c:pt>
                <c:pt idx="144">
                  <c:v>93.252672419465981</c:v>
                </c:pt>
                <c:pt idx="145">
                  <c:v>93.248693179982666</c:v>
                </c:pt>
                <c:pt idx="146">
                  <c:v>93.244654654875418</c:v>
                </c:pt>
                <c:pt idx="147">
                  <c:v>93.240558076327019</c:v>
                </c:pt>
                <c:pt idx="148">
                  <c:v>93.236404643429367</c:v>
                </c:pt>
                <c:pt idx="149">
                  <c:v>93.232195523286592</c:v>
                </c:pt>
                <c:pt idx="150">
                  <c:v>93.227931852074335</c:v>
                </c:pt>
              </c:numCache>
            </c:numRef>
          </c:yVal>
          <c:smooth val="0"/>
          <c:extLst>
            <c:ext xmlns:c16="http://schemas.microsoft.com/office/drawing/2014/chart" uri="{C3380CC4-5D6E-409C-BE32-E72D297353CC}">
              <c16:uniqueId val="{00000000-A180-432B-A347-F5CCD23FB4B3}"/>
            </c:ext>
          </c:extLst>
        </c:ser>
        <c:dLbls>
          <c:showLegendKey val="0"/>
          <c:showVal val="0"/>
          <c:showCatName val="0"/>
          <c:showSerName val="0"/>
          <c:showPercent val="0"/>
          <c:showBubbleSize val="0"/>
        </c:dLbls>
        <c:axId val="582892544"/>
        <c:axId val="582902528"/>
      </c:scatterChart>
      <c:scatterChart>
        <c:scatterStyle val="smoothMarker"/>
        <c:varyColors val="0"/>
        <c:ser>
          <c:idx val="1"/>
          <c:order val="1"/>
          <c:tx>
            <c:v>MOSFET</c:v>
          </c:tx>
          <c:spPr>
            <a:ln>
              <a:solidFill>
                <a:schemeClr val="tx2">
                  <a:lumMod val="75000"/>
                </a:schemeClr>
              </a:solidFill>
              <a:prstDash val="dash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Eff_vs_IOUT!$AJ$7:$AJ$157</c:f>
              <c:numCache>
                <c:formatCode>General</c:formatCode>
                <c:ptCount val="151"/>
                <c:pt idx="0">
                  <c:v>0</c:v>
                </c:pt>
                <c:pt idx="1">
                  <c:v>5.3217457793648254E-3</c:v>
                </c:pt>
                <c:pt idx="2">
                  <c:v>7.5709478729362734E-3</c:v>
                </c:pt>
                <c:pt idx="3">
                  <c:v>9.3274250830784142E-3</c:v>
                </c:pt>
                <c:pt idx="4">
                  <c:v>1.0833828368319344E-2</c:v>
                </c:pt>
                <c:pt idx="5">
                  <c:v>1.2183522684874338E-2</c:v>
                </c:pt>
                <c:pt idx="6">
                  <c:v>1.3424085085890498E-2</c:v>
                </c:pt>
                <c:pt idx="7">
                  <c:v>1.4583599736422721E-2</c:v>
                </c:pt>
                <c:pt idx="8">
                  <c:v>1.5680249540953685E-2</c:v>
                </c:pt>
                <c:pt idx="9">
                  <c:v>1.6726584576453245E-2</c:v>
                </c:pt>
                <c:pt idx="10">
                  <c:v>1.7731684552490558E-2</c:v>
                </c:pt>
                <c:pt idx="11">
                  <c:v>1.8702360281814479E-2</c:v>
                </c:pt>
                <c:pt idx="12">
                  <c:v>1.9643869240436561E-2</c:v>
                </c:pt>
                <c:pt idx="13">
                  <c:v>2.0560365535651669E-2</c:v>
                </c:pt>
                <c:pt idx="14">
                  <c:v>2.145519551997534E-2</c:v>
                </c:pt>
                <c:pt idx="15">
                  <c:v>2.2331099128222221E-2</c:v>
                </c:pt>
                <c:pt idx="16">
                  <c:v>2.319035121335623E-2</c:v>
                </c:pt>
                <c:pt idx="17">
                  <c:v>2.4034863348689831E-2</c:v>
                </c:pt>
                <c:pt idx="18">
                  <c:v>2.4866258799133373E-2</c:v>
                </c:pt>
                <c:pt idx="19">
                  <c:v>2.5685928810177613E-2</c:v>
                </c:pt>
                <c:pt idx="20">
                  <c:v>2.6495075594063614E-2</c:v>
                </c:pt>
                <c:pt idx="21">
                  <c:v>2.7294745654854947E-2</c:v>
                </c:pt>
                <c:pt idx="22">
                  <c:v>2.8085855973115626E-2</c:v>
                </c:pt>
                <c:pt idx="23">
                  <c:v>2.886921482981665E-2</c:v>
                </c:pt>
                <c:pt idx="24">
                  <c:v>2.9645538548365161E-2</c:v>
                </c:pt>
                <c:pt idx="25">
                  <c:v>3.0415465088617977E-2</c:v>
                </c:pt>
                <c:pt idx="26">
                  <c:v>3.1179565184748102E-2</c:v>
                </c:pt>
                <c:pt idx="27">
                  <c:v>3.1938351546354181E-2</c:v>
                </c:pt>
                <c:pt idx="28">
                  <c:v>3.2692286517455912E-2</c:v>
                </c:pt>
                <c:pt idx="29">
                  <c:v>3.3441788496573858E-2</c:v>
                </c:pt>
                <c:pt idx="30">
                  <c:v>3.4187237353225874E-2</c:v>
                </c:pt>
                <c:pt idx="31">
                  <c:v>3.4928979025229831E-2</c:v>
                </c:pt>
                <c:pt idx="32">
                  <c:v>3.5667329442556475E-2</c:v>
                </c:pt>
                <c:pt idx="33">
                  <c:v>3.6402577893871496E-2</c:v>
                </c:pt>
                <c:pt idx="34">
                  <c:v>3.7134989929019369E-2</c:v>
                </c:pt>
                <c:pt idx="35">
                  <c:v>3.7864809872857771E-2</c:v>
                </c:pt>
                <c:pt idx="36">
                  <c:v>3.8592263011828193E-2</c:v>
                </c:pt>
                <c:pt idx="37">
                  <c:v>3.9317557503545195E-2</c:v>
                </c:pt>
                <c:pt idx="38">
                  <c:v>4.0040886050834286E-2</c:v>
                </c:pt>
                <c:pt idx="39">
                  <c:v>4.0762427374543192E-2</c:v>
                </c:pt>
                <c:pt idx="40">
                  <c:v>4.14823475137132E-2</c:v>
                </c:pt>
                <c:pt idx="41">
                  <c:v>4.220080097703624E-2</c:v>
                </c:pt>
                <c:pt idx="42">
                  <c:v>4.2917931765715581E-2</c:v>
                </c:pt>
                <c:pt idx="43">
                  <c:v>4.3633874284721791E-2</c:v>
                </c:pt>
                <c:pt idx="44">
                  <c:v>4.4348754156854603E-2</c:v>
                </c:pt>
                <c:pt idx="45">
                  <c:v>4.5062688951882757E-2</c:v>
                </c:pt>
                <c:pt idx="46">
                  <c:v>4.5775788841250747E-2</c:v>
                </c:pt>
                <c:pt idx="47">
                  <c:v>4.6488157187351442E-2</c:v>
                </c:pt>
                <c:pt idx="48">
                  <c:v>4.7199891075110995E-2</c:v>
                </c:pt>
                <c:pt idx="49">
                  <c:v>4.7911081792576575E-2</c:v>
                </c:pt>
                <c:pt idx="50">
                  <c:v>4.862181526630413E-2</c:v>
                </c:pt>
                <c:pt idx="51">
                  <c:v>4.9332172456583723E-2</c:v>
                </c:pt>
                <c:pt idx="52">
                  <c:v>5.0042229716893566E-2</c:v>
                </c:pt>
                <c:pt idx="53">
                  <c:v>5.1045028398696991E-2</c:v>
                </c:pt>
                <c:pt idx="54">
                  <c:v>5.2129514008259409E-2</c:v>
                </c:pt>
                <c:pt idx="55">
                  <c:v>5.3220585356215634E-2</c:v>
                </c:pt>
                <c:pt idx="56">
                  <c:v>5.4318242442565653E-2</c:v>
                </c:pt>
                <c:pt idx="57">
                  <c:v>5.5422485267309488E-2</c:v>
                </c:pt>
                <c:pt idx="58">
                  <c:v>5.6533313830447129E-2</c:v>
                </c:pt>
                <c:pt idx="59">
                  <c:v>5.7650728131978579E-2</c:v>
                </c:pt>
                <c:pt idx="60">
                  <c:v>5.8774728171903837E-2</c:v>
                </c:pt>
                <c:pt idx="61">
                  <c:v>5.9905313950222902E-2</c:v>
                </c:pt>
                <c:pt idx="62">
                  <c:v>6.1042485466935775E-2</c:v>
                </c:pt>
                <c:pt idx="63">
                  <c:v>6.218624272204247E-2</c:v>
                </c:pt>
                <c:pt idx="64">
                  <c:v>6.3336585715542959E-2</c:v>
                </c:pt>
                <c:pt idx="65">
                  <c:v>6.4493514447437256E-2</c:v>
                </c:pt>
                <c:pt idx="66">
                  <c:v>6.5657028917725346E-2</c:v>
                </c:pt>
                <c:pt idx="67">
                  <c:v>6.6827129126407273E-2</c:v>
                </c:pt>
                <c:pt idx="68">
                  <c:v>6.8003815073482993E-2</c:v>
                </c:pt>
                <c:pt idx="69">
                  <c:v>6.9187086758952521E-2</c:v>
                </c:pt>
                <c:pt idx="70">
                  <c:v>7.037694418281587E-2</c:v>
                </c:pt>
                <c:pt idx="71">
                  <c:v>7.1573387345072986E-2</c:v>
                </c:pt>
                <c:pt idx="72">
                  <c:v>7.2776416245723966E-2</c:v>
                </c:pt>
                <c:pt idx="73">
                  <c:v>7.3986030884768725E-2</c:v>
                </c:pt>
                <c:pt idx="74">
                  <c:v>7.5202231262207292E-2</c:v>
                </c:pt>
                <c:pt idx="75">
                  <c:v>7.6425017378039653E-2</c:v>
                </c:pt>
                <c:pt idx="76">
                  <c:v>7.765438923226585E-2</c:v>
                </c:pt>
                <c:pt idx="77">
                  <c:v>7.889034682488584E-2</c:v>
                </c:pt>
                <c:pt idx="78">
                  <c:v>8.0132890155899639E-2</c:v>
                </c:pt>
                <c:pt idx="79">
                  <c:v>8.1382019225307259E-2</c:v>
                </c:pt>
                <c:pt idx="80">
                  <c:v>8.2637734033108659E-2</c:v>
                </c:pt>
                <c:pt idx="81">
                  <c:v>8.3900034579303909E-2</c:v>
                </c:pt>
                <c:pt idx="82">
                  <c:v>8.5168920863892952E-2</c:v>
                </c:pt>
                <c:pt idx="83">
                  <c:v>8.6444392886875748E-2</c:v>
                </c:pt>
                <c:pt idx="84">
                  <c:v>8.7726450648252408E-2</c:v>
                </c:pt>
                <c:pt idx="85">
                  <c:v>8.9015094148022861E-2</c:v>
                </c:pt>
                <c:pt idx="86">
                  <c:v>9.0310323386187136E-2</c:v>
                </c:pt>
                <c:pt idx="87">
                  <c:v>9.1612138362745191E-2</c:v>
                </c:pt>
                <c:pt idx="88">
                  <c:v>9.2920539077697081E-2</c:v>
                </c:pt>
                <c:pt idx="89">
                  <c:v>9.423552553104278E-2</c:v>
                </c:pt>
                <c:pt idx="90">
                  <c:v>9.5557097722782286E-2</c:v>
                </c:pt>
                <c:pt idx="91">
                  <c:v>9.6885255652915572E-2</c:v>
                </c:pt>
                <c:pt idx="92">
                  <c:v>9.8219999321442694E-2</c:v>
                </c:pt>
                <c:pt idx="93">
                  <c:v>9.9561328728363596E-2</c:v>
                </c:pt>
                <c:pt idx="94">
                  <c:v>0.10090924387367833</c:v>
                </c:pt>
                <c:pt idx="95">
                  <c:v>0.10226374475738688</c:v>
                </c:pt>
                <c:pt idx="96">
                  <c:v>0.10362483137948919</c:v>
                </c:pt>
                <c:pt idx="97">
                  <c:v>0.10499250373998532</c:v>
                </c:pt>
                <c:pt idx="98">
                  <c:v>0.10636676183887531</c:v>
                </c:pt>
                <c:pt idx="99">
                  <c:v>0.10774760567615907</c:v>
                </c:pt>
                <c:pt idx="100">
                  <c:v>0.10913503525183663</c:v>
                </c:pt>
                <c:pt idx="101">
                  <c:v>0.11052905056590803</c:v>
                </c:pt>
                <c:pt idx="102">
                  <c:v>0.11192965161837323</c:v>
                </c:pt>
                <c:pt idx="103">
                  <c:v>0.11333683840923221</c:v>
                </c:pt>
                <c:pt idx="104">
                  <c:v>0.11475061093848501</c:v>
                </c:pt>
                <c:pt idx="105">
                  <c:v>0.11617096920613165</c:v>
                </c:pt>
                <c:pt idx="106">
                  <c:v>0.11759791321217208</c:v>
                </c:pt>
                <c:pt idx="107">
                  <c:v>0.11903144295660628</c:v>
                </c:pt>
                <c:pt idx="108">
                  <c:v>0.12047155843943436</c:v>
                </c:pt>
                <c:pt idx="109">
                  <c:v>0.12191825966065617</c:v>
                </c:pt>
                <c:pt idx="110">
                  <c:v>0.12337154662027185</c:v>
                </c:pt>
                <c:pt idx="111">
                  <c:v>0.12483141931828132</c:v>
                </c:pt>
                <c:pt idx="112">
                  <c:v>0.1262978777546846</c:v>
                </c:pt>
                <c:pt idx="113">
                  <c:v>0.12777092192948164</c:v>
                </c:pt>
                <c:pt idx="114">
                  <c:v>0.12925055184267253</c:v>
                </c:pt>
                <c:pt idx="115">
                  <c:v>0.13073676749425722</c:v>
                </c:pt>
                <c:pt idx="116">
                  <c:v>0.1322295688842357</c:v>
                </c:pt>
                <c:pt idx="117">
                  <c:v>0.13372895601260798</c:v>
                </c:pt>
                <c:pt idx="118">
                  <c:v>0.13523492887937411</c:v>
                </c:pt>
                <c:pt idx="119">
                  <c:v>0.13674748748453405</c:v>
                </c:pt>
                <c:pt idx="120">
                  <c:v>0.13826663182808779</c:v>
                </c:pt>
                <c:pt idx="121">
                  <c:v>0.13979236191003536</c:v>
                </c:pt>
                <c:pt idx="122">
                  <c:v>0.14132467773037669</c:v>
                </c:pt>
                <c:pt idx="123">
                  <c:v>0.14286357928911181</c:v>
                </c:pt>
                <c:pt idx="124">
                  <c:v>0.14440906658624078</c:v>
                </c:pt>
                <c:pt idx="125">
                  <c:v>0.14596113962176355</c:v>
                </c:pt>
                <c:pt idx="126">
                  <c:v>0.14751979839568016</c:v>
                </c:pt>
                <c:pt idx="127">
                  <c:v>0.14908504290799049</c:v>
                </c:pt>
                <c:pt idx="128">
                  <c:v>0.15065687315869472</c:v>
                </c:pt>
                <c:pt idx="129">
                  <c:v>0.15223528914779272</c:v>
                </c:pt>
                <c:pt idx="130">
                  <c:v>0.15382029087528451</c:v>
                </c:pt>
                <c:pt idx="131">
                  <c:v>0.15541187834117015</c:v>
                </c:pt>
                <c:pt idx="132">
                  <c:v>0.15701005154544956</c:v>
                </c:pt>
                <c:pt idx="133">
                  <c:v>0.15861481048812281</c:v>
                </c:pt>
                <c:pt idx="134">
                  <c:v>0.16022615516918987</c:v>
                </c:pt>
                <c:pt idx="135">
                  <c:v>0.16184408558865071</c:v>
                </c:pt>
                <c:pt idx="136">
                  <c:v>0.16346860174650535</c:v>
                </c:pt>
                <c:pt idx="137">
                  <c:v>0.16509970364275384</c:v>
                </c:pt>
                <c:pt idx="138">
                  <c:v>0.16673739127739612</c:v>
                </c:pt>
                <c:pt idx="139">
                  <c:v>0.16838166465043219</c:v>
                </c:pt>
                <c:pt idx="140">
                  <c:v>0.17003252376186209</c:v>
                </c:pt>
                <c:pt idx="141">
                  <c:v>0.17168996861168573</c:v>
                </c:pt>
                <c:pt idx="142">
                  <c:v>0.17335399919990319</c:v>
                </c:pt>
                <c:pt idx="143">
                  <c:v>0.17502461552651455</c:v>
                </c:pt>
                <c:pt idx="144">
                  <c:v>0.17670181759151971</c:v>
                </c:pt>
                <c:pt idx="145">
                  <c:v>0.17838560539491857</c:v>
                </c:pt>
                <c:pt idx="146">
                  <c:v>0.18007597893671137</c:v>
                </c:pt>
                <c:pt idx="147">
                  <c:v>0.18177293821689791</c:v>
                </c:pt>
                <c:pt idx="148">
                  <c:v>0.18347648323547824</c:v>
                </c:pt>
                <c:pt idx="149">
                  <c:v>0.1851866139924524</c:v>
                </c:pt>
                <c:pt idx="150">
                  <c:v>0.18690333048782037</c:v>
                </c:pt>
              </c:numCache>
            </c:numRef>
          </c:yVal>
          <c:smooth val="1"/>
          <c:extLst>
            <c:ext xmlns:c16="http://schemas.microsoft.com/office/drawing/2014/chart" uri="{C3380CC4-5D6E-409C-BE32-E72D297353CC}">
              <c16:uniqueId val="{00000001-A180-432B-A347-F5CCD23FB4B3}"/>
            </c:ext>
          </c:extLst>
        </c:ser>
        <c:ser>
          <c:idx val="3"/>
          <c:order val="2"/>
          <c:tx>
            <c:v>RS</c:v>
          </c:tx>
          <c:spPr>
            <a:ln>
              <a:solidFill>
                <a:schemeClr val="accent5">
                  <a:lumMod val="75000"/>
                </a:schemeClr>
              </a:solidFill>
              <a:prstDash val="lgDashDotDot"/>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Eff_vs_IOUT!$BU$7:$BU$157</c:f>
              <c:numCache>
                <c:formatCode>General</c:formatCode>
                <c:ptCount val="151"/>
                <c:pt idx="0">
                  <c:v>0</c:v>
                </c:pt>
                <c:pt idx="1">
                  <c:v>7.2925980685706084E-6</c:v>
                </c:pt>
                <c:pt idx="2">
                  <c:v>2.0626582187016798E-5</c:v>
                </c:pt>
                <c:pt idx="3">
                  <c:v>3.7893451121828883E-5</c:v>
                </c:pt>
                <c:pt idx="4">
                  <c:v>5.8340784548564888E-5</c:v>
                </c:pt>
                <c:pt idx="5">
                  <c:v>8.1533725069537797E-5</c:v>
                </c:pt>
                <c:pt idx="6">
                  <c:v>1.0717886500322474E-4</c:v>
                </c:pt>
                <c:pt idx="7">
                  <c:v>1.3506080630691465E-4</c:v>
                </c:pt>
                <c:pt idx="8">
                  <c:v>1.6501265749613439E-4</c:v>
                </c:pt>
                <c:pt idx="9">
                  <c:v>1.9690014785140648E-4</c:v>
                </c:pt>
                <c:pt idx="10">
                  <c:v>2.3061219956827911E-4</c:v>
                </c:pt>
                <c:pt idx="11">
                  <c:v>2.6605492694351115E-4</c:v>
                </c:pt>
                <c:pt idx="12">
                  <c:v>3.0314760897463101E-4</c:v>
                </c:pt>
                <c:pt idx="13">
                  <c:v>3.4181987147855283E-4</c:v>
                </c:pt>
                <c:pt idx="14">
                  <c:v>3.8200964804856852E-4</c:v>
                </c:pt>
                <c:pt idx="15">
                  <c:v>4.2366166305237519E-4</c:v>
                </c:pt>
                <c:pt idx="16">
                  <c:v>4.6672627638851894E-4</c:v>
                </c:pt>
                <c:pt idx="17">
                  <c:v>5.1115858607216384E-4</c:v>
                </c:pt>
                <c:pt idx="18">
                  <c:v>5.5691771904945332E-4</c:v>
                </c:pt>
                <c:pt idx="19">
                  <c:v>6.039662623184243E-4</c:v>
                </c:pt>
                <c:pt idx="20">
                  <c:v>6.5226980055630248E-4</c:v>
                </c:pt>
                <c:pt idx="21">
                  <c:v>7.0179653590438519E-4</c:v>
                </c:pt>
                <c:pt idx="22">
                  <c:v>7.5251697203939272E-4</c:v>
                </c:pt>
                <c:pt idx="23">
                  <c:v>8.0440364919430907E-4</c:v>
                </c:pt>
                <c:pt idx="24">
                  <c:v>8.574309200257978E-4</c:v>
                </c:pt>
                <c:pt idx="25">
                  <c:v>9.1157475857132583E-4</c:v>
                </c:pt>
                <c:pt idx="26">
                  <c:v>9.6681259626719518E-4</c:v>
                </c:pt>
                <c:pt idx="27">
                  <c:v>1.0231231802893806E-3</c:v>
                </c:pt>
                <c:pt idx="28">
                  <c:v>1.0804864504553168E-3</c:v>
                </c:pt>
                <c:pt idx="29">
                  <c:v>1.1388834316718619E-3</c:v>
                </c:pt>
                <c:pt idx="30">
                  <c:v>1.1982961394924193E-3</c:v>
                </c:pt>
                <c:pt idx="31">
                  <c:v>1.2587074967975453E-3</c:v>
                </c:pt>
                <c:pt idx="32">
                  <c:v>1.3201012599690751E-3</c:v>
                </c:pt>
                <c:pt idx="33">
                  <c:v>1.3824619532105612E-3</c:v>
                </c:pt>
                <c:pt idx="34">
                  <c:v>1.4457748098934179E-3</c:v>
                </c:pt>
                <c:pt idx="35">
                  <c:v>1.5100257199909663E-3</c:v>
                </c:pt>
                <c:pt idx="36">
                  <c:v>1.5752011828112514E-3</c:v>
                </c:pt>
                <c:pt idx="37">
                  <c:v>1.6412882643609794E-3</c:v>
                </c:pt>
                <c:pt idx="38">
                  <c:v>1.7082745587730052E-3</c:v>
                </c:pt>
                <c:pt idx="39">
                  <c:v>1.7761481533125516E-3</c:v>
                </c:pt>
                <c:pt idx="40">
                  <c:v>1.8448975965462326E-3</c:v>
                </c:pt>
                <c:pt idx="41">
                  <c:v>1.9145118693155395E-3</c:v>
                </c:pt>
                <c:pt idx="42">
                  <c:v>1.9849803582048763E-3</c:v>
                </c:pt>
                <c:pt idx="43">
                  <c:v>2.0562928312350972E-3</c:v>
                </c:pt>
                <c:pt idx="44">
                  <c:v>2.1284394155480892E-3</c:v>
                </c:pt>
                <c:pt idx="45">
                  <c:v>2.2014105768775206E-3</c:v>
                </c:pt>
                <c:pt idx="46">
                  <c:v>2.275197100626002E-3</c:v>
                </c:pt>
                <c:pt idx="47">
                  <c:v>2.3497900743905784E-3</c:v>
                </c:pt>
                <c:pt idx="48">
                  <c:v>2.4251808717970485E-3</c:v>
                </c:pt>
                <c:pt idx="49">
                  <c:v>2.5013611375197201E-3</c:v>
                </c:pt>
                <c:pt idx="50">
                  <c:v>2.578322773377099E-3</c:v>
                </c:pt>
                <c:pt idx="51">
                  <c:v>2.6560579254061687E-3</c:v>
                </c:pt>
                <c:pt idx="52">
                  <c:v>2.7345589718284226E-3</c:v>
                </c:pt>
                <c:pt idx="53">
                  <c:v>2.8140580017313498E-3</c:v>
                </c:pt>
                <c:pt idx="54">
                  <c:v>2.8950550141609421E-3</c:v>
                </c:pt>
                <c:pt idx="55">
                  <c:v>2.9775659894396862E-3</c:v>
                </c:pt>
                <c:pt idx="56">
                  <c:v>3.0615909275675773E-3</c:v>
                </c:pt>
                <c:pt idx="57">
                  <c:v>3.1471298285446233E-3</c:v>
                </c:pt>
                <c:pt idx="58">
                  <c:v>3.2341826923708186E-3</c:v>
                </c:pt>
                <c:pt idx="59">
                  <c:v>3.3227495190461648E-3</c:v>
                </c:pt>
                <c:pt idx="60">
                  <c:v>3.4128303085706651E-3</c:v>
                </c:pt>
                <c:pt idx="61">
                  <c:v>3.5044250609443128E-3</c:v>
                </c:pt>
                <c:pt idx="62">
                  <c:v>3.5975337761671145E-3</c:v>
                </c:pt>
                <c:pt idx="63">
                  <c:v>3.6921564542390681E-3</c:v>
                </c:pt>
                <c:pt idx="64">
                  <c:v>3.78829309516017E-3</c:v>
                </c:pt>
                <c:pt idx="65">
                  <c:v>3.885943698930425E-3</c:v>
                </c:pt>
                <c:pt idx="66">
                  <c:v>3.9851082655498306E-3</c:v>
                </c:pt>
                <c:pt idx="67">
                  <c:v>4.085786795018388E-3</c:v>
                </c:pt>
                <c:pt idx="68">
                  <c:v>4.1879792873360982E-3</c:v>
                </c:pt>
                <c:pt idx="69">
                  <c:v>4.291685742502954E-3</c:v>
                </c:pt>
                <c:pt idx="70">
                  <c:v>4.3969061605189678E-3</c:v>
                </c:pt>
                <c:pt idx="71">
                  <c:v>4.5036405413841265E-3</c:v>
                </c:pt>
                <c:pt idx="72">
                  <c:v>4.6118888850984422E-3</c:v>
                </c:pt>
                <c:pt idx="73">
                  <c:v>4.7216511916619054E-3</c:v>
                </c:pt>
                <c:pt idx="74">
                  <c:v>4.8329274610745213E-3</c:v>
                </c:pt>
                <c:pt idx="75">
                  <c:v>4.9457176933362882E-3</c:v>
                </c:pt>
                <c:pt idx="76">
                  <c:v>5.0600218884472069E-3</c:v>
                </c:pt>
                <c:pt idx="77">
                  <c:v>5.1758400464072766E-3</c:v>
                </c:pt>
                <c:pt idx="78">
                  <c:v>5.2931721672164972E-3</c:v>
                </c:pt>
                <c:pt idx="79">
                  <c:v>5.4120182508748697E-3</c:v>
                </c:pt>
                <c:pt idx="80">
                  <c:v>5.5323782973823897E-3</c:v>
                </c:pt>
                <c:pt idx="81">
                  <c:v>5.6542523067390684E-3</c:v>
                </c:pt>
                <c:pt idx="82">
                  <c:v>5.7776402789448955E-3</c:v>
                </c:pt>
                <c:pt idx="83">
                  <c:v>5.9025422139998684E-3</c:v>
                </c:pt>
                <c:pt idx="84">
                  <c:v>6.0289581119039939E-3</c:v>
                </c:pt>
                <c:pt idx="85">
                  <c:v>6.1568879726572765E-3</c:v>
                </c:pt>
                <c:pt idx="86">
                  <c:v>6.2863317962597075E-3</c:v>
                </c:pt>
                <c:pt idx="87">
                  <c:v>6.4172895827112868E-3</c:v>
                </c:pt>
                <c:pt idx="88">
                  <c:v>6.5497613320120206E-3</c:v>
                </c:pt>
                <c:pt idx="89">
                  <c:v>6.6837470441619027E-3</c:v>
                </c:pt>
                <c:pt idx="90">
                  <c:v>6.8192467191609428E-3</c:v>
                </c:pt>
                <c:pt idx="91">
                  <c:v>6.9562603570091286E-3</c:v>
                </c:pt>
                <c:pt idx="92">
                  <c:v>7.0947879577064671E-3</c:v>
                </c:pt>
                <c:pt idx="93">
                  <c:v>7.2348295212529548E-3</c:v>
                </c:pt>
                <c:pt idx="94">
                  <c:v>7.3763850476485961E-3</c:v>
                </c:pt>
                <c:pt idx="95">
                  <c:v>7.5194545368933901E-3</c:v>
                </c:pt>
                <c:pt idx="96">
                  <c:v>7.6640379889873298E-3</c:v>
                </c:pt>
                <c:pt idx="97">
                  <c:v>7.8101354039304188E-3</c:v>
                </c:pt>
                <c:pt idx="98">
                  <c:v>7.9577467817226709E-3</c:v>
                </c:pt>
                <c:pt idx="99">
                  <c:v>8.1068721223640644E-3</c:v>
                </c:pt>
                <c:pt idx="100">
                  <c:v>8.2575114258546106E-3</c:v>
                </c:pt>
                <c:pt idx="101">
                  <c:v>8.409664692194313E-3</c:v>
                </c:pt>
                <c:pt idx="102">
                  <c:v>8.5633319213831629E-3</c:v>
                </c:pt>
                <c:pt idx="103">
                  <c:v>8.7185131134211637E-3</c:v>
                </c:pt>
                <c:pt idx="104">
                  <c:v>8.8752082683083156E-3</c:v>
                </c:pt>
                <c:pt idx="105">
                  <c:v>9.0334173860446253E-3</c:v>
                </c:pt>
                <c:pt idx="106">
                  <c:v>9.1931404666300807E-3</c:v>
                </c:pt>
                <c:pt idx="107">
                  <c:v>9.3543775100646837E-3</c:v>
                </c:pt>
                <c:pt idx="108">
                  <c:v>9.5171285163484463E-3</c:v>
                </c:pt>
                <c:pt idx="109">
                  <c:v>9.6813934854813512E-3</c:v>
                </c:pt>
                <c:pt idx="110">
                  <c:v>9.8471724174634141E-3</c:v>
                </c:pt>
                <c:pt idx="111">
                  <c:v>1.0014465312294628E-2</c:v>
                </c:pt>
                <c:pt idx="112">
                  <c:v>1.0183272169974991E-2</c:v>
                </c:pt>
                <c:pt idx="113">
                  <c:v>1.03535929905045E-2</c:v>
                </c:pt>
                <c:pt idx="114">
                  <c:v>1.0525427773883165E-2</c:v>
                </c:pt>
                <c:pt idx="115">
                  <c:v>1.0698776520110982E-2</c:v>
                </c:pt>
                <c:pt idx="116">
                  <c:v>1.0873639229187944E-2</c:v>
                </c:pt>
                <c:pt idx="117">
                  <c:v>1.1050015901114062E-2</c:v>
                </c:pt>
                <c:pt idx="118">
                  <c:v>1.1227906535889334E-2</c:v>
                </c:pt>
                <c:pt idx="119">
                  <c:v>1.1407311133513759E-2</c:v>
                </c:pt>
                <c:pt idx="120">
                  <c:v>1.1588229693987335E-2</c:v>
                </c:pt>
                <c:pt idx="121">
                  <c:v>1.1770662217310057E-2</c:v>
                </c:pt>
                <c:pt idx="122">
                  <c:v>1.1954608703481929E-2</c:v>
                </c:pt>
                <c:pt idx="123">
                  <c:v>1.2140069152502955E-2</c:v>
                </c:pt>
                <c:pt idx="124">
                  <c:v>1.2327043564373133E-2</c:v>
                </c:pt>
                <c:pt idx="125">
                  <c:v>1.2515531939092462E-2</c:v>
                </c:pt>
                <c:pt idx="126">
                  <c:v>1.2705534276660947E-2</c:v>
                </c:pt>
                <c:pt idx="127">
                  <c:v>1.2897050577078569E-2</c:v>
                </c:pt>
                <c:pt idx="128">
                  <c:v>1.3090080840345355E-2</c:v>
                </c:pt>
                <c:pt idx="129">
                  <c:v>1.3284625066461284E-2</c:v>
                </c:pt>
                <c:pt idx="130">
                  <c:v>1.3480683255426371E-2</c:v>
                </c:pt>
                <c:pt idx="131">
                  <c:v>1.3678255407240613E-2</c:v>
                </c:pt>
                <c:pt idx="132">
                  <c:v>1.3877341521903997E-2</c:v>
                </c:pt>
                <c:pt idx="133">
                  <c:v>1.4077941599416536E-2</c:v>
                </c:pt>
                <c:pt idx="134">
                  <c:v>1.4280055639778225E-2</c:v>
                </c:pt>
                <c:pt idx="135">
                  <c:v>1.4483683642989069E-2</c:v>
                </c:pt>
                <c:pt idx="136">
                  <c:v>1.4688825609049062E-2</c:v>
                </c:pt>
                <c:pt idx="137">
                  <c:v>1.4895481537958201E-2</c:v>
                </c:pt>
                <c:pt idx="138">
                  <c:v>1.5103651429716498E-2</c:v>
                </c:pt>
                <c:pt idx="139">
                  <c:v>1.5313335284323947E-2</c:v>
                </c:pt>
                <c:pt idx="140">
                  <c:v>1.5524533101780546E-2</c:v>
                </c:pt>
                <c:pt idx="141">
                  <c:v>1.5737244882086283E-2</c:v>
                </c:pt>
                <c:pt idx="142">
                  <c:v>1.5951470625241177E-2</c:v>
                </c:pt>
                <c:pt idx="143">
                  <c:v>1.6167210331245237E-2</c:v>
                </c:pt>
                <c:pt idx="144">
                  <c:v>1.6384464000098443E-2</c:v>
                </c:pt>
                <c:pt idx="145">
                  <c:v>1.6603231631800785E-2</c:v>
                </c:pt>
                <c:pt idx="146">
                  <c:v>1.68235132263523E-2</c:v>
                </c:pt>
                <c:pt idx="147">
                  <c:v>1.7045308783752957E-2</c:v>
                </c:pt>
                <c:pt idx="148">
                  <c:v>1.726861830400276E-2</c:v>
                </c:pt>
                <c:pt idx="149">
                  <c:v>1.7493441787101716E-2</c:v>
                </c:pt>
                <c:pt idx="150">
                  <c:v>1.7719779233049831E-2</c:v>
                </c:pt>
              </c:numCache>
            </c:numRef>
          </c:yVal>
          <c:smooth val="1"/>
          <c:extLst>
            <c:ext xmlns:c16="http://schemas.microsoft.com/office/drawing/2014/chart" uri="{C3380CC4-5D6E-409C-BE32-E72D297353CC}">
              <c16:uniqueId val="{00000002-A180-432B-A347-F5CCD23FB4B3}"/>
            </c:ext>
          </c:extLst>
        </c:ser>
        <c:ser>
          <c:idx val="2"/>
          <c:order val="3"/>
          <c:tx>
            <c:v>D1</c:v>
          </c:tx>
          <c:spPr>
            <a:ln>
              <a:solidFill>
                <a:schemeClr val="bg2">
                  <a:lumMod val="50000"/>
                </a:schemeClr>
              </a:solidFill>
              <a:prstDash val="sysDash"/>
            </a:ln>
          </c:spPr>
          <c:marker>
            <c:symbol val="none"/>
          </c:marker>
          <c:xVal>
            <c:numRef>
              <c:f>Eff_vs_IOUT!$R$7:$R$157</c:f>
              <c:numCache>
                <c:formatCode>General</c:formatCode>
                <c:ptCount val="151"/>
                <c:pt idx="0">
                  <c:v>0</c:v>
                </c:pt>
                <c:pt idx="1">
                  <c:v>0.16216666666666668</c:v>
                </c:pt>
                <c:pt idx="2">
                  <c:v>0.32433333333333336</c:v>
                </c:pt>
                <c:pt idx="3">
                  <c:v>0.48649999999999999</c:v>
                </c:pt>
                <c:pt idx="4">
                  <c:v>0.64866666666666672</c:v>
                </c:pt>
                <c:pt idx="5">
                  <c:v>0.81083333333333341</c:v>
                </c:pt>
                <c:pt idx="6">
                  <c:v>0.97299999999999998</c:v>
                </c:pt>
                <c:pt idx="7">
                  <c:v>1.1351666666666669</c:v>
                </c:pt>
                <c:pt idx="8">
                  <c:v>1.2973333333333334</c:v>
                </c:pt>
                <c:pt idx="9">
                  <c:v>1.4595</c:v>
                </c:pt>
                <c:pt idx="10">
                  <c:v>1.6216666666666668</c:v>
                </c:pt>
                <c:pt idx="11">
                  <c:v>1.7838333333333334</c:v>
                </c:pt>
                <c:pt idx="12">
                  <c:v>1.946</c:v>
                </c:pt>
                <c:pt idx="13">
                  <c:v>2.1081666666666665</c:v>
                </c:pt>
                <c:pt idx="14">
                  <c:v>2.2703333333333338</c:v>
                </c:pt>
                <c:pt idx="15">
                  <c:v>2.4325000000000001</c:v>
                </c:pt>
                <c:pt idx="16">
                  <c:v>2.5946666666666669</c:v>
                </c:pt>
                <c:pt idx="17">
                  <c:v>2.7568333333333337</c:v>
                </c:pt>
                <c:pt idx="18">
                  <c:v>2.919</c:v>
                </c:pt>
                <c:pt idx="19">
                  <c:v>3.0811666666666668</c:v>
                </c:pt>
                <c:pt idx="20">
                  <c:v>3.2433333333333336</c:v>
                </c:pt>
                <c:pt idx="21">
                  <c:v>3.4055</c:v>
                </c:pt>
                <c:pt idx="22">
                  <c:v>3.5676666666666668</c:v>
                </c:pt>
                <c:pt idx="23">
                  <c:v>3.7298333333333336</c:v>
                </c:pt>
                <c:pt idx="24">
                  <c:v>3.8919999999999999</c:v>
                </c:pt>
                <c:pt idx="25">
                  <c:v>4.0541666666666663</c:v>
                </c:pt>
                <c:pt idx="26">
                  <c:v>4.216333333333333</c:v>
                </c:pt>
                <c:pt idx="27">
                  <c:v>4.3785000000000007</c:v>
                </c:pt>
                <c:pt idx="28">
                  <c:v>4.5406666666666675</c:v>
                </c:pt>
                <c:pt idx="29">
                  <c:v>4.7028333333333334</c:v>
                </c:pt>
                <c:pt idx="30">
                  <c:v>4.8650000000000002</c:v>
                </c:pt>
                <c:pt idx="31">
                  <c:v>5.027166666666667</c:v>
                </c:pt>
                <c:pt idx="32">
                  <c:v>5.1893333333333338</c:v>
                </c:pt>
                <c:pt idx="33">
                  <c:v>5.3515000000000006</c:v>
                </c:pt>
                <c:pt idx="34">
                  <c:v>5.5136666666666674</c:v>
                </c:pt>
                <c:pt idx="35">
                  <c:v>5.6758333333333342</c:v>
                </c:pt>
                <c:pt idx="36">
                  <c:v>5.8380000000000001</c:v>
                </c:pt>
                <c:pt idx="37">
                  <c:v>6.0001666666666669</c:v>
                </c:pt>
                <c:pt idx="38">
                  <c:v>6.1623333333333337</c:v>
                </c:pt>
                <c:pt idx="39">
                  <c:v>6.3245000000000005</c:v>
                </c:pt>
                <c:pt idx="40">
                  <c:v>6.4866666666666672</c:v>
                </c:pt>
                <c:pt idx="41">
                  <c:v>6.648833333333334</c:v>
                </c:pt>
                <c:pt idx="42">
                  <c:v>6.8109999999999999</c:v>
                </c:pt>
                <c:pt idx="43">
                  <c:v>6.9731666666666667</c:v>
                </c:pt>
                <c:pt idx="44">
                  <c:v>7.1353333333333335</c:v>
                </c:pt>
                <c:pt idx="45">
                  <c:v>7.2975000000000003</c:v>
                </c:pt>
                <c:pt idx="46">
                  <c:v>7.4596666666666671</c:v>
                </c:pt>
                <c:pt idx="47">
                  <c:v>7.6218333333333339</c:v>
                </c:pt>
                <c:pt idx="48">
                  <c:v>7.7839999999999998</c:v>
                </c:pt>
                <c:pt idx="49">
                  <c:v>7.9461666666666666</c:v>
                </c:pt>
                <c:pt idx="50">
                  <c:v>8.1083333333333325</c:v>
                </c:pt>
                <c:pt idx="51">
                  <c:v>8.2705000000000002</c:v>
                </c:pt>
                <c:pt idx="52">
                  <c:v>8.4326666666666661</c:v>
                </c:pt>
                <c:pt idx="53">
                  <c:v>8.5948333333333338</c:v>
                </c:pt>
                <c:pt idx="54">
                  <c:v>8.7570000000000014</c:v>
                </c:pt>
                <c:pt idx="55">
                  <c:v>8.9191666666666674</c:v>
                </c:pt>
                <c:pt idx="56">
                  <c:v>9.081333333333335</c:v>
                </c:pt>
                <c:pt idx="57">
                  <c:v>9.2435000000000009</c:v>
                </c:pt>
                <c:pt idx="58">
                  <c:v>9.4056666666666668</c:v>
                </c:pt>
                <c:pt idx="59">
                  <c:v>9.5678333333333327</c:v>
                </c:pt>
                <c:pt idx="60">
                  <c:v>9.73</c:v>
                </c:pt>
                <c:pt idx="61">
                  <c:v>9.8921666666666663</c:v>
                </c:pt>
                <c:pt idx="62">
                  <c:v>10.054333333333334</c:v>
                </c:pt>
                <c:pt idx="63">
                  <c:v>10.2165</c:v>
                </c:pt>
                <c:pt idx="64">
                  <c:v>10.378666666666668</c:v>
                </c:pt>
                <c:pt idx="65">
                  <c:v>10.540833333333333</c:v>
                </c:pt>
                <c:pt idx="66">
                  <c:v>10.703000000000001</c:v>
                </c:pt>
                <c:pt idx="67">
                  <c:v>10.865166666666667</c:v>
                </c:pt>
                <c:pt idx="68">
                  <c:v>11.027333333333335</c:v>
                </c:pt>
                <c:pt idx="69">
                  <c:v>11.189500000000001</c:v>
                </c:pt>
                <c:pt idx="70">
                  <c:v>11.351666666666668</c:v>
                </c:pt>
                <c:pt idx="71">
                  <c:v>11.513833333333332</c:v>
                </c:pt>
                <c:pt idx="72">
                  <c:v>11.676</c:v>
                </c:pt>
                <c:pt idx="73">
                  <c:v>11.838166666666666</c:v>
                </c:pt>
                <c:pt idx="74">
                  <c:v>12.000333333333334</c:v>
                </c:pt>
                <c:pt idx="75">
                  <c:v>12.1625</c:v>
                </c:pt>
                <c:pt idx="76">
                  <c:v>12.324666666666667</c:v>
                </c:pt>
                <c:pt idx="77">
                  <c:v>12.486833333333333</c:v>
                </c:pt>
                <c:pt idx="78">
                  <c:v>12.649000000000001</c:v>
                </c:pt>
                <c:pt idx="79">
                  <c:v>12.811166666666667</c:v>
                </c:pt>
                <c:pt idx="80">
                  <c:v>12.973333333333334</c:v>
                </c:pt>
                <c:pt idx="81">
                  <c:v>13.1355</c:v>
                </c:pt>
                <c:pt idx="82">
                  <c:v>13.297666666666668</c:v>
                </c:pt>
                <c:pt idx="83">
                  <c:v>13.459833333333334</c:v>
                </c:pt>
                <c:pt idx="84">
                  <c:v>13.622</c:v>
                </c:pt>
                <c:pt idx="85">
                  <c:v>13.784166666666666</c:v>
                </c:pt>
                <c:pt idx="86">
                  <c:v>13.946333333333333</c:v>
                </c:pt>
                <c:pt idx="87">
                  <c:v>14.108499999999999</c:v>
                </c:pt>
                <c:pt idx="88">
                  <c:v>14.270666666666667</c:v>
                </c:pt>
                <c:pt idx="89">
                  <c:v>14.432833333333333</c:v>
                </c:pt>
                <c:pt idx="90">
                  <c:v>14.595000000000001</c:v>
                </c:pt>
                <c:pt idx="91">
                  <c:v>14.757166666666667</c:v>
                </c:pt>
                <c:pt idx="92">
                  <c:v>14.919333333333334</c:v>
                </c:pt>
                <c:pt idx="93">
                  <c:v>15.0815</c:v>
                </c:pt>
                <c:pt idx="94">
                  <c:v>15.243666666666668</c:v>
                </c:pt>
                <c:pt idx="95">
                  <c:v>15.405833333333334</c:v>
                </c:pt>
                <c:pt idx="96">
                  <c:v>15.568</c:v>
                </c:pt>
                <c:pt idx="97">
                  <c:v>15.730166666666666</c:v>
                </c:pt>
                <c:pt idx="98">
                  <c:v>15.892333333333333</c:v>
                </c:pt>
                <c:pt idx="99">
                  <c:v>16.054500000000001</c:v>
                </c:pt>
                <c:pt idx="100">
                  <c:v>16.216666666666665</c:v>
                </c:pt>
                <c:pt idx="101">
                  <c:v>16.378833333333333</c:v>
                </c:pt>
                <c:pt idx="102">
                  <c:v>16.541</c:v>
                </c:pt>
                <c:pt idx="103">
                  <c:v>16.703166666666668</c:v>
                </c:pt>
                <c:pt idx="104">
                  <c:v>16.865333333333332</c:v>
                </c:pt>
                <c:pt idx="105">
                  <c:v>17.0275</c:v>
                </c:pt>
                <c:pt idx="106">
                  <c:v>17.189666666666668</c:v>
                </c:pt>
                <c:pt idx="107">
                  <c:v>17.351833333333335</c:v>
                </c:pt>
                <c:pt idx="108">
                  <c:v>17.514000000000003</c:v>
                </c:pt>
                <c:pt idx="109">
                  <c:v>17.676166666666667</c:v>
                </c:pt>
                <c:pt idx="110">
                  <c:v>17.838333333333335</c:v>
                </c:pt>
                <c:pt idx="111">
                  <c:v>18.000500000000002</c:v>
                </c:pt>
                <c:pt idx="112">
                  <c:v>18.16266666666667</c:v>
                </c:pt>
                <c:pt idx="113">
                  <c:v>18.324833333333334</c:v>
                </c:pt>
                <c:pt idx="114">
                  <c:v>18.487000000000002</c:v>
                </c:pt>
                <c:pt idx="115">
                  <c:v>18.64916666666667</c:v>
                </c:pt>
                <c:pt idx="116">
                  <c:v>18.811333333333334</c:v>
                </c:pt>
                <c:pt idx="117">
                  <c:v>18.973499999999998</c:v>
                </c:pt>
                <c:pt idx="118">
                  <c:v>19.135666666666665</c:v>
                </c:pt>
                <c:pt idx="119">
                  <c:v>19.297833333333333</c:v>
                </c:pt>
                <c:pt idx="120">
                  <c:v>19.46</c:v>
                </c:pt>
                <c:pt idx="121">
                  <c:v>19.622166666666665</c:v>
                </c:pt>
                <c:pt idx="122">
                  <c:v>19.784333333333333</c:v>
                </c:pt>
                <c:pt idx="123">
                  <c:v>19.9465</c:v>
                </c:pt>
                <c:pt idx="124">
                  <c:v>20.108666666666668</c:v>
                </c:pt>
                <c:pt idx="125">
                  <c:v>20.270833333333332</c:v>
                </c:pt>
                <c:pt idx="126">
                  <c:v>20.433</c:v>
                </c:pt>
                <c:pt idx="127">
                  <c:v>20.595166666666668</c:v>
                </c:pt>
                <c:pt idx="128">
                  <c:v>20.757333333333335</c:v>
                </c:pt>
                <c:pt idx="129">
                  <c:v>20.919499999999999</c:v>
                </c:pt>
                <c:pt idx="130">
                  <c:v>21.081666666666667</c:v>
                </c:pt>
                <c:pt idx="131">
                  <c:v>21.243833333333335</c:v>
                </c:pt>
                <c:pt idx="132">
                  <c:v>21.406000000000002</c:v>
                </c:pt>
                <c:pt idx="133">
                  <c:v>21.568166666666666</c:v>
                </c:pt>
                <c:pt idx="134">
                  <c:v>21.730333333333334</c:v>
                </c:pt>
                <c:pt idx="135">
                  <c:v>21.892500000000002</c:v>
                </c:pt>
                <c:pt idx="136">
                  <c:v>22.05466666666667</c:v>
                </c:pt>
                <c:pt idx="137">
                  <c:v>22.216833333333334</c:v>
                </c:pt>
                <c:pt idx="138">
                  <c:v>22.379000000000001</c:v>
                </c:pt>
                <c:pt idx="139">
                  <c:v>22.541166666666669</c:v>
                </c:pt>
                <c:pt idx="140">
                  <c:v>22.703333333333337</c:v>
                </c:pt>
                <c:pt idx="141">
                  <c:v>22.865499999999997</c:v>
                </c:pt>
                <c:pt idx="142">
                  <c:v>23.027666666666665</c:v>
                </c:pt>
                <c:pt idx="143">
                  <c:v>23.189833333333333</c:v>
                </c:pt>
                <c:pt idx="144">
                  <c:v>23.352</c:v>
                </c:pt>
                <c:pt idx="145">
                  <c:v>23.514166666666664</c:v>
                </c:pt>
                <c:pt idx="146">
                  <c:v>23.676333333333332</c:v>
                </c:pt>
                <c:pt idx="147">
                  <c:v>23.8385</c:v>
                </c:pt>
                <c:pt idx="148">
                  <c:v>24.000666666666667</c:v>
                </c:pt>
                <c:pt idx="149">
                  <c:v>24.162833333333332</c:v>
                </c:pt>
                <c:pt idx="150">
                  <c:v>24.324999999999999</c:v>
                </c:pt>
              </c:numCache>
            </c:numRef>
          </c:xVal>
          <c:yVal>
            <c:numRef>
              <c:f>Eff_vs_IOUT!$AY$8:$AY$157</c:f>
              <c:numCache>
                <c:formatCode>General</c:formatCode>
                <c:ptCount val="150"/>
                <c:pt idx="0">
                  <c:v>0.110428</c:v>
                </c:pt>
                <c:pt idx="1">
                  <c:v>0.111428</c:v>
                </c:pt>
                <c:pt idx="2">
                  <c:v>0.112428</c:v>
                </c:pt>
                <c:pt idx="3">
                  <c:v>0.113428</c:v>
                </c:pt>
                <c:pt idx="4">
                  <c:v>0.114428</c:v>
                </c:pt>
                <c:pt idx="5">
                  <c:v>0.115428</c:v>
                </c:pt>
                <c:pt idx="6">
                  <c:v>0.116428</c:v>
                </c:pt>
                <c:pt idx="7">
                  <c:v>0.117428</c:v>
                </c:pt>
                <c:pt idx="8">
                  <c:v>0.11842799999999999</c:v>
                </c:pt>
                <c:pt idx="9">
                  <c:v>0.11942799999999999</c:v>
                </c:pt>
                <c:pt idx="10">
                  <c:v>0.12042799999999999</c:v>
                </c:pt>
                <c:pt idx="11">
                  <c:v>0.12142799999999999</c:v>
                </c:pt>
                <c:pt idx="12">
                  <c:v>0.122428</c:v>
                </c:pt>
                <c:pt idx="13">
                  <c:v>0.123428</c:v>
                </c:pt>
                <c:pt idx="14">
                  <c:v>0.124428</c:v>
                </c:pt>
                <c:pt idx="15">
                  <c:v>0.12542799999999998</c:v>
                </c:pt>
                <c:pt idx="16">
                  <c:v>0.12642799999999998</c:v>
                </c:pt>
                <c:pt idx="17">
                  <c:v>0.12742799999999999</c:v>
                </c:pt>
                <c:pt idx="18">
                  <c:v>0.12842799999999999</c:v>
                </c:pt>
                <c:pt idx="19">
                  <c:v>0.12942799999999999</c:v>
                </c:pt>
                <c:pt idx="20">
                  <c:v>0.13042799999999999</c:v>
                </c:pt>
                <c:pt idx="21">
                  <c:v>0.13142799999999999</c:v>
                </c:pt>
                <c:pt idx="22">
                  <c:v>0.13242799999999999</c:v>
                </c:pt>
                <c:pt idx="23">
                  <c:v>0.13342799999999999</c:v>
                </c:pt>
                <c:pt idx="24">
                  <c:v>0.13442799999999999</c:v>
                </c:pt>
                <c:pt idx="25">
                  <c:v>0.13542799999999999</c:v>
                </c:pt>
                <c:pt idx="26">
                  <c:v>0.13642799999999999</c:v>
                </c:pt>
                <c:pt idx="27">
                  <c:v>0.13742799999999999</c:v>
                </c:pt>
                <c:pt idx="28">
                  <c:v>0.138428</c:v>
                </c:pt>
                <c:pt idx="29">
                  <c:v>0.139428</c:v>
                </c:pt>
                <c:pt idx="30">
                  <c:v>0.140428</c:v>
                </c:pt>
                <c:pt idx="31">
                  <c:v>0.141428</c:v>
                </c:pt>
                <c:pt idx="32">
                  <c:v>0.142428</c:v>
                </c:pt>
                <c:pt idx="33">
                  <c:v>0.143428</c:v>
                </c:pt>
                <c:pt idx="34">
                  <c:v>0.144428</c:v>
                </c:pt>
                <c:pt idx="35">
                  <c:v>0.145428</c:v>
                </c:pt>
                <c:pt idx="36">
                  <c:v>0.146428</c:v>
                </c:pt>
                <c:pt idx="37">
                  <c:v>0.147428</c:v>
                </c:pt>
                <c:pt idx="38">
                  <c:v>0.148428</c:v>
                </c:pt>
                <c:pt idx="39">
                  <c:v>0.14942800000000001</c:v>
                </c:pt>
                <c:pt idx="40">
                  <c:v>0.15042800000000001</c:v>
                </c:pt>
                <c:pt idx="41">
                  <c:v>0.15142800000000001</c:v>
                </c:pt>
                <c:pt idx="42">
                  <c:v>0.15242800000000001</c:v>
                </c:pt>
                <c:pt idx="43">
                  <c:v>0.15342800000000001</c:v>
                </c:pt>
                <c:pt idx="44">
                  <c:v>0.15442800000000001</c:v>
                </c:pt>
                <c:pt idx="45">
                  <c:v>0.15542800000000001</c:v>
                </c:pt>
                <c:pt idx="46">
                  <c:v>0.15642800000000001</c:v>
                </c:pt>
                <c:pt idx="47">
                  <c:v>0.15742800000000001</c:v>
                </c:pt>
                <c:pt idx="48">
                  <c:v>0.15842799999999999</c:v>
                </c:pt>
                <c:pt idx="49">
                  <c:v>0.15942799999999999</c:v>
                </c:pt>
                <c:pt idx="50">
                  <c:v>0.16042800000000002</c:v>
                </c:pt>
                <c:pt idx="51">
                  <c:v>0.16142799999999999</c:v>
                </c:pt>
                <c:pt idx="52">
                  <c:v>0.16242799999999999</c:v>
                </c:pt>
                <c:pt idx="53">
                  <c:v>0.16342800000000002</c:v>
                </c:pt>
                <c:pt idx="54">
                  <c:v>0.16442799999999999</c:v>
                </c:pt>
                <c:pt idx="55">
                  <c:v>0.16542799999999999</c:v>
                </c:pt>
                <c:pt idx="56">
                  <c:v>0.16642800000000002</c:v>
                </c:pt>
                <c:pt idx="57">
                  <c:v>0.16742799999999999</c:v>
                </c:pt>
                <c:pt idx="58">
                  <c:v>0.16842799999999999</c:v>
                </c:pt>
                <c:pt idx="59">
                  <c:v>0.169428</c:v>
                </c:pt>
                <c:pt idx="60">
                  <c:v>0.170428</c:v>
                </c:pt>
                <c:pt idx="61">
                  <c:v>0.171428</c:v>
                </c:pt>
                <c:pt idx="62">
                  <c:v>0.172428</c:v>
                </c:pt>
                <c:pt idx="63">
                  <c:v>0.173428</c:v>
                </c:pt>
                <c:pt idx="64">
                  <c:v>0.174428</c:v>
                </c:pt>
                <c:pt idx="65">
                  <c:v>0.175428</c:v>
                </c:pt>
                <c:pt idx="66">
                  <c:v>0.176428</c:v>
                </c:pt>
                <c:pt idx="67">
                  <c:v>0.177428</c:v>
                </c:pt>
                <c:pt idx="68">
                  <c:v>0.178428</c:v>
                </c:pt>
                <c:pt idx="69">
                  <c:v>0.179428</c:v>
                </c:pt>
                <c:pt idx="70">
                  <c:v>0.18042799999999998</c:v>
                </c:pt>
                <c:pt idx="71">
                  <c:v>0.18142799999999998</c:v>
                </c:pt>
                <c:pt idx="72">
                  <c:v>0.18242799999999998</c:v>
                </c:pt>
                <c:pt idx="73">
                  <c:v>0.18342799999999998</c:v>
                </c:pt>
                <c:pt idx="74">
                  <c:v>0.18442799999999998</c:v>
                </c:pt>
                <c:pt idx="75">
                  <c:v>0.18542799999999998</c:v>
                </c:pt>
                <c:pt idx="76">
                  <c:v>0.18642799999999998</c:v>
                </c:pt>
                <c:pt idx="77">
                  <c:v>0.18742799999999998</c:v>
                </c:pt>
                <c:pt idx="78">
                  <c:v>0.18842799999999998</c:v>
                </c:pt>
                <c:pt idx="79">
                  <c:v>0.18942799999999999</c:v>
                </c:pt>
                <c:pt idx="80">
                  <c:v>0.19042799999999999</c:v>
                </c:pt>
                <c:pt idx="81">
                  <c:v>0.19142799999999999</c:v>
                </c:pt>
                <c:pt idx="82">
                  <c:v>0.19242799999999999</c:v>
                </c:pt>
                <c:pt idx="83">
                  <c:v>0.19342799999999999</c:v>
                </c:pt>
                <c:pt idx="84">
                  <c:v>0.19442799999999999</c:v>
                </c:pt>
                <c:pt idx="85">
                  <c:v>0.19542799999999999</c:v>
                </c:pt>
                <c:pt idx="86">
                  <c:v>0.19642799999999999</c:v>
                </c:pt>
                <c:pt idx="87">
                  <c:v>0.19742799999999999</c:v>
                </c:pt>
                <c:pt idx="88">
                  <c:v>0.19842799999999999</c:v>
                </c:pt>
                <c:pt idx="89">
                  <c:v>0.19942799999999999</c:v>
                </c:pt>
                <c:pt idx="90">
                  <c:v>0.200428</c:v>
                </c:pt>
                <c:pt idx="91">
                  <c:v>0.201428</c:v>
                </c:pt>
                <c:pt idx="92">
                  <c:v>0.202428</c:v>
                </c:pt>
                <c:pt idx="93">
                  <c:v>0.203428</c:v>
                </c:pt>
                <c:pt idx="94">
                  <c:v>0.204428</c:v>
                </c:pt>
                <c:pt idx="95">
                  <c:v>0.205428</c:v>
                </c:pt>
                <c:pt idx="96">
                  <c:v>0.206428</c:v>
                </c:pt>
                <c:pt idx="97">
                  <c:v>0.207428</c:v>
                </c:pt>
                <c:pt idx="98">
                  <c:v>0.208428</c:v>
                </c:pt>
                <c:pt idx="99">
                  <c:v>0.209428</c:v>
                </c:pt>
                <c:pt idx="100">
                  <c:v>0.210428</c:v>
                </c:pt>
                <c:pt idx="101">
                  <c:v>0.211428</c:v>
                </c:pt>
                <c:pt idx="102">
                  <c:v>0.21242800000000001</c:v>
                </c:pt>
                <c:pt idx="103">
                  <c:v>0.21342800000000001</c:v>
                </c:pt>
                <c:pt idx="104">
                  <c:v>0.21442800000000001</c:v>
                </c:pt>
                <c:pt idx="105">
                  <c:v>0.21542800000000001</c:v>
                </c:pt>
                <c:pt idx="106">
                  <c:v>0.21642800000000001</c:v>
                </c:pt>
                <c:pt idx="107">
                  <c:v>0.21742800000000001</c:v>
                </c:pt>
                <c:pt idx="108">
                  <c:v>0.21842800000000001</c:v>
                </c:pt>
                <c:pt idx="109">
                  <c:v>0.21942800000000001</c:v>
                </c:pt>
                <c:pt idx="110">
                  <c:v>0.22042800000000001</c:v>
                </c:pt>
                <c:pt idx="111">
                  <c:v>0.22142800000000001</c:v>
                </c:pt>
                <c:pt idx="112">
                  <c:v>0.22242800000000001</c:v>
                </c:pt>
                <c:pt idx="113">
                  <c:v>0.22342800000000002</c:v>
                </c:pt>
                <c:pt idx="114">
                  <c:v>0.22442800000000002</c:v>
                </c:pt>
                <c:pt idx="115">
                  <c:v>0.22542799999999999</c:v>
                </c:pt>
                <c:pt idx="116">
                  <c:v>0.22642799999999996</c:v>
                </c:pt>
                <c:pt idx="117">
                  <c:v>0.22742799999999999</c:v>
                </c:pt>
                <c:pt idx="118">
                  <c:v>0.22842799999999999</c:v>
                </c:pt>
                <c:pt idx="119">
                  <c:v>0.22942799999999997</c:v>
                </c:pt>
                <c:pt idx="120">
                  <c:v>0.23042799999999999</c:v>
                </c:pt>
                <c:pt idx="121">
                  <c:v>0.23142799999999999</c:v>
                </c:pt>
                <c:pt idx="122">
                  <c:v>0.23242799999999997</c:v>
                </c:pt>
                <c:pt idx="123">
                  <c:v>0.233428</c:v>
                </c:pt>
                <c:pt idx="124">
                  <c:v>0.234428</c:v>
                </c:pt>
                <c:pt idx="125">
                  <c:v>0.235428</c:v>
                </c:pt>
                <c:pt idx="126">
                  <c:v>0.236428</c:v>
                </c:pt>
                <c:pt idx="127">
                  <c:v>0.237428</c:v>
                </c:pt>
                <c:pt idx="128">
                  <c:v>0.238428</c:v>
                </c:pt>
                <c:pt idx="129">
                  <c:v>0.239428</c:v>
                </c:pt>
                <c:pt idx="130">
                  <c:v>0.240428</c:v>
                </c:pt>
                <c:pt idx="131">
                  <c:v>0.241428</c:v>
                </c:pt>
                <c:pt idx="132">
                  <c:v>0.242428</c:v>
                </c:pt>
                <c:pt idx="133">
                  <c:v>0.24342800000000001</c:v>
                </c:pt>
                <c:pt idx="134">
                  <c:v>0.24442800000000001</c:v>
                </c:pt>
                <c:pt idx="135">
                  <c:v>0.24542800000000001</c:v>
                </c:pt>
                <c:pt idx="136">
                  <c:v>0.24642800000000001</c:v>
                </c:pt>
                <c:pt idx="137">
                  <c:v>0.24742800000000001</c:v>
                </c:pt>
                <c:pt idx="138">
                  <c:v>0.24842800000000001</c:v>
                </c:pt>
                <c:pt idx="139">
                  <c:v>0.24942800000000001</c:v>
                </c:pt>
                <c:pt idx="140">
                  <c:v>0.25042799999999998</c:v>
                </c:pt>
                <c:pt idx="141">
                  <c:v>0.25142799999999998</c:v>
                </c:pt>
                <c:pt idx="142">
                  <c:v>0.25242799999999999</c:v>
                </c:pt>
                <c:pt idx="143">
                  <c:v>0.25342799999999999</c:v>
                </c:pt>
                <c:pt idx="144">
                  <c:v>0.25442799999999999</c:v>
                </c:pt>
                <c:pt idx="145">
                  <c:v>0.25542799999999999</c:v>
                </c:pt>
                <c:pt idx="146">
                  <c:v>0.25642799999999999</c:v>
                </c:pt>
                <c:pt idx="147">
                  <c:v>0.25742799999999999</c:v>
                </c:pt>
                <c:pt idx="148">
                  <c:v>0.25842799999999999</c:v>
                </c:pt>
                <c:pt idx="149">
                  <c:v>0.25942799999999999</c:v>
                </c:pt>
              </c:numCache>
            </c:numRef>
          </c:yVal>
          <c:smooth val="1"/>
          <c:extLst>
            <c:ext xmlns:c16="http://schemas.microsoft.com/office/drawing/2014/chart" uri="{C3380CC4-5D6E-409C-BE32-E72D297353CC}">
              <c16:uniqueId val="{00000003-A180-432B-A347-F5CCD23FB4B3}"/>
            </c:ext>
          </c:extLst>
        </c:ser>
        <c:ser>
          <c:idx val="4"/>
          <c:order val="4"/>
          <c:tx>
            <c:v>D2</c:v>
          </c:tx>
          <c:marker>
            <c:symbol val="none"/>
          </c:marker>
          <c:xVal>
            <c:numRef>
              <c:f>Eff_vs_IOUT!$R$8:$R$157</c:f>
              <c:numCache>
                <c:formatCode>General</c:formatCode>
                <c:ptCount val="150"/>
                <c:pt idx="0">
                  <c:v>0.16216666666666668</c:v>
                </c:pt>
                <c:pt idx="1">
                  <c:v>0.32433333333333336</c:v>
                </c:pt>
                <c:pt idx="2">
                  <c:v>0.48649999999999999</c:v>
                </c:pt>
                <c:pt idx="3">
                  <c:v>0.64866666666666672</c:v>
                </c:pt>
                <c:pt idx="4">
                  <c:v>0.81083333333333341</c:v>
                </c:pt>
                <c:pt idx="5">
                  <c:v>0.97299999999999998</c:v>
                </c:pt>
                <c:pt idx="6">
                  <c:v>1.1351666666666669</c:v>
                </c:pt>
                <c:pt idx="7">
                  <c:v>1.2973333333333334</c:v>
                </c:pt>
                <c:pt idx="8">
                  <c:v>1.4595</c:v>
                </c:pt>
                <c:pt idx="9">
                  <c:v>1.6216666666666668</c:v>
                </c:pt>
                <c:pt idx="10">
                  <c:v>1.7838333333333334</c:v>
                </c:pt>
                <c:pt idx="11">
                  <c:v>1.946</c:v>
                </c:pt>
                <c:pt idx="12">
                  <c:v>2.1081666666666665</c:v>
                </c:pt>
                <c:pt idx="13">
                  <c:v>2.2703333333333338</c:v>
                </c:pt>
                <c:pt idx="14">
                  <c:v>2.4325000000000001</c:v>
                </c:pt>
                <c:pt idx="15">
                  <c:v>2.5946666666666669</c:v>
                </c:pt>
                <c:pt idx="16">
                  <c:v>2.7568333333333337</c:v>
                </c:pt>
                <c:pt idx="17">
                  <c:v>2.919</c:v>
                </c:pt>
                <c:pt idx="18">
                  <c:v>3.0811666666666668</c:v>
                </c:pt>
                <c:pt idx="19">
                  <c:v>3.2433333333333336</c:v>
                </c:pt>
                <c:pt idx="20">
                  <c:v>3.4055</c:v>
                </c:pt>
                <c:pt idx="21">
                  <c:v>3.5676666666666668</c:v>
                </c:pt>
                <c:pt idx="22">
                  <c:v>3.7298333333333336</c:v>
                </c:pt>
                <c:pt idx="23">
                  <c:v>3.8919999999999999</c:v>
                </c:pt>
                <c:pt idx="24">
                  <c:v>4.0541666666666663</c:v>
                </c:pt>
                <c:pt idx="25">
                  <c:v>4.216333333333333</c:v>
                </c:pt>
                <c:pt idx="26">
                  <c:v>4.3785000000000007</c:v>
                </c:pt>
                <c:pt idx="27">
                  <c:v>4.5406666666666675</c:v>
                </c:pt>
                <c:pt idx="28">
                  <c:v>4.7028333333333334</c:v>
                </c:pt>
                <c:pt idx="29">
                  <c:v>4.8650000000000002</c:v>
                </c:pt>
                <c:pt idx="30">
                  <c:v>5.027166666666667</c:v>
                </c:pt>
                <c:pt idx="31">
                  <c:v>5.1893333333333338</c:v>
                </c:pt>
                <c:pt idx="32">
                  <c:v>5.3515000000000006</c:v>
                </c:pt>
                <c:pt idx="33">
                  <c:v>5.5136666666666674</c:v>
                </c:pt>
                <c:pt idx="34">
                  <c:v>5.6758333333333342</c:v>
                </c:pt>
                <c:pt idx="35">
                  <c:v>5.8380000000000001</c:v>
                </c:pt>
                <c:pt idx="36">
                  <c:v>6.0001666666666669</c:v>
                </c:pt>
                <c:pt idx="37">
                  <c:v>6.1623333333333337</c:v>
                </c:pt>
                <c:pt idx="38">
                  <c:v>6.3245000000000005</c:v>
                </c:pt>
                <c:pt idx="39">
                  <c:v>6.4866666666666672</c:v>
                </c:pt>
                <c:pt idx="40">
                  <c:v>6.648833333333334</c:v>
                </c:pt>
                <c:pt idx="41">
                  <c:v>6.8109999999999999</c:v>
                </c:pt>
                <c:pt idx="42">
                  <c:v>6.9731666666666667</c:v>
                </c:pt>
                <c:pt idx="43">
                  <c:v>7.1353333333333335</c:v>
                </c:pt>
                <c:pt idx="44">
                  <c:v>7.2975000000000003</c:v>
                </c:pt>
                <c:pt idx="45">
                  <c:v>7.4596666666666671</c:v>
                </c:pt>
                <c:pt idx="46">
                  <c:v>7.6218333333333339</c:v>
                </c:pt>
                <c:pt idx="47">
                  <c:v>7.7839999999999998</c:v>
                </c:pt>
                <c:pt idx="48">
                  <c:v>7.9461666666666666</c:v>
                </c:pt>
                <c:pt idx="49">
                  <c:v>8.1083333333333325</c:v>
                </c:pt>
                <c:pt idx="50">
                  <c:v>8.2705000000000002</c:v>
                </c:pt>
                <c:pt idx="51">
                  <c:v>8.4326666666666661</c:v>
                </c:pt>
                <c:pt idx="52">
                  <c:v>8.5948333333333338</c:v>
                </c:pt>
                <c:pt idx="53">
                  <c:v>8.7570000000000014</c:v>
                </c:pt>
                <c:pt idx="54">
                  <c:v>8.9191666666666674</c:v>
                </c:pt>
                <c:pt idx="55">
                  <c:v>9.081333333333335</c:v>
                </c:pt>
                <c:pt idx="56">
                  <c:v>9.2435000000000009</c:v>
                </c:pt>
                <c:pt idx="57">
                  <c:v>9.4056666666666668</c:v>
                </c:pt>
                <c:pt idx="58">
                  <c:v>9.5678333333333327</c:v>
                </c:pt>
                <c:pt idx="59">
                  <c:v>9.73</c:v>
                </c:pt>
                <c:pt idx="60">
                  <c:v>9.8921666666666663</c:v>
                </c:pt>
                <c:pt idx="61">
                  <c:v>10.054333333333334</c:v>
                </c:pt>
                <c:pt idx="62">
                  <c:v>10.2165</c:v>
                </c:pt>
                <c:pt idx="63">
                  <c:v>10.378666666666668</c:v>
                </c:pt>
                <c:pt idx="64">
                  <c:v>10.540833333333333</c:v>
                </c:pt>
                <c:pt idx="65">
                  <c:v>10.703000000000001</c:v>
                </c:pt>
                <c:pt idx="66">
                  <c:v>10.865166666666667</c:v>
                </c:pt>
                <c:pt idx="67">
                  <c:v>11.027333333333335</c:v>
                </c:pt>
                <c:pt idx="68">
                  <c:v>11.189500000000001</c:v>
                </c:pt>
                <c:pt idx="69">
                  <c:v>11.351666666666668</c:v>
                </c:pt>
                <c:pt idx="70">
                  <c:v>11.513833333333332</c:v>
                </c:pt>
                <c:pt idx="71">
                  <c:v>11.676</c:v>
                </c:pt>
                <c:pt idx="72">
                  <c:v>11.838166666666666</c:v>
                </c:pt>
                <c:pt idx="73">
                  <c:v>12.000333333333334</c:v>
                </c:pt>
                <c:pt idx="74">
                  <c:v>12.1625</c:v>
                </c:pt>
                <c:pt idx="75">
                  <c:v>12.324666666666667</c:v>
                </c:pt>
                <c:pt idx="76">
                  <c:v>12.486833333333333</c:v>
                </c:pt>
                <c:pt idx="77">
                  <c:v>12.649000000000001</c:v>
                </c:pt>
                <c:pt idx="78">
                  <c:v>12.811166666666667</c:v>
                </c:pt>
                <c:pt idx="79">
                  <c:v>12.973333333333334</c:v>
                </c:pt>
                <c:pt idx="80">
                  <c:v>13.1355</c:v>
                </c:pt>
                <c:pt idx="81">
                  <c:v>13.297666666666668</c:v>
                </c:pt>
                <c:pt idx="82">
                  <c:v>13.459833333333334</c:v>
                </c:pt>
                <c:pt idx="83">
                  <c:v>13.622</c:v>
                </c:pt>
                <c:pt idx="84">
                  <c:v>13.784166666666666</c:v>
                </c:pt>
                <c:pt idx="85">
                  <c:v>13.946333333333333</c:v>
                </c:pt>
                <c:pt idx="86">
                  <c:v>14.108499999999999</c:v>
                </c:pt>
                <c:pt idx="87">
                  <c:v>14.270666666666667</c:v>
                </c:pt>
                <c:pt idx="88">
                  <c:v>14.432833333333333</c:v>
                </c:pt>
                <c:pt idx="89">
                  <c:v>14.595000000000001</c:v>
                </c:pt>
                <c:pt idx="90">
                  <c:v>14.757166666666667</c:v>
                </c:pt>
                <c:pt idx="91">
                  <c:v>14.919333333333334</c:v>
                </c:pt>
                <c:pt idx="92">
                  <c:v>15.0815</c:v>
                </c:pt>
                <c:pt idx="93">
                  <c:v>15.243666666666668</c:v>
                </c:pt>
                <c:pt idx="94">
                  <c:v>15.405833333333334</c:v>
                </c:pt>
                <c:pt idx="95">
                  <c:v>15.568</c:v>
                </c:pt>
                <c:pt idx="96">
                  <c:v>15.730166666666666</c:v>
                </c:pt>
                <c:pt idx="97">
                  <c:v>15.892333333333333</c:v>
                </c:pt>
                <c:pt idx="98">
                  <c:v>16.054500000000001</c:v>
                </c:pt>
                <c:pt idx="99">
                  <c:v>16.216666666666665</c:v>
                </c:pt>
                <c:pt idx="100">
                  <c:v>16.378833333333333</c:v>
                </c:pt>
                <c:pt idx="101">
                  <c:v>16.541</c:v>
                </c:pt>
                <c:pt idx="102">
                  <c:v>16.703166666666668</c:v>
                </c:pt>
                <c:pt idx="103">
                  <c:v>16.865333333333332</c:v>
                </c:pt>
                <c:pt idx="104">
                  <c:v>17.0275</c:v>
                </c:pt>
                <c:pt idx="105">
                  <c:v>17.189666666666668</c:v>
                </c:pt>
                <c:pt idx="106">
                  <c:v>17.351833333333335</c:v>
                </c:pt>
                <c:pt idx="107">
                  <c:v>17.514000000000003</c:v>
                </c:pt>
                <c:pt idx="108">
                  <c:v>17.676166666666667</c:v>
                </c:pt>
                <c:pt idx="109">
                  <c:v>17.838333333333335</c:v>
                </c:pt>
                <c:pt idx="110">
                  <c:v>18.000500000000002</c:v>
                </c:pt>
                <c:pt idx="111">
                  <c:v>18.16266666666667</c:v>
                </c:pt>
                <c:pt idx="112">
                  <c:v>18.324833333333334</c:v>
                </c:pt>
                <c:pt idx="113">
                  <c:v>18.487000000000002</c:v>
                </c:pt>
                <c:pt idx="114">
                  <c:v>18.64916666666667</c:v>
                </c:pt>
                <c:pt idx="115">
                  <c:v>18.811333333333334</c:v>
                </c:pt>
                <c:pt idx="116">
                  <c:v>18.973499999999998</c:v>
                </c:pt>
                <c:pt idx="117">
                  <c:v>19.135666666666665</c:v>
                </c:pt>
                <c:pt idx="118">
                  <c:v>19.297833333333333</c:v>
                </c:pt>
                <c:pt idx="119">
                  <c:v>19.46</c:v>
                </c:pt>
                <c:pt idx="120">
                  <c:v>19.622166666666665</c:v>
                </c:pt>
                <c:pt idx="121">
                  <c:v>19.784333333333333</c:v>
                </c:pt>
                <c:pt idx="122">
                  <c:v>19.9465</c:v>
                </c:pt>
                <c:pt idx="123">
                  <c:v>20.108666666666668</c:v>
                </c:pt>
                <c:pt idx="124">
                  <c:v>20.270833333333332</c:v>
                </c:pt>
                <c:pt idx="125">
                  <c:v>20.433</c:v>
                </c:pt>
                <c:pt idx="126">
                  <c:v>20.595166666666668</c:v>
                </c:pt>
                <c:pt idx="127">
                  <c:v>20.757333333333335</c:v>
                </c:pt>
                <c:pt idx="128">
                  <c:v>20.919499999999999</c:v>
                </c:pt>
                <c:pt idx="129">
                  <c:v>21.081666666666667</c:v>
                </c:pt>
                <c:pt idx="130">
                  <c:v>21.243833333333335</c:v>
                </c:pt>
                <c:pt idx="131">
                  <c:v>21.406000000000002</c:v>
                </c:pt>
                <c:pt idx="132">
                  <c:v>21.568166666666666</c:v>
                </c:pt>
                <c:pt idx="133">
                  <c:v>21.730333333333334</c:v>
                </c:pt>
                <c:pt idx="134">
                  <c:v>21.892500000000002</c:v>
                </c:pt>
                <c:pt idx="135">
                  <c:v>22.05466666666667</c:v>
                </c:pt>
                <c:pt idx="136">
                  <c:v>22.216833333333334</c:v>
                </c:pt>
                <c:pt idx="137">
                  <c:v>22.379000000000001</c:v>
                </c:pt>
                <c:pt idx="138">
                  <c:v>22.541166666666669</c:v>
                </c:pt>
                <c:pt idx="139">
                  <c:v>22.703333333333337</c:v>
                </c:pt>
                <c:pt idx="140">
                  <c:v>22.865499999999997</c:v>
                </c:pt>
                <c:pt idx="141">
                  <c:v>23.027666666666665</c:v>
                </c:pt>
                <c:pt idx="142">
                  <c:v>23.189833333333333</c:v>
                </c:pt>
                <c:pt idx="143">
                  <c:v>23.352</c:v>
                </c:pt>
                <c:pt idx="144">
                  <c:v>23.514166666666664</c:v>
                </c:pt>
                <c:pt idx="145">
                  <c:v>23.676333333333332</c:v>
                </c:pt>
                <c:pt idx="146">
                  <c:v>23.8385</c:v>
                </c:pt>
                <c:pt idx="147">
                  <c:v>24.000666666666667</c:v>
                </c:pt>
                <c:pt idx="148">
                  <c:v>24.162833333333332</c:v>
                </c:pt>
                <c:pt idx="149">
                  <c:v>24.324999999999999</c:v>
                </c:pt>
              </c:numCache>
            </c:numRef>
          </c:xVal>
          <c:yVal>
            <c:numRef>
              <c:f>Eff_vs_IOUT!$BI$8:$BI$157</c:f>
              <c:numCache>
                <c:formatCode>General</c:formatCode>
                <c:ptCount val="150"/>
                <c:pt idx="0">
                  <c:v>1.4800399999999998E-2</c:v>
                </c:pt>
                <c:pt idx="1">
                  <c:v>1.4900399999999999E-2</c:v>
                </c:pt>
                <c:pt idx="2">
                  <c:v>1.5000399999999999E-2</c:v>
                </c:pt>
                <c:pt idx="3">
                  <c:v>1.5100399999999998E-2</c:v>
                </c:pt>
                <c:pt idx="4">
                  <c:v>1.5200399999999999E-2</c:v>
                </c:pt>
                <c:pt idx="5">
                  <c:v>1.5300399999999999E-2</c:v>
                </c:pt>
                <c:pt idx="6">
                  <c:v>1.5400399999999998E-2</c:v>
                </c:pt>
                <c:pt idx="7">
                  <c:v>1.5500399999999999E-2</c:v>
                </c:pt>
                <c:pt idx="8">
                  <c:v>1.5600399999999999E-2</c:v>
                </c:pt>
                <c:pt idx="9">
                  <c:v>1.57004E-2</c:v>
                </c:pt>
                <c:pt idx="10">
                  <c:v>1.5800399999999999E-2</c:v>
                </c:pt>
                <c:pt idx="11">
                  <c:v>1.5900399999999999E-2</c:v>
                </c:pt>
                <c:pt idx="12">
                  <c:v>1.6000399999999998E-2</c:v>
                </c:pt>
                <c:pt idx="13">
                  <c:v>1.6100399999999997E-2</c:v>
                </c:pt>
                <c:pt idx="14">
                  <c:v>1.62004E-2</c:v>
                </c:pt>
                <c:pt idx="15">
                  <c:v>1.63004E-2</c:v>
                </c:pt>
                <c:pt idx="16">
                  <c:v>1.6400399999999999E-2</c:v>
                </c:pt>
                <c:pt idx="17">
                  <c:v>1.6500399999999998E-2</c:v>
                </c:pt>
                <c:pt idx="18">
                  <c:v>1.6600399999999998E-2</c:v>
                </c:pt>
                <c:pt idx="19">
                  <c:v>1.6700399999999997E-2</c:v>
                </c:pt>
                <c:pt idx="20">
                  <c:v>1.68004E-2</c:v>
                </c:pt>
                <c:pt idx="21">
                  <c:v>1.6900399999999999E-2</c:v>
                </c:pt>
                <c:pt idx="22">
                  <c:v>1.7000399999999999E-2</c:v>
                </c:pt>
                <c:pt idx="23">
                  <c:v>1.7100399999999998E-2</c:v>
                </c:pt>
                <c:pt idx="24">
                  <c:v>1.7200399999999998E-2</c:v>
                </c:pt>
                <c:pt idx="25">
                  <c:v>1.73004E-2</c:v>
                </c:pt>
                <c:pt idx="26">
                  <c:v>1.74004E-2</c:v>
                </c:pt>
                <c:pt idx="27">
                  <c:v>1.7500399999999999E-2</c:v>
                </c:pt>
                <c:pt idx="28">
                  <c:v>1.7600399999999999E-2</c:v>
                </c:pt>
                <c:pt idx="29">
                  <c:v>1.7700399999999998E-2</c:v>
                </c:pt>
                <c:pt idx="30">
                  <c:v>1.7800399999999997E-2</c:v>
                </c:pt>
                <c:pt idx="31">
                  <c:v>1.7900399999999997E-2</c:v>
                </c:pt>
                <c:pt idx="32">
                  <c:v>1.80004E-2</c:v>
                </c:pt>
                <c:pt idx="33">
                  <c:v>1.8100399999999999E-2</c:v>
                </c:pt>
                <c:pt idx="34">
                  <c:v>1.8200399999999999E-2</c:v>
                </c:pt>
                <c:pt idx="35">
                  <c:v>1.8300399999999998E-2</c:v>
                </c:pt>
                <c:pt idx="36">
                  <c:v>1.8400399999999997E-2</c:v>
                </c:pt>
                <c:pt idx="37">
                  <c:v>1.85004E-2</c:v>
                </c:pt>
                <c:pt idx="38">
                  <c:v>1.86004E-2</c:v>
                </c:pt>
                <c:pt idx="39">
                  <c:v>1.8700399999999999E-2</c:v>
                </c:pt>
                <c:pt idx="40">
                  <c:v>1.8800399999999998E-2</c:v>
                </c:pt>
                <c:pt idx="41">
                  <c:v>1.8900399999999998E-2</c:v>
                </c:pt>
                <c:pt idx="42">
                  <c:v>1.9000400000000001E-2</c:v>
                </c:pt>
                <c:pt idx="43">
                  <c:v>1.9100399999999997E-2</c:v>
                </c:pt>
                <c:pt idx="44">
                  <c:v>1.9200399999999999E-2</c:v>
                </c:pt>
                <c:pt idx="45">
                  <c:v>1.9300399999999999E-2</c:v>
                </c:pt>
                <c:pt idx="46">
                  <c:v>1.9400399999999998E-2</c:v>
                </c:pt>
                <c:pt idx="47">
                  <c:v>1.9500399999999998E-2</c:v>
                </c:pt>
                <c:pt idx="48">
                  <c:v>1.9600399999999997E-2</c:v>
                </c:pt>
                <c:pt idx="49">
                  <c:v>1.97004E-2</c:v>
                </c:pt>
                <c:pt idx="50">
                  <c:v>1.9800399999999999E-2</c:v>
                </c:pt>
                <c:pt idx="51">
                  <c:v>1.9900399999999999E-2</c:v>
                </c:pt>
                <c:pt idx="52">
                  <c:v>2.0000399999999998E-2</c:v>
                </c:pt>
                <c:pt idx="53">
                  <c:v>2.0100399999999997E-2</c:v>
                </c:pt>
                <c:pt idx="54">
                  <c:v>2.02004E-2</c:v>
                </c:pt>
                <c:pt idx="55">
                  <c:v>2.0300399999999996E-2</c:v>
                </c:pt>
                <c:pt idx="56">
                  <c:v>2.0400399999999999E-2</c:v>
                </c:pt>
                <c:pt idx="57">
                  <c:v>2.0500399999999998E-2</c:v>
                </c:pt>
                <c:pt idx="58">
                  <c:v>2.0600399999999998E-2</c:v>
                </c:pt>
                <c:pt idx="59">
                  <c:v>2.0700400000000001E-2</c:v>
                </c:pt>
                <c:pt idx="60">
                  <c:v>2.0800399999999997E-2</c:v>
                </c:pt>
                <c:pt idx="61">
                  <c:v>2.09004E-2</c:v>
                </c:pt>
                <c:pt idx="62">
                  <c:v>2.1000399999999999E-2</c:v>
                </c:pt>
                <c:pt idx="63">
                  <c:v>2.1100399999999998E-2</c:v>
                </c:pt>
                <c:pt idx="64">
                  <c:v>2.1200399999999998E-2</c:v>
                </c:pt>
                <c:pt idx="65">
                  <c:v>2.1300399999999997E-2</c:v>
                </c:pt>
                <c:pt idx="66">
                  <c:v>2.14004E-2</c:v>
                </c:pt>
                <c:pt idx="67">
                  <c:v>2.1500399999999999E-2</c:v>
                </c:pt>
                <c:pt idx="68">
                  <c:v>2.1600399999999999E-2</c:v>
                </c:pt>
                <c:pt idx="69">
                  <c:v>2.1700399999999998E-2</c:v>
                </c:pt>
                <c:pt idx="70">
                  <c:v>2.1800399999999998E-2</c:v>
                </c:pt>
                <c:pt idx="71">
                  <c:v>2.19004E-2</c:v>
                </c:pt>
                <c:pt idx="72">
                  <c:v>2.2000399999999996E-2</c:v>
                </c:pt>
                <c:pt idx="73">
                  <c:v>2.2100399999999999E-2</c:v>
                </c:pt>
                <c:pt idx="74">
                  <c:v>2.2200399999999999E-2</c:v>
                </c:pt>
                <c:pt idx="75">
                  <c:v>2.2300399999999998E-2</c:v>
                </c:pt>
                <c:pt idx="76">
                  <c:v>2.2400400000000001E-2</c:v>
                </c:pt>
                <c:pt idx="77">
                  <c:v>2.2500399999999997E-2</c:v>
                </c:pt>
                <c:pt idx="78">
                  <c:v>2.26004E-2</c:v>
                </c:pt>
                <c:pt idx="79">
                  <c:v>2.2700399999999999E-2</c:v>
                </c:pt>
                <c:pt idx="80">
                  <c:v>2.2800399999999998E-2</c:v>
                </c:pt>
                <c:pt idx="81">
                  <c:v>2.2900400000000001E-2</c:v>
                </c:pt>
                <c:pt idx="82">
                  <c:v>2.3000399999999997E-2</c:v>
                </c:pt>
                <c:pt idx="83">
                  <c:v>2.31004E-2</c:v>
                </c:pt>
                <c:pt idx="84">
                  <c:v>2.3200399999999996E-2</c:v>
                </c:pt>
                <c:pt idx="85">
                  <c:v>2.3300399999999999E-2</c:v>
                </c:pt>
                <c:pt idx="86">
                  <c:v>2.3400399999999998E-2</c:v>
                </c:pt>
                <c:pt idx="87">
                  <c:v>2.3500399999999998E-2</c:v>
                </c:pt>
                <c:pt idx="88">
                  <c:v>2.3600400000000001E-2</c:v>
                </c:pt>
                <c:pt idx="89">
                  <c:v>2.3700399999999996E-2</c:v>
                </c:pt>
                <c:pt idx="90">
                  <c:v>2.3800399999999999E-2</c:v>
                </c:pt>
                <c:pt idx="91">
                  <c:v>2.3900399999999999E-2</c:v>
                </c:pt>
                <c:pt idx="92">
                  <c:v>2.4000399999999998E-2</c:v>
                </c:pt>
                <c:pt idx="93">
                  <c:v>2.4100399999999998E-2</c:v>
                </c:pt>
                <c:pt idx="94">
                  <c:v>2.4200399999999997E-2</c:v>
                </c:pt>
                <c:pt idx="95">
                  <c:v>2.43004E-2</c:v>
                </c:pt>
                <c:pt idx="96">
                  <c:v>2.4400399999999996E-2</c:v>
                </c:pt>
                <c:pt idx="97">
                  <c:v>2.4500399999999999E-2</c:v>
                </c:pt>
                <c:pt idx="98">
                  <c:v>2.4600400000000001E-2</c:v>
                </c:pt>
                <c:pt idx="99">
                  <c:v>2.4700399999999997E-2</c:v>
                </c:pt>
                <c:pt idx="100">
                  <c:v>2.48004E-2</c:v>
                </c:pt>
                <c:pt idx="101">
                  <c:v>2.49004E-2</c:v>
                </c:pt>
                <c:pt idx="102">
                  <c:v>2.5000399999999999E-2</c:v>
                </c:pt>
                <c:pt idx="103">
                  <c:v>2.5100399999999998E-2</c:v>
                </c:pt>
                <c:pt idx="104">
                  <c:v>2.5200399999999998E-2</c:v>
                </c:pt>
                <c:pt idx="105">
                  <c:v>2.5300400000000001E-2</c:v>
                </c:pt>
                <c:pt idx="106">
                  <c:v>2.5400399999999997E-2</c:v>
                </c:pt>
                <c:pt idx="107">
                  <c:v>2.5500399999999999E-2</c:v>
                </c:pt>
                <c:pt idx="108">
                  <c:v>2.5600399999999999E-2</c:v>
                </c:pt>
                <c:pt idx="109">
                  <c:v>2.5700399999999998E-2</c:v>
                </c:pt>
                <c:pt idx="110">
                  <c:v>2.5800399999999998E-2</c:v>
                </c:pt>
                <c:pt idx="111">
                  <c:v>2.5900399999999997E-2</c:v>
                </c:pt>
                <c:pt idx="112">
                  <c:v>2.60004E-2</c:v>
                </c:pt>
                <c:pt idx="113">
                  <c:v>2.6100399999999996E-2</c:v>
                </c:pt>
                <c:pt idx="114">
                  <c:v>2.6200399999999999E-2</c:v>
                </c:pt>
                <c:pt idx="115">
                  <c:v>2.6300399999999995E-2</c:v>
                </c:pt>
                <c:pt idx="116">
                  <c:v>2.6400399999999997E-2</c:v>
                </c:pt>
                <c:pt idx="117">
                  <c:v>2.65004E-2</c:v>
                </c:pt>
                <c:pt idx="118">
                  <c:v>2.6600399999999996E-2</c:v>
                </c:pt>
                <c:pt idx="119">
                  <c:v>2.6700399999999999E-2</c:v>
                </c:pt>
                <c:pt idx="120">
                  <c:v>2.6800399999999999E-2</c:v>
                </c:pt>
                <c:pt idx="121">
                  <c:v>2.6900399999999998E-2</c:v>
                </c:pt>
                <c:pt idx="122">
                  <c:v>2.7000400000000001E-2</c:v>
                </c:pt>
                <c:pt idx="123">
                  <c:v>2.7100399999999997E-2</c:v>
                </c:pt>
                <c:pt idx="124">
                  <c:v>2.72004E-2</c:v>
                </c:pt>
                <c:pt idx="125">
                  <c:v>2.7300399999999996E-2</c:v>
                </c:pt>
                <c:pt idx="126">
                  <c:v>2.7400399999999998E-2</c:v>
                </c:pt>
                <c:pt idx="127">
                  <c:v>2.7500399999999998E-2</c:v>
                </c:pt>
                <c:pt idx="128">
                  <c:v>2.7600399999999997E-2</c:v>
                </c:pt>
                <c:pt idx="129">
                  <c:v>2.77004E-2</c:v>
                </c:pt>
                <c:pt idx="130">
                  <c:v>2.7800399999999996E-2</c:v>
                </c:pt>
                <c:pt idx="131">
                  <c:v>2.7900399999999999E-2</c:v>
                </c:pt>
                <c:pt idx="132">
                  <c:v>2.8000399999999995E-2</c:v>
                </c:pt>
                <c:pt idx="133">
                  <c:v>2.8100399999999998E-2</c:v>
                </c:pt>
                <c:pt idx="134">
                  <c:v>2.82004E-2</c:v>
                </c:pt>
                <c:pt idx="135">
                  <c:v>2.8300399999999996E-2</c:v>
                </c:pt>
                <c:pt idx="136">
                  <c:v>2.8400399999999999E-2</c:v>
                </c:pt>
                <c:pt idx="137">
                  <c:v>2.8500399999999999E-2</c:v>
                </c:pt>
                <c:pt idx="138">
                  <c:v>2.8600399999999998E-2</c:v>
                </c:pt>
                <c:pt idx="139">
                  <c:v>2.8700400000000001E-2</c:v>
                </c:pt>
                <c:pt idx="140">
                  <c:v>2.8800399999999997E-2</c:v>
                </c:pt>
                <c:pt idx="141">
                  <c:v>2.89004E-2</c:v>
                </c:pt>
                <c:pt idx="142">
                  <c:v>2.9000399999999996E-2</c:v>
                </c:pt>
                <c:pt idx="143">
                  <c:v>2.9100399999999998E-2</c:v>
                </c:pt>
                <c:pt idx="144">
                  <c:v>2.9200399999999998E-2</c:v>
                </c:pt>
                <c:pt idx="145">
                  <c:v>2.9300399999999997E-2</c:v>
                </c:pt>
                <c:pt idx="146">
                  <c:v>2.94004E-2</c:v>
                </c:pt>
                <c:pt idx="147">
                  <c:v>2.9500399999999996E-2</c:v>
                </c:pt>
                <c:pt idx="148">
                  <c:v>2.9600399999999999E-2</c:v>
                </c:pt>
                <c:pt idx="149">
                  <c:v>2.9700399999999998E-2</c:v>
                </c:pt>
              </c:numCache>
            </c:numRef>
          </c:yVal>
          <c:smooth val="1"/>
          <c:extLst>
            <c:ext xmlns:c16="http://schemas.microsoft.com/office/drawing/2014/chart" uri="{C3380CC4-5D6E-409C-BE32-E72D297353CC}">
              <c16:uniqueId val="{00000004-A180-432B-A347-F5CCD23FB4B3}"/>
            </c:ext>
          </c:extLst>
        </c:ser>
        <c:ser>
          <c:idx val="5"/>
          <c:order val="5"/>
          <c:tx>
            <c:v>D3</c:v>
          </c:tx>
          <c:marker>
            <c:symbol val="none"/>
          </c:marker>
          <c:xVal>
            <c:numRef>
              <c:f>Eff_vs_IOUT!$R$8:$R$157</c:f>
              <c:numCache>
                <c:formatCode>General</c:formatCode>
                <c:ptCount val="150"/>
                <c:pt idx="0">
                  <c:v>0.16216666666666668</c:v>
                </c:pt>
                <c:pt idx="1">
                  <c:v>0.32433333333333336</c:v>
                </c:pt>
                <c:pt idx="2">
                  <c:v>0.48649999999999999</c:v>
                </c:pt>
                <c:pt idx="3">
                  <c:v>0.64866666666666672</c:v>
                </c:pt>
                <c:pt idx="4">
                  <c:v>0.81083333333333341</c:v>
                </c:pt>
                <c:pt idx="5">
                  <c:v>0.97299999999999998</c:v>
                </c:pt>
                <c:pt idx="6">
                  <c:v>1.1351666666666669</c:v>
                </c:pt>
                <c:pt idx="7">
                  <c:v>1.2973333333333334</c:v>
                </c:pt>
                <c:pt idx="8">
                  <c:v>1.4595</c:v>
                </c:pt>
                <c:pt idx="9">
                  <c:v>1.6216666666666668</c:v>
                </c:pt>
                <c:pt idx="10">
                  <c:v>1.7838333333333334</c:v>
                </c:pt>
                <c:pt idx="11">
                  <c:v>1.946</c:v>
                </c:pt>
                <c:pt idx="12">
                  <c:v>2.1081666666666665</c:v>
                </c:pt>
                <c:pt idx="13">
                  <c:v>2.2703333333333338</c:v>
                </c:pt>
                <c:pt idx="14">
                  <c:v>2.4325000000000001</c:v>
                </c:pt>
                <c:pt idx="15">
                  <c:v>2.5946666666666669</c:v>
                </c:pt>
                <c:pt idx="16">
                  <c:v>2.7568333333333337</c:v>
                </c:pt>
                <c:pt idx="17">
                  <c:v>2.919</c:v>
                </c:pt>
                <c:pt idx="18">
                  <c:v>3.0811666666666668</c:v>
                </c:pt>
                <c:pt idx="19">
                  <c:v>3.2433333333333336</c:v>
                </c:pt>
                <c:pt idx="20">
                  <c:v>3.4055</c:v>
                </c:pt>
                <c:pt idx="21">
                  <c:v>3.5676666666666668</c:v>
                </c:pt>
                <c:pt idx="22">
                  <c:v>3.7298333333333336</c:v>
                </c:pt>
                <c:pt idx="23">
                  <c:v>3.8919999999999999</c:v>
                </c:pt>
                <c:pt idx="24">
                  <c:v>4.0541666666666663</c:v>
                </c:pt>
                <c:pt idx="25">
                  <c:v>4.216333333333333</c:v>
                </c:pt>
                <c:pt idx="26">
                  <c:v>4.3785000000000007</c:v>
                </c:pt>
                <c:pt idx="27">
                  <c:v>4.5406666666666675</c:v>
                </c:pt>
                <c:pt idx="28">
                  <c:v>4.7028333333333334</c:v>
                </c:pt>
                <c:pt idx="29">
                  <c:v>4.8650000000000002</c:v>
                </c:pt>
                <c:pt idx="30">
                  <c:v>5.027166666666667</c:v>
                </c:pt>
                <c:pt idx="31">
                  <c:v>5.1893333333333338</c:v>
                </c:pt>
                <c:pt idx="32">
                  <c:v>5.3515000000000006</c:v>
                </c:pt>
                <c:pt idx="33">
                  <c:v>5.5136666666666674</c:v>
                </c:pt>
                <c:pt idx="34">
                  <c:v>5.6758333333333342</c:v>
                </c:pt>
                <c:pt idx="35">
                  <c:v>5.8380000000000001</c:v>
                </c:pt>
                <c:pt idx="36">
                  <c:v>6.0001666666666669</c:v>
                </c:pt>
                <c:pt idx="37">
                  <c:v>6.1623333333333337</c:v>
                </c:pt>
                <c:pt idx="38">
                  <c:v>6.3245000000000005</c:v>
                </c:pt>
                <c:pt idx="39">
                  <c:v>6.4866666666666672</c:v>
                </c:pt>
                <c:pt idx="40">
                  <c:v>6.648833333333334</c:v>
                </c:pt>
                <c:pt idx="41">
                  <c:v>6.8109999999999999</c:v>
                </c:pt>
                <c:pt idx="42">
                  <c:v>6.9731666666666667</c:v>
                </c:pt>
                <c:pt idx="43">
                  <c:v>7.1353333333333335</c:v>
                </c:pt>
                <c:pt idx="44">
                  <c:v>7.2975000000000003</c:v>
                </c:pt>
                <c:pt idx="45">
                  <c:v>7.4596666666666671</c:v>
                </c:pt>
                <c:pt idx="46">
                  <c:v>7.6218333333333339</c:v>
                </c:pt>
                <c:pt idx="47">
                  <c:v>7.7839999999999998</c:v>
                </c:pt>
                <c:pt idx="48">
                  <c:v>7.9461666666666666</c:v>
                </c:pt>
                <c:pt idx="49">
                  <c:v>8.1083333333333325</c:v>
                </c:pt>
                <c:pt idx="50">
                  <c:v>8.2705000000000002</c:v>
                </c:pt>
                <c:pt idx="51">
                  <c:v>8.4326666666666661</c:v>
                </c:pt>
                <c:pt idx="52">
                  <c:v>8.5948333333333338</c:v>
                </c:pt>
                <c:pt idx="53">
                  <c:v>8.7570000000000014</c:v>
                </c:pt>
                <c:pt idx="54">
                  <c:v>8.9191666666666674</c:v>
                </c:pt>
                <c:pt idx="55">
                  <c:v>9.081333333333335</c:v>
                </c:pt>
                <c:pt idx="56">
                  <c:v>9.2435000000000009</c:v>
                </c:pt>
                <c:pt idx="57">
                  <c:v>9.4056666666666668</c:v>
                </c:pt>
                <c:pt idx="58">
                  <c:v>9.5678333333333327</c:v>
                </c:pt>
                <c:pt idx="59">
                  <c:v>9.73</c:v>
                </c:pt>
                <c:pt idx="60">
                  <c:v>9.8921666666666663</c:v>
                </c:pt>
                <c:pt idx="61">
                  <c:v>10.054333333333334</c:v>
                </c:pt>
                <c:pt idx="62">
                  <c:v>10.2165</c:v>
                </c:pt>
                <c:pt idx="63">
                  <c:v>10.378666666666668</c:v>
                </c:pt>
                <c:pt idx="64">
                  <c:v>10.540833333333333</c:v>
                </c:pt>
                <c:pt idx="65">
                  <c:v>10.703000000000001</c:v>
                </c:pt>
                <c:pt idx="66">
                  <c:v>10.865166666666667</c:v>
                </c:pt>
                <c:pt idx="67">
                  <c:v>11.027333333333335</c:v>
                </c:pt>
                <c:pt idx="68">
                  <c:v>11.189500000000001</c:v>
                </c:pt>
                <c:pt idx="69">
                  <c:v>11.351666666666668</c:v>
                </c:pt>
                <c:pt idx="70">
                  <c:v>11.513833333333332</c:v>
                </c:pt>
                <c:pt idx="71">
                  <c:v>11.676</c:v>
                </c:pt>
                <c:pt idx="72">
                  <c:v>11.838166666666666</c:v>
                </c:pt>
                <c:pt idx="73">
                  <c:v>12.000333333333334</c:v>
                </c:pt>
                <c:pt idx="74">
                  <c:v>12.1625</c:v>
                </c:pt>
                <c:pt idx="75">
                  <c:v>12.324666666666667</c:v>
                </c:pt>
                <c:pt idx="76">
                  <c:v>12.486833333333333</c:v>
                </c:pt>
                <c:pt idx="77">
                  <c:v>12.649000000000001</c:v>
                </c:pt>
                <c:pt idx="78">
                  <c:v>12.811166666666667</c:v>
                </c:pt>
                <c:pt idx="79">
                  <c:v>12.973333333333334</c:v>
                </c:pt>
                <c:pt idx="80">
                  <c:v>13.1355</c:v>
                </c:pt>
                <c:pt idx="81">
                  <c:v>13.297666666666668</c:v>
                </c:pt>
                <c:pt idx="82">
                  <c:v>13.459833333333334</c:v>
                </c:pt>
                <c:pt idx="83">
                  <c:v>13.622</c:v>
                </c:pt>
                <c:pt idx="84">
                  <c:v>13.784166666666666</c:v>
                </c:pt>
                <c:pt idx="85">
                  <c:v>13.946333333333333</c:v>
                </c:pt>
                <c:pt idx="86">
                  <c:v>14.108499999999999</c:v>
                </c:pt>
                <c:pt idx="87">
                  <c:v>14.270666666666667</c:v>
                </c:pt>
                <c:pt idx="88">
                  <c:v>14.432833333333333</c:v>
                </c:pt>
                <c:pt idx="89">
                  <c:v>14.595000000000001</c:v>
                </c:pt>
                <c:pt idx="90">
                  <c:v>14.757166666666667</c:v>
                </c:pt>
                <c:pt idx="91">
                  <c:v>14.919333333333334</c:v>
                </c:pt>
                <c:pt idx="92">
                  <c:v>15.0815</c:v>
                </c:pt>
                <c:pt idx="93">
                  <c:v>15.243666666666668</c:v>
                </c:pt>
                <c:pt idx="94">
                  <c:v>15.405833333333334</c:v>
                </c:pt>
                <c:pt idx="95">
                  <c:v>15.568</c:v>
                </c:pt>
                <c:pt idx="96">
                  <c:v>15.730166666666666</c:v>
                </c:pt>
                <c:pt idx="97">
                  <c:v>15.892333333333333</c:v>
                </c:pt>
                <c:pt idx="98">
                  <c:v>16.054500000000001</c:v>
                </c:pt>
                <c:pt idx="99">
                  <c:v>16.216666666666665</c:v>
                </c:pt>
                <c:pt idx="100">
                  <c:v>16.378833333333333</c:v>
                </c:pt>
                <c:pt idx="101">
                  <c:v>16.541</c:v>
                </c:pt>
                <c:pt idx="102">
                  <c:v>16.703166666666668</c:v>
                </c:pt>
                <c:pt idx="103">
                  <c:v>16.865333333333332</c:v>
                </c:pt>
                <c:pt idx="104">
                  <c:v>17.0275</c:v>
                </c:pt>
                <c:pt idx="105">
                  <c:v>17.189666666666668</c:v>
                </c:pt>
                <c:pt idx="106">
                  <c:v>17.351833333333335</c:v>
                </c:pt>
                <c:pt idx="107">
                  <c:v>17.514000000000003</c:v>
                </c:pt>
                <c:pt idx="108">
                  <c:v>17.676166666666667</c:v>
                </c:pt>
                <c:pt idx="109">
                  <c:v>17.838333333333335</c:v>
                </c:pt>
                <c:pt idx="110">
                  <c:v>18.000500000000002</c:v>
                </c:pt>
                <c:pt idx="111">
                  <c:v>18.16266666666667</c:v>
                </c:pt>
                <c:pt idx="112">
                  <c:v>18.324833333333334</c:v>
                </c:pt>
                <c:pt idx="113">
                  <c:v>18.487000000000002</c:v>
                </c:pt>
                <c:pt idx="114">
                  <c:v>18.64916666666667</c:v>
                </c:pt>
                <c:pt idx="115">
                  <c:v>18.811333333333334</c:v>
                </c:pt>
                <c:pt idx="116">
                  <c:v>18.973499999999998</c:v>
                </c:pt>
                <c:pt idx="117">
                  <c:v>19.135666666666665</c:v>
                </c:pt>
                <c:pt idx="118">
                  <c:v>19.297833333333333</c:v>
                </c:pt>
                <c:pt idx="119">
                  <c:v>19.46</c:v>
                </c:pt>
                <c:pt idx="120">
                  <c:v>19.622166666666665</c:v>
                </c:pt>
                <c:pt idx="121">
                  <c:v>19.784333333333333</c:v>
                </c:pt>
                <c:pt idx="122">
                  <c:v>19.9465</c:v>
                </c:pt>
                <c:pt idx="123">
                  <c:v>20.108666666666668</c:v>
                </c:pt>
                <c:pt idx="124">
                  <c:v>20.270833333333332</c:v>
                </c:pt>
                <c:pt idx="125">
                  <c:v>20.433</c:v>
                </c:pt>
                <c:pt idx="126">
                  <c:v>20.595166666666668</c:v>
                </c:pt>
                <c:pt idx="127">
                  <c:v>20.757333333333335</c:v>
                </c:pt>
                <c:pt idx="128">
                  <c:v>20.919499999999999</c:v>
                </c:pt>
                <c:pt idx="129">
                  <c:v>21.081666666666667</c:v>
                </c:pt>
                <c:pt idx="130">
                  <c:v>21.243833333333335</c:v>
                </c:pt>
                <c:pt idx="131">
                  <c:v>21.406000000000002</c:v>
                </c:pt>
                <c:pt idx="132">
                  <c:v>21.568166666666666</c:v>
                </c:pt>
                <c:pt idx="133">
                  <c:v>21.730333333333334</c:v>
                </c:pt>
                <c:pt idx="134">
                  <c:v>21.892500000000002</c:v>
                </c:pt>
                <c:pt idx="135">
                  <c:v>22.05466666666667</c:v>
                </c:pt>
                <c:pt idx="136">
                  <c:v>22.216833333333334</c:v>
                </c:pt>
                <c:pt idx="137">
                  <c:v>22.379000000000001</c:v>
                </c:pt>
                <c:pt idx="138">
                  <c:v>22.541166666666669</c:v>
                </c:pt>
                <c:pt idx="139">
                  <c:v>22.703333333333337</c:v>
                </c:pt>
                <c:pt idx="140">
                  <c:v>22.865499999999997</c:v>
                </c:pt>
                <c:pt idx="141">
                  <c:v>23.027666666666665</c:v>
                </c:pt>
                <c:pt idx="142">
                  <c:v>23.189833333333333</c:v>
                </c:pt>
                <c:pt idx="143">
                  <c:v>23.352</c:v>
                </c:pt>
                <c:pt idx="144">
                  <c:v>23.514166666666664</c:v>
                </c:pt>
                <c:pt idx="145">
                  <c:v>23.676333333333332</c:v>
                </c:pt>
                <c:pt idx="146">
                  <c:v>23.8385</c:v>
                </c:pt>
                <c:pt idx="147">
                  <c:v>24.000666666666667</c:v>
                </c:pt>
                <c:pt idx="148">
                  <c:v>24.162833333333332</c:v>
                </c:pt>
                <c:pt idx="149">
                  <c:v>24.324999999999999</c:v>
                </c:pt>
              </c:numCache>
            </c:numRef>
          </c:xVal>
          <c:yVal>
            <c:numRef>
              <c:f>Eff_vs_IOUT!$BT$8:$BT$157</c:f>
              <c:numCache>
                <c:formatCode>General</c:formatCode>
                <c:ptCount val="1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yVal>
          <c:smooth val="1"/>
          <c:extLst>
            <c:ext xmlns:c16="http://schemas.microsoft.com/office/drawing/2014/chart" uri="{C3380CC4-5D6E-409C-BE32-E72D297353CC}">
              <c16:uniqueId val="{00000005-A180-432B-A347-F5CCD23FB4B3}"/>
            </c:ext>
          </c:extLst>
        </c:ser>
        <c:dLbls>
          <c:showLegendKey val="0"/>
          <c:showVal val="0"/>
          <c:showCatName val="0"/>
          <c:showSerName val="0"/>
          <c:showPercent val="0"/>
          <c:showBubbleSize val="0"/>
        </c:dLbls>
        <c:axId val="582914816"/>
        <c:axId val="582904448"/>
      </c:scatterChart>
      <c:valAx>
        <c:axId val="582892544"/>
        <c:scaling>
          <c:orientation val="minMax"/>
        </c:scaling>
        <c:delete val="0"/>
        <c:axPos val="b"/>
        <c:majorGridlines/>
        <c:numFmt formatCode="General" sourceLinked="1"/>
        <c:majorTickMark val="out"/>
        <c:minorTickMark val="none"/>
        <c:tickLblPos val="nextTo"/>
        <c:crossAx val="582902528"/>
        <c:crosses val="autoZero"/>
        <c:crossBetween val="midCat"/>
      </c:valAx>
      <c:valAx>
        <c:axId val="582902528"/>
        <c:scaling>
          <c:orientation val="minMax"/>
          <c:max val="100"/>
          <c:min val="60"/>
        </c:scaling>
        <c:delete val="0"/>
        <c:axPos val="l"/>
        <c:majorGridlines/>
        <c:title>
          <c:tx>
            <c:rich>
              <a:bodyPr rot="-5400000" vert="horz"/>
              <a:lstStyle/>
              <a:p>
                <a:pPr>
                  <a:defRPr sz="1400"/>
                </a:pPr>
                <a:r>
                  <a:rPr lang="en-US" sz="1400"/>
                  <a:t>Efficiency</a:t>
                </a:r>
                <a:r>
                  <a:rPr lang="en-US" sz="1400" baseline="0"/>
                  <a:t> (%)</a:t>
                </a:r>
                <a:endParaRPr lang="en-US" sz="1400"/>
              </a:p>
            </c:rich>
          </c:tx>
          <c:overlay val="0"/>
        </c:title>
        <c:numFmt formatCode="General" sourceLinked="1"/>
        <c:majorTickMark val="out"/>
        <c:minorTickMark val="none"/>
        <c:tickLblPos val="nextTo"/>
        <c:crossAx val="582892544"/>
        <c:crosses val="autoZero"/>
        <c:crossBetween val="midCat"/>
      </c:valAx>
      <c:valAx>
        <c:axId val="582904448"/>
        <c:scaling>
          <c:orientation val="minMax"/>
        </c:scaling>
        <c:delete val="0"/>
        <c:axPos val="r"/>
        <c:title>
          <c:tx>
            <c:rich>
              <a:bodyPr rot="-5400000" vert="horz"/>
              <a:lstStyle/>
              <a:p>
                <a:pPr>
                  <a:defRPr sz="1400"/>
                </a:pPr>
                <a:r>
                  <a:rPr lang="en-US" sz="1400"/>
                  <a:t>Losses</a:t>
                </a:r>
                <a:r>
                  <a:rPr lang="en-US" sz="1400" baseline="0"/>
                  <a:t> (W)</a:t>
                </a:r>
                <a:endParaRPr lang="en-US" sz="1400"/>
              </a:p>
            </c:rich>
          </c:tx>
          <c:overlay val="0"/>
        </c:title>
        <c:numFmt formatCode="General" sourceLinked="1"/>
        <c:majorTickMark val="out"/>
        <c:minorTickMark val="none"/>
        <c:tickLblPos val="nextTo"/>
        <c:crossAx val="582914816"/>
        <c:crosses val="max"/>
        <c:crossBetween val="midCat"/>
      </c:valAx>
      <c:valAx>
        <c:axId val="582914816"/>
        <c:scaling>
          <c:orientation val="minMax"/>
        </c:scaling>
        <c:delete val="1"/>
        <c:axPos val="b"/>
        <c:title>
          <c:tx>
            <c:rich>
              <a:bodyPr/>
              <a:lstStyle/>
              <a:p>
                <a:pPr>
                  <a:defRPr/>
                </a:pPr>
                <a:r>
                  <a:rPr lang="en-US"/>
                  <a:t>Loac</a:t>
                </a:r>
                <a:r>
                  <a:rPr lang="en-US" baseline="0"/>
                  <a:t> Current (A)</a:t>
                </a:r>
                <a:endParaRPr lang="en-US"/>
              </a:p>
            </c:rich>
          </c:tx>
          <c:overlay val="0"/>
        </c:title>
        <c:numFmt formatCode="General" sourceLinked="1"/>
        <c:majorTickMark val="out"/>
        <c:minorTickMark val="none"/>
        <c:tickLblPos val="nextTo"/>
        <c:crossAx val="582904448"/>
        <c:crosses val="autoZero"/>
        <c:crossBetween val="midCat"/>
      </c:valAx>
    </c:plotArea>
    <c:legend>
      <c:legendPos val="r"/>
      <c:layout>
        <c:manualLayout>
          <c:xMode val="edge"/>
          <c:yMode val="edge"/>
          <c:x val="0.49723111871774606"/>
          <c:y val="6.4861313959085187E-3"/>
          <c:w val="0.41972466868865133"/>
          <c:h val="0.12461147870492213"/>
        </c:manualLayout>
      </c:layout>
      <c:overlay val="1"/>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22" fmlaRange="$1:$1048576" noThreeD="1" sel="0" val="0"/>
</file>

<file path=xl/ctrlProps/ctrlProp2.xml><?xml version="1.0" encoding="utf-8"?>
<formControlPr xmlns="http://schemas.microsoft.com/office/spreadsheetml/2009/9/main" objectType="Spin" dx="20" fmlaLink="$H$8" max="45" noThreeD="1" page="10" val="12"/>
</file>

<file path=xl/ctrlProps/ctrlProp3.xml><?xml version="1.0" encoding="utf-8"?>
<formControlPr xmlns="http://schemas.microsoft.com/office/spreadsheetml/2009/9/main" objectType="Drop" dropLines="2" dropStyle="combo" dx="20" fmlaLink="Variable_Management!$B$175" fmlaRange="Lists!$I$2:$I$3" noThreeD="1" sel="1" val="0"/>
</file>

<file path=xl/ctrlProps/ctrlProp4.xml><?xml version="1.0" encoding="utf-8"?>
<formControlPr xmlns="http://schemas.microsoft.com/office/spreadsheetml/2009/9/main" objectType="Drop" dropLines="3" dropStyle="combo" dx="20" fmlaLink="Variable_Management!$B$13" fmlaRange="Lists!$L$2:$L$4" noThreeD="1" sel="2" val="0"/>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hyperlink" Target="http://www.ti.com/corp/docs/legal/copyright.shtml" TargetMode="External"/><Relationship Id="rId2" Type="http://schemas.openxmlformats.org/officeDocument/2006/relationships/image" Target="../media/image7.gif"/><Relationship Id="rId1" Type="http://schemas.openxmlformats.org/officeDocument/2006/relationships/hyperlink" Target="http://www.ti.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chart" Target="../charts/chart4.xml"/><Relationship Id="rId5" Type="http://schemas.openxmlformats.org/officeDocument/2006/relationships/chart" Target="../charts/chart6.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png"/><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6.emf"/></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18.emf"/><Relationship Id="rId1" Type="http://schemas.openxmlformats.org/officeDocument/2006/relationships/chart" Target="../charts/chart1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1.emf"/><Relationship Id="rId1" Type="http://schemas.openxmlformats.org/officeDocument/2006/relationships/image" Target="../media/image20.emf"/><Relationship Id="rId6" Type="http://schemas.openxmlformats.org/officeDocument/2006/relationships/image" Target="../media/image25.emf"/><Relationship Id="rId5" Type="http://schemas.openxmlformats.org/officeDocument/2006/relationships/image" Target="../media/image24.emf"/><Relationship Id="rId4"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114300</xdr:colOff>
          <xdr:row>17</xdr:row>
          <xdr:rowOff>19050</xdr:rowOff>
        </xdr:from>
        <xdr:to>
          <xdr:col>25</xdr:col>
          <xdr:colOff>409575</xdr:colOff>
          <xdr:row>18</xdr:row>
          <xdr:rowOff>171450</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17872</xdr:colOff>
          <xdr:row>57</xdr:row>
          <xdr:rowOff>241089</xdr:rowOff>
        </xdr:from>
        <xdr:to>
          <xdr:col>30</xdr:col>
          <xdr:colOff>583223</xdr:colOff>
          <xdr:row>84</xdr:row>
          <xdr:rowOff>182283</xdr:rowOff>
        </xdr:to>
        <xdr:pic>
          <xdr:nvPicPr>
            <xdr:cNvPr id="91" name="Picture 90">
              <a:extLst>
                <a:ext uri="{FF2B5EF4-FFF2-40B4-BE49-F238E27FC236}">
                  <a16:creationId xmlns:a16="http://schemas.microsoft.com/office/drawing/2014/main" id="{00000000-0008-0000-0000-00005B000000}"/>
                </a:ext>
              </a:extLst>
            </xdr:cNvPr>
            <xdr:cNvPicPr>
              <a:picLocks noChangeAspect="1" noChangeArrowheads="1"/>
              <a:extLst>
                <a:ext uri="{84589F7E-364E-4C9E-8A38-B11213B215E9}">
                  <a14:cameraTool cellRange="LoopLookup" spid="_x0000_s1722"/>
                </a:ext>
              </a:extLst>
            </xdr:cNvPicPr>
          </xdr:nvPicPr>
          <xdr:blipFill>
            <a:blip xmlns:r="http://schemas.openxmlformats.org/officeDocument/2006/relationships" r:embed="rId1"/>
            <a:srcRect/>
            <a:stretch>
              <a:fillRect/>
            </a:stretch>
          </xdr:blipFill>
          <xdr:spPr bwMode="auto">
            <a:xfrm>
              <a:off x="5237572" y="12937914"/>
              <a:ext cx="11979476" cy="586891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131952</xdr:colOff>
          <xdr:row>89</xdr:row>
          <xdr:rowOff>282846</xdr:rowOff>
        </xdr:from>
        <xdr:to>
          <xdr:col>30</xdr:col>
          <xdr:colOff>132404</xdr:colOff>
          <xdr:row>119</xdr:row>
          <xdr:rowOff>153490</xdr:rowOff>
        </xdr:to>
        <xdr:pic>
          <xdr:nvPicPr>
            <xdr:cNvPr id="27" name="Picture 8888">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display_eff" spid="_x0000_s1723"/>
                </a:ext>
              </a:extLst>
            </xdr:cNvPicPr>
          </xdr:nvPicPr>
          <xdr:blipFill>
            <a:blip xmlns:r="http://schemas.openxmlformats.org/officeDocument/2006/relationships" r:embed="rId2"/>
            <a:srcRect/>
            <a:stretch>
              <a:fillRect/>
            </a:stretch>
          </xdr:blipFill>
          <xdr:spPr bwMode="auto">
            <a:xfrm>
              <a:off x="5376305" y="19834309"/>
              <a:ext cx="11441658" cy="6199166"/>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12700</xdr:colOff>
          <xdr:row>58</xdr:row>
          <xdr:rowOff>12700</xdr:rowOff>
        </xdr:from>
        <xdr:to>
          <xdr:col>9</xdr:col>
          <xdr:colOff>0</xdr:colOff>
          <xdr:row>59</xdr:row>
          <xdr:rowOff>95250</xdr:rowOff>
        </xdr:to>
        <xdr:sp macro="" textlink="">
          <xdr:nvSpPr>
            <xdr:cNvPr id="1060" name="Spinner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14</xdr:col>
      <xdr:colOff>112060</xdr:colOff>
      <xdr:row>57</xdr:row>
      <xdr:rowOff>125987</xdr:rowOff>
    </xdr:from>
    <xdr:to>
      <xdr:col>16</xdr:col>
      <xdr:colOff>381002</xdr:colOff>
      <xdr:row>59</xdr:row>
      <xdr:rowOff>76044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278472" y="12474869"/>
          <a:ext cx="784412" cy="4207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r>
            <a:rPr lang="en-US" sz="2400" baseline="-25000"/>
            <a:t>IN</a:t>
          </a:r>
          <a:r>
            <a:rPr lang="en-US" sz="2400"/>
            <a:t> =</a:t>
          </a:r>
        </a:p>
      </xdr:txBody>
    </xdr:sp>
    <xdr:clientData/>
  </xdr:twoCellAnchor>
  <xdr:twoCellAnchor>
    <xdr:from>
      <xdr:col>12</xdr:col>
      <xdr:colOff>6735</xdr:colOff>
      <xdr:row>90</xdr:row>
      <xdr:rowOff>145675</xdr:rowOff>
    </xdr:from>
    <xdr:to>
      <xdr:col>13</xdr:col>
      <xdr:colOff>598405</xdr:colOff>
      <xdr:row>93</xdr:row>
      <xdr:rowOff>67234</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6887147" y="19655116"/>
          <a:ext cx="2014817" cy="515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r>
            <a:rPr lang="en-US" sz="2400" baseline="-25000"/>
            <a:t>IN</a:t>
          </a:r>
          <a:r>
            <a:rPr lang="en-US" sz="2400"/>
            <a:t> =</a:t>
          </a:r>
        </a:p>
      </xdr:txBody>
    </xdr:sp>
    <xdr:clientData/>
  </xdr:twoCellAnchor>
  <xdr:twoCellAnchor>
    <xdr:from>
      <xdr:col>12</xdr:col>
      <xdr:colOff>657935</xdr:colOff>
      <xdr:row>90</xdr:row>
      <xdr:rowOff>145674</xdr:rowOff>
    </xdr:from>
    <xdr:to>
      <xdr:col>13</xdr:col>
      <xdr:colOff>320862</xdr:colOff>
      <xdr:row>93</xdr:row>
      <xdr:rowOff>67234</xdr:rowOff>
    </xdr:to>
    <xdr:sp macro="" textlink="VIN_nom">
      <xdr:nvSpPr>
        <xdr:cNvPr id="10" name="TextBox 9">
          <a:extLst>
            <a:ext uri="{FF2B5EF4-FFF2-40B4-BE49-F238E27FC236}">
              <a16:creationId xmlns:a16="http://schemas.microsoft.com/office/drawing/2014/main" id="{00000000-0008-0000-0000-00000A000000}"/>
            </a:ext>
          </a:extLst>
        </xdr:cNvPr>
        <xdr:cNvSpPr txBox="1"/>
      </xdr:nvSpPr>
      <xdr:spPr>
        <a:xfrm>
          <a:off x="7538347" y="19655115"/>
          <a:ext cx="1086074" cy="515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B6E0D9B-34B5-4A81-8CB9-A88F658AFD78}" type="TxLink">
            <a:rPr lang="en-US" sz="2400" b="0" i="0" u="none" strike="noStrike">
              <a:solidFill>
                <a:srgbClr val="000000"/>
              </a:solidFill>
              <a:latin typeface="Calibri"/>
            </a:rPr>
            <a:pPr/>
            <a:t>12</a:t>
          </a:fld>
          <a:endParaRPr lang="en-US" sz="2400"/>
        </a:p>
      </xdr:txBody>
    </xdr:sp>
    <xdr:clientData/>
  </xdr:twoCellAnchor>
  <xdr:twoCellAnchor>
    <xdr:from>
      <xdr:col>12</xdr:col>
      <xdr:colOff>1077104</xdr:colOff>
      <xdr:row>90</xdr:row>
      <xdr:rowOff>145675</xdr:rowOff>
    </xdr:from>
    <xdr:to>
      <xdr:col>13</xdr:col>
      <xdr:colOff>495293</xdr:colOff>
      <xdr:row>93</xdr:row>
      <xdr:rowOff>67234</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7957516" y="19655116"/>
          <a:ext cx="841336" cy="5154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t>V</a:t>
          </a:r>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11</xdr:row>
          <xdr:rowOff>0</xdr:rowOff>
        </xdr:from>
        <xdr:to>
          <xdr:col>9</xdr:col>
          <xdr:colOff>9525</xdr:colOff>
          <xdr:row>12</xdr:row>
          <xdr:rowOff>104775</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61602</xdr:colOff>
          <xdr:row>4</xdr:row>
          <xdr:rowOff>179294</xdr:rowOff>
        </xdr:from>
        <xdr:to>
          <xdr:col>30</xdr:col>
          <xdr:colOff>523500</xdr:colOff>
          <xdr:row>36</xdr:row>
          <xdr:rowOff>45794</xdr:rowOff>
        </xdr:to>
        <xdr:pic>
          <xdr:nvPicPr>
            <xdr:cNvPr id="15" name="Picture 14">
              <a:extLst>
                <a:ext uri="{FF2B5EF4-FFF2-40B4-BE49-F238E27FC236}">
                  <a16:creationId xmlns:a16="http://schemas.microsoft.com/office/drawing/2014/main" id="{00000000-0008-0000-0000-00000F000000}"/>
                </a:ext>
              </a:extLst>
            </xdr:cNvPr>
            <xdr:cNvPicPr>
              <a:picLocks noChangeAspect="1"/>
              <a:extLst>
                <a:ext uri="{84589F7E-364E-4C9E-8A38-B11213B215E9}">
                  <a14:cameraTool cellRange="display_Sch" spid="_x0000_s1724"/>
                </a:ext>
              </a:extLst>
            </xdr:cNvPicPr>
          </xdr:nvPicPr>
          <xdr:blipFill rotWithShape="1">
            <a:blip xmlns:r="http://schemas.openxmlformats.org/officeDocument/2006/relationships" r:embed="rId3"/>
            <a:srcRect/>
            <a:stretch>
              <a:fillRect/>
            </a:stretch>
          </xdr:blipFill>
          <xdr:spPr>
            <a:xfrm>
              <a:off x="9485749" y="1333500"/>
              <a:ext cx="7726485" cy="6740001"/>
            </a:xfrm>
            <a:prstGeom prst="rect">
              <a:avLst/>
            </a:prstGeom>
          </xdr:spPr>
        </xdr:pic>
        <xdr:clientData/>
      </xdr:twoCellAnchor>
    </mc:Choice>
    <mc:Fallback/>
  </mc:AlternateContent>
  <xdr:twoCellAnchor>
    <xdr:from>
      <xdr:col>16</xdr:col>
      <xdr:colOff>205633</xdr:colOff>
      <xdr:row>57</xdr:row>
      <xdr:rowOff>140414</xdr:rowOff>
    </xdr:from>
    <xdr:to>
      <xdr:col>18</xdr:col>
      <xdr:colOff>285750</xdr:colOff>
      <xdr:row>59</xdr:row>
      <xdr:rowOff>64839</xdr:rowOff>
    </xdr:to>
    <xdr:sp macro="" textlink="VIN_nom">
      <xdr:nvSpPr>
        <xdr:cNvPr id="3" name="TextBox 2">
          <a:extLst>
            <a:ext uri="{FF2B5EF4-FFF2-40B4-BE49-F238E27FC236}">
              <a16:creationId xmlns:a16="http://schemas.microsoft.com/office/drawing/2014/main" id="{00000000-0008-0000-0000-000003000000}"/>
            </a:ext>
          </a:extLst>
        </xdr:cNvPr>
        <xdr:cNvSpPr txBox="1"/>
      </xdr:nvSpPr>
      <xdr:spPr>
        <a:xfrm>
          <a:off x="9854458" y="12589589"/>
          <a:ext cx="689717" cy="400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B6E0D9B-34B5-4A81-8CB9-A88F658AFD78}" type="TxLink">
            <a:rPr lang="en-US" sz="2400" b="0" i="0" u="none" strike="noStrike">
              <a:solidFill>
                <a:srgbClr val="000000"/>
              </a:solidFill>
              <a:latin typeface="Calibri"/>
            </a:rPr>
            <a:pPr/>
            <a:t>12</a:t>
          </a:fld>
          <a:endParaRPr lang="en-US" sz="24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9</xdr:row>
          <xdr:rowOff>31750</xdr:rowOff>
        </xdr:from>
        <xdr:to>
          <xdr:col>9</xdr:col>
          <xdr:colOff>0</xdr:colOff>
          <xdr:row>10</xdr:row>
          <xdr:rowOff>66675</xdr:rowOff>
        </xdr:to>
        <xdr:sp macro="" textlink="">
          <xdr:nvSpPr>
            <xdr:cNvPr id="1157" name="Drop Dow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19</xdr:col>
      <xdr:colOff>0</xdr:colOff>
      <xdr:row>47</xdr:row>
      <xdr:rowOff>0</xdr:rowOff>
    </xdr:from>
    <xdr:to>
      <xdr:col>41</xdr:col>
      <xdr:colOff>444500</xdr:colOff>
      <xdr:row>73</xdr:row>
      <xdr:rowOff>97734</xdr:rowOff>
    </xdr:to>
    <xdr:sp macro="" textlink="">
      <xdr:nvSpPr>
        <xdr:cNvPr id="1296" name="AutoShape 272">
          <a:extLst>
            <a:ext uri="{FF2B5EF4-FFF2-40B4-BE49-F238E27FC236}">
              <a16:creationId xmlns:a16="http://schemas.microsoft.com/office/drawing/2014/main" id="{00000000-0008-0000-0000-000010050000}"/>
            </a:ext>
          </a:extLst>
        </xdr:cNvPr>
        <xdr:cNvSpPr>
          <a:spLocks noChangeAspect="1" noChangeArrowheads="1"/>
        </xdr:cNvSpPr>
      </xdr:nvSpPr>
      <xdr:spPr bwMode="auto">
        <a:xfrm>
          <a:off x="11325225" y="14592300"/>
          <a:ext cx="11887200" cy="5857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126980</xdr:colOff>
      <xdr:row>57</xdr:row>
      <xdr:rowOff>142186</xdr:rowOff>
    </xdr:from>
    <xdr:to>
      <xdr:col>18</xdr:col>
      <xdr:colOff>389655</xdr:colOff>
      <xdr:row>59</xdr:row>
      <xdr:rowOff>56993</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0385405" y="12591361"/>
          <a:ext cx="262675" cy="3910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pPr algn="l"/>
          <a:r>
            <a:rPr lang="en-US" sz="2400"/>
            <a:t>V</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6718300</xdr:colOff>
          <xdr:row>5</xdr:row>
          <xdr:rowOff>4737100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A00-000001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6718300</xdr:colOff>
          <xdr:row>5</xdr:row>
          <xdr:rowOff>4737100</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A00-000002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6718300</xdr:colOff>
          <xdr:row>5</xdr:row>
          <xdr:rowOff>4737100</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A00-000003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xdr:col>
          <xdr:colOff>6470650</xdr:colOff>
          <xdr:row>3</xdr:row>
          <xdr:rowOff>4438650</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A00-000004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6470650</xdr:colOff>
          <xdr:row>3</xdr:row>
          <xdr:rowOff>4438650</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A00-000005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0</xdr:rowOff>
        </xdr:from>
        <xdr:to>
          <xdr:col>5</xdr:col>
          <xdr:colOff>6470650</xdr:colOff>
          <xdr:row>3</xdr:row>
          <xdr:rowOff>4438650</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A00-000006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1</xdr:col>
      <xdr:colOff>592455</xdr:colOff>
      <xdr:row>2</xdr:row>
      <xdr:rowOff>83771</xdr:rowOff>
    </xdr:to>
    <xdr:pic>
      <xdr:nvPicPr>
        <xdr:cNvPr id="2" name="Picture 1" descr="ti logo">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2400"/>
          <a:ext cx="2306955" cy="302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200025</xdr:colOff>
      <xdr:row>0</xdr:row>
      <xdr:rowOff>114300</xdr:rowOff>
    </xdr:from>
    <xdr:ext cx="3752850" cy="38170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914525" y="114300"/>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About this tool...</a:t>
          </a:r>
        </a:p>
      </xdr:txBody>
    </xdr:sp>
    <xdr:clientData/>
  </xdr:oneCellAnchor>
  <xdr:oneCellAnchor>
    <xdr:from>
      <xdr:col>3</xdr:col>
      <xdr:colOff>323850</xdr:colOff>
      <xdr:row>1</xdr:row>
      <xdr:rowOff>28575</xdr:rowOff>
    </xdr:from>
    <xdr:ext cx="4719497" cy="254557"/>
    <xdr:sp macro="" textlink="">
      <xdr:nvSpPr>
        <xdr:cNvPr id="4" name="TextBox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6419850" y="209550"/>
          <a:ext cx="471949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0" i="0" u="none" strike="noStrike">
              <a:solidFill>
                <a:schemeClr val="tx1"/>
              </a:solidFill>
              <a:effectLst/>
              <a:latin typeface="Arial" panose="020B0604020202020204" pitchFamily="34" charset="0"/>
              <a:ea typeface="+mn-ea"/>
              <a:cs typeface="Arial" panose="020B0604020202020204" pitchFamily="34" charset="0"/>
              <a:hlinkClick xmlns:r="http://schemas.openxmlformats.org/officeDocument/2006/relationships" r:id=""/>
            </a:rPr>
            <a:t>© Copyright 2021</a:t>
          </a:r>
          <a:r>
            <a:rPr lang="en-US" sz="1100" b="0" i="0">
              <a:solidFill>
                <a:schemeClr val="tx1"/>
              </a:solidFill>
              <a:effectLst/>
              <a:latin typeface="Arial" panose="020B0604020202020204" pitchFamily="34" charset="0"/>
              <a:ea typeface="+mn-ea"/>
              <a:cs typeface="Arial" panose="020B0604020202020204" pitchFamily="34" charset="0"/>
            </a:rPr>
            <a:t> Texas Instruments Incorporated. All rights reserved.</a:t>
          </a:r>
          <a:endParaRPr lang="en-US" sz="1100" b="0">
            <a:latin typeface="Arial" panose="020B0604020202020204" pitchFamily="34" charset="0"/>
            <a:cs typeface="Arial" panose="020B0604020202020204" pitchFamily="34" charset="0"/>
          </a:endParaRPr>
        </a:p>
      </xdr:txBody>
    </xdr:sp>
    <xdr:clientData/>
  </xdr:oneCellAnchor>
  <xdr:oneCellAnchor>
    <xdr:from>
      <xdr:col>0</xdr:col>
      <xdr:colOff>95247</xdr:colOff>
      <xdr:row>6</xdr:row>
      <xdr:rowOff>47623</xdr:rowOff>
    </xdr:from>
    <xdr:ext cx="11229977" cy="4086227"/>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5247" y="1114423"/>
          <a:ext cx="11229977" cy="408622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latin typeface="Arial" panose="020B0604020202020204" pitchFamily="34" charset="0"/>
              <a:cs typeface="Arial" panose="020B0604020202020204" pitchFamily="34" charset="0"/>
            </a:rPr>
            <a:t>LICENSE INFORMATION:</a:t>
          </a:r>
        </a:p>
        <a:p>
          <a:r>
            <a:rPr lang="en-US" sz="900">
              <a:solidFill>
                <a:schemeClr val="tx1"/>
              </a:solidFill>
              <a:effectLst/>
              <a:latin typeface="Arial" panose="020B0604020202020204" pitchFamily="34" charset="0"/>
              <a:ea typeface="+mn-ea"/>
              <a:cs typeface="Arial" panose="020B0604020202020204" pitchFamily="34" charset="0"/>
            </a:rPr>
            <a:t>Copyright (c) 2021 Texas Instruments Incorporated</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All rights reserved not granted herein.</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Limited License.  </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Redistributions must preserve existing copyright notices and reproduce this license (including the above copyright notice and the disclaimer and (if applicable) source code license limitations below) in the documentation and/or other materials provided with the distribution</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Redistribution and use in binary form, without modification, are permitted provided that the following conditions are met:</a:t>
          </a:r>
        </a:p>
        <a:p>
          <a:r>
            <a:rPr lang="en-US" sz="900">
              <a:solidFill>
                <a:schemeClr val="tx1"/>
              </a:solidFill>
              <a:effectLst/>
              <a:latin typeface="Arial" panose="020B0604020202020204" pitchFamily="34" charset="0"/>
              <a:ea typeface="+mn-ea"/>
              <a:cs typeface="Arial" panose="020B0604020202020204" pitchFamily="34" charset="0"/>
            </a:rPr>
            <a:t>*	No reverse engineering, decompilation, or disassembly of this software is permitted with respect to any software provided in binary form. </a:t>
          </a:r>
        </a:p>
        <a:p>
          <a:r>
            <a:rPr lang="en-US" sz="900">
              <a:solidFill>
                <a:schemeClr val="tx1"/>
              </a:solidFill>
              <a:effectLst/>
              <a:latin typeface="Arial" panose="020B0604020202020204" pitchFamily="34" charset="0"/>
              <a:ea typeface="+mn-ea"/>
              <a:cs typeface="Arial" panose="020B0604020202020204" pitchFamily="34" charset="0"/>
            </a:rPr>
            <a:t>*	Any redistribution and use are licensed by TI for use only with TI Devices.</a:t>
          </a:r>
        </a:p>
        <a:p>
          <a:r>
            <a:rPr lang="en-US" sz="900">
              <a:solidFill>
                <a:schemeClr val="tx1"/>
              </a:solidFill>
              <a:effectLst/>
              <a:latin typeface="Arial" panose="020B0604020202020204" pitchFamily="34" charset="0"/>
              <a:ea typeface="+mn-ea"/>
              <a:cs typeface="Arial" panose="020B0604020202020204" pitchFamily="34" charset="0"/>
            </a:rPr>
            <a:t>*	Nothing shall obligate TI to provide you with source code for the software licensed and provided to you in object code.</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If software source code is provided to you, modification and redistribution of the source code are permitted provided that the following conditions are met:</a:t>
          </a:r>
        </a:p>
        <a:p>
          <a:r>
            <a:rPr lang="en-US" sz="900">
              <a:solidFill>
                <a:schemeClr val="tx1"/>
              </a:solidFill>
              <a:effectLst/>
              <a:latin typeface="Arial" panose="020B0604020202020204" pitchFamily="34" charset="0"/>
              <a:ea typeface="+mn-ea"/>
              <a:cs typeface="Arial" panose="020B0604020202020204" pitchFamily="34" charset="0"/>
            </a:rPr>
            <a:t>*	Any redistribution and use of the source code, including any resulting derivative works, are licensed by TI for use only with TI Devices.</a:t>
          </a:r>
        </a:p>
        <a:p>
          <a:r>
            <a:rPr lang="en-US" sz="900">
              <a:solidFill>
                <a:schemeClr val="tx1"/>
              </a:solidFill>
              <a:effectLst/>
              <a:latin typeface="Arial" panose="020B0604020202020204" pitchFamily="34" charset="0"/>
              <a:ea typeface="+mn-ea"/>
              <a:cs typeface="Arial" panose="020B0604020202020204" pitchFamily="34" charset="0"/>
            </a:rPr>
            <a:t>*	Any redistribution and use of any object code compiled from the source code and any resulting derivative works, are licensed by TI for use only with TI Devices.</a:t>
          </a:r>
        </a:p>
        <a:p>
          <a:endParaRPr lang="en-US" sz="900">
            <a:solidFill>
              <a:schemeClr val="tx1"/>
            </a:solidFill>
            <a:effectLst/>
            <a:latin typeface="Arial" panose="020B0604020202020204" pitchFamily="34" charset="0"/>
            <a:ea typeface="+mn-ea"/>
            <a:cs typeface="Arial" panose="020B0604020202020204" pitchFamily="34" charset="0"/>
          </a:endParaRPr>
        </a:p>
        <a:p>
          <a:r>
            <a:rPr lang="en-US" sz="900">
              <a:solidFill>
                <a:schemeClr val="tx1"/>
              </a:solidFill>
              <a:effectLst/>
              <a:latin typeface="Arial" panose="020B0604020202020204" pitchFamily="34" charset="0"/>
              <a:ea typeface="+mn-ea"/>
              <a:cs typeface="Arial" panose="020B0604020202020204" pitchFamily="34" charset="0"/>
            </a:rPr>
            <a:t>Neither the name of Texas Instruments Incorporated nor the names of its suppliers may be used to endorse or promote products derived from this software without specific prior written permission.</a:t>
          </a:r>
          <a:endParaRPr lang="en-US" sz="1000" b="1">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latin typeface="Arial" panose="020B0604020202020204" pitchFamily="34" charset="0"/>
              <a:cs typeface="Arial" panose="020B0604020202020204" pitchFamily="34" charset="0"/>
            </a:rPr>
            <a:t>DISCLAMER:</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Arial" panose="020B0604020202020204" pitchFamily="34" charset="0"/>
              <a:cs typeface="Arial" panose="020B0604020202020204" pitchFamily="34" charset="0"/>
            </a:rPr>
            <a:t>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a:t>
          </a:r>
        </a:p>
      </xdr:txBody>
    </xdr:sp>
    <xdr:clientData/>
  </xdr:oneCellAnchor>
  <xdr:oneCellAnchor>
    <xdr:from>
      <xdr:col>0</xdr:col>
      <xdr:colOff>95247</xdr:colOff>
      <xdr:row>29</xdr:row>
      <xdr:rowOff>47623</xdr:rowOff>
    </xdr:from>
    <xdr:ext cx="11229977" cy="809627"/>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95247" y="5276848"/>
          <a:ext cx="11229977" cy="80962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IMPORTANT</a:t>
          </a:r>
          <a:r>
            <a:rPr lang="en-US" sz="1100" b="1" baseline="0">
              <a:solidFill>
                <a:schemeClr val="tx1"/>
              </a:solidFill>
              <a:effectLst/>
              <a:latin typeface="+mn-lt"/>
              <a:ea typeface="+mn-ea"/>
              <a:cs typeface="+mn-cs"/>
            </a:rPr>
            <a:t>:   </a:t>
          </a:r>
          <a:endParaRPr lang="en-US" sz="800">
            <a:effectLst/>
          </a:endParaRPr>
        </a:p>
        <a:p>
          <a:r>
            <a:rPr lang="en-US" sz="1100" baseline="0">
              <a:solidFill>
                <a:schemeClr val="tx1"/>
              </a:solidFill>
              <a:effectLst/>
              <a:latin typeface="+mn-lt"/>
              <a:ea typeface="+mn-ea"/>
              <a:cs typeface="+mn-cs"/>
            </a:rPr>
            <a:t>1.  Do not delete this worksheet!</a:t>
          </a:r>
          <a:endParaRPr lang="en-US" sz="800">
            <a:effectLst/>
          </a:endParaRPr>
        </a:p>
        <a:p>
          <a:pPr eaLnBrk="1" fontAlgn="auto" latinLnBrk="0" hangingPunct="1"/>
          <a:r>
            <a:rPr lang="en-US" sz="1100" baseline="0">
              <a:solidFill>
                <a:schemeClr val="tx1"/>
              </a:solidFill>
              <a:effectLst/>
              <a:latin typeface="+mn-lt"/>
              <a:ea typeface="+mn-ea"/>
              <a:cs typeface="+mn-cs"/>
            </a:rPr>
            <a:t>2.  Redistributions must retain the above copyright and the following disclaimer.</a:t>
          </a:r>
          <a:endParaRPr lang="en-US" sz="800">
            <a:effectLst/>
          </a:endParaRPr>
        </a:p>
        <a:p>
          <a:endParaRPr lang="en-US" sz="800" baseline="0">
            <a:latin typeface="Arial" panose="020B0604020202020204" pitchFamily="34" charset="0"/>
            <a:cs typeface="Arial" panose="020B0604020202020204" pitchFamily="34" charset="0"/>
          </a:endParaRPr>
        </a:p>
      </xdr:txBody>
    </xdr:sp>
    <xdr:clientData/>
  </xdr:oneCellAnchor>
  <xdr:twoCellAnchor editAs="oneCell">
    <xdr:from>
      <xdr:col>0</xdr:col>
      <xdr:colOff>0</xdr:colOff>
      <xdr:row>0</xdr:row>
      <xdr:rowOff>152400</xdr:rowOff>
    </xdr:from>
    <xdr:to>
      <xdr:col>1</xdr:col>
      <xdr:colOff>592455</xdr:colOff>
      <xdr:row>2</xdr:row>
      <xdr:rowOff>93296</xdr:rowOff>
    </xdr:to>
    <xdr:pic>
      <xdr:nvPicPr>
        <xdr:cNvPr id="7" name="Picture 6" descr="ti logo">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2400"/>
          <a:ext cx="2306955" cy="302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200025</xdr:colOff>
      <xdr:row>0</xdr:row>
      <xdr:rowOff>114300</xdr:rowOff>
    </xdr:from>
    <xdr:ext cx="3752850" cy="381708"/>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914525" y="114300"/>
          <a:ext cx="3752850" cy="381708"/>
        </a:xfrm>
        <a:prstGeom prst="rect">
          <a:avLst/>
        </a:prstGeom>
        <a:no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Arial Black" panose="020B0A04020102020204" pitchFamily="34" charset="0"/>
              <a:ea typeface="+mn-ea"/>
              <a:cs typeface="+mn-cs"/>
            </a:rPr>
            <a:t>About this tool...</a:t>
          </a:r>
        </a:p>
      </xdr:txBody>
    </xdr:sp>
    <xdr:clientData/>
  </xdr:oneCellAnchor>
  <xdr:oneCellAnchor>
    <xdr:from>
      <xdr:col>3</xdr:col>
      <xdr:colOff>323850</xdr:colOff>
      <xdr:row>1</xdr:row>
      <xdr:rowOff>28575</xdr:rowOff>
    </xdr:from>
    <xdr:ext cx="4719497" cy="254557"/>
    <xdr:sp macro="" textlink="">
      <xdr:nvSpPr>
        <xdr:cNvPr id="9" name="TextBox 8">
          <a:hlinkClick xmlns:r="http://schemas.openxmlformats.org/officeDocument/2006/relationships" r:id="rId3"/>
          <a:extLst>
            <a:ext uri="{FF2B5EF4-FFF2-40B4-BE49-F238E27FC236}">
              <a16:creationId xmlns:a16="http://schemas.microsoft.com/office/drawing/2014/main" id="{00000000-0008-0000-0100-000009000000}"/>
            </a:ext>
          </a:extLst>
        </xdr:cNvPr>
        <xdr:cNvSpPr txBox="1"/>
      </xdr:nvSpPr>
      <xdr:spPr>
        <a:xfrm>
          <a:off x="6419850" y="209550"/>
          <a:ext cx="4719497" cy="25455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hlinkClick xmlns:r="http://schemas.openxmlformats.org/officeDocument/2006/relationships" r:id=""/>
            </a:rPr>
            <a:t>© Copyright 2021</a:t>
          </a: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Texas Instruments Incorporated. All rights reserved.</a:t>
          </a:r>
        </a:p>
      </xdr:txBody>
    </xdr:sp>
    <xdr:clientData/>
  </xdr:oneCellAnchor>
  <xdr:oneCellAnchor>
    <xdr:from>
      <xdr:col>0</xdr:col>
      <xdr:colOff>95247</xdr:colOff>
      <xdr:row>6</xdr:row>
      <xdr:rowOff>47623</xdr:rowOff>
    </xdr:from>
    <xdr:ext cx="11229977" cy="4086227"/>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95247" y="1114423"/>
          <a:ext cx="11229977" cy="4086227"/>
        </a:xfrm>
        <a:prstGeom prst="rect">
          <a:avLst/>
        </a:prstGeom>
        <a:solidFill>
          <a:sysClr val="window" lastClr="FFFFFF">
            <a:lumMod val="85000"/>
          </a:sysClr>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LICENSE INFORMATION: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Copyright (c) 2021 Texas Instruments Incorporated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All rights reserved not granted herein.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Limited License.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Redistributions must preserve existing copyright notices and reproduce this license (including the above copyright notice and the disclaimer and (if applicable) source code license limitations below) in the documentation and/or other materials provided with the distribution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Redistribution and use in binary form, without modification, are permitted provided that the following conditions are met: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No reverse engineering, decompilation, or disassembly of this software is permitted with respect to any software provided in binary form.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Any redistribution and use are licensed by TI for use only with TI Devices.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Nothing shall obligate TI to provide you with source code for the software licensed and provided to you in object code.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If software source code is provided to you, modification and redistribution of the source code are permitted provided that the following conditions are met: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Any redistribution and use of the source code, including any resulting derivative works, are licensed by TI for use only with TI Devices.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Any redistribution and use of any object code compiled from the source code and any resulting derivative works, are licensed by TI for use only with TI Devices.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Neither the name of Texas Instruments Incorporated nor the names of its suppliers may be used to endorse or promote products derived from this software without specific prior written permission.</a:t>
          </a:r>
          <a:endParaRPr kumimoji="0" lang="en-U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DISCLAMER: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a:t>
          </a:r>
        </a:p>
      </xdr:txBody>
    </xdr:sp>
    <xdr:clientData/>
  </xdr:oneCellAnchor>
  <xdr:oneCellAnchor>
    <xdr:from>
      <xdr:col>0</xdr:col>
      <xdr:colOff>95247</xdr:colOff>
      <xdr:row>29</xdr:row>
      <xdr:rowOff>47623</xdr:rowOff>
    </xdr:from>
    <xdr:ext cx="11229977" cy="809627"/>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95247" y="5276848"/>
          <a:ext cx="11229977" cy="809627"/>
        </a:xfrm>
        <a:prstGeom prst="rect">
          <a:avLst/>
        </a:prstGeom>
        <a:solidFill>
          <a:sysClr val="window" lastClr="FFFFFF">
            <a:lumMod val="95000"/>
          </a:sysClr>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IMPORTANT:   </a:t>
          </a:r>
          <a:endParaRPr kumimoji="0" lang="en-US" sz="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1.  Do not delete this worksheet!</a:t>
          </a:r>
          <a:endParaRPr kumimoji="0" lang="en-US" sz="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2.  Redistributions must retain the above copyright and the following disclaimer.</a:t>
          </a:r>
          <a:endParaRPr kumimoji="0" lang="en-US" sz="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129</xdr:row>
          <xdr:rowOff>133350</xdr:rowOff>
        </xdr:from>
        <xdr:to>
          <xdr:col>13</xdr:col>
          <xdr:colOff>165100</xdr:colOff>
          <xdr:row>132</xdr:row>
          <xdr:rowOff>19050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8</xdr:col>
      <xdr:colOff>842683</xdr:colOff>
      <xdr:row>242</xdr:row>
      <xdr:rowOff>17930</xdr:rowOff>
    </xdr:from>
    <xdr:to>
      <xdr:col>14</xdr:col>
      <xdr:colOff>475130</xdr:colOff>
      <xdr:row>250</xdr:row>
      <xdr:rowOff>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9798424" y="23523389"/>
          <a:ext cx="3541059" cy="1335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Loop</a:t>
          </a:r>
          <a:r>
            <a:rPr lang="en-US" sz="1100" baseline="0"/>
            <a:t> compensation is calculated for the minimum input voltage. This ensure stability over the input votlage range</a:t>
          </a:r>
          <a:endParaRPr lang="en-US" sz="1100"/>
        </a:p>
      </xdr:txBody>
    </xdr:sp>
    <xdr:clientData/>
  </xdr:twoCellAnchor>
  <xdr:twoCellAnchor editAs="oneCell">
    <xdr:from>
      <xdr:col>8</xdr:col>
      <xdr:colOff>842683</xdr:colOff>
      <xdr:row>50</xdr:row>
      <xdr:rowOff>62753</xdr:rowOff>
    </xdr:from>
    <xdr:to>
      <xdr:col>12</xdr:col>
      <xdr:colOff>447547</xdr:colOff>
      <xdr:row>53</xdr:row>
      <xdr:rowOff>88800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798424" y="6553200"/>
          <a:ext cx="2392888" cy="563929"/>
        </a:xfrm>
        <a:prstGeom prst="rect">
          <a:avLst/>
        </a:prstGeom>
      </xdr:spPr>
    </xdr:pic>
    <xdr:clientData/>
  </xdr:twoCellAnchor>
  <xdr:twoCellAnchor editAs="oneCell">
    <xdr:from>
      <xdr:col>9</xdr:col>
      <xdr:colOff>0</xdr:colOff>
      <xdr:row>62</xdr:row>
      <xdr:rowOff>0</xdr:rowOff>
    </xdr:from>
    <xdr:to>
      <xdr:col>14</xdr:col>
      <xdr:colOff>721</xdr:colOff>
      <xdr:row>66</xdr:row>
      <xdr:rowOff>31893</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9816353" y="7395882"/>
          <a:ext cx="3147333" cy="7849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1051560</xdr:colOff>
      <xdr:row>49</xdr:row>
      <xdr:rowOff>45720</xdr:rowOff>
    </xdr:from>
    <xdr:to>
      <xdr:col>25</xdr:col>
      <xdr:colOff>563880</xdr:colOff>
      <xdr:row>73</xdr:row>
      <xdr:rowOff>19050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252153</xdr:colOff>
      <xdr:row>49</xdr:row>
      <xdr:rowOff>50916</xdr:rowOff>
    </xdr:from>
    <xdr:to>
      <xdr:col>38</xdr:col>
      <xdr:colOff>290945</xdr:colOff>
      <xdr:row>73</xdr:row>
      <xdr:rowOff>24247</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1036494</xdr:colOff>
      <xdr:row>20</xdr:row>
      <xdr:rowOff>65809</xdr:rowOff>
    </xdr:from>
    <xdr:to>
      <xdr:col>33</xdr:col>
      <xdr:colOff>315191</xdr:colOff>
      <xdr:row>49</xdr:row>
      <xdr:rowOff>1</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1051560</xdr:colOff>
      <xdr:row>49</xdr:row>
      <xdr:rowOff>45720</xdr:rowOff>
    </xdr:from>
    <xdr:to>
      <xdr:col>25</xdr:col>
      <xdr:colOff>563880</xdr:colOff>
      <xdr:row>73</xdr:row>
      <xdr:rowOff>19050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32</xdr:col>
      <xdr:colOff>186690</xdr:colOff>
      <xdr:row>39</xdr:row>
      <xdr:rowOff>167640</xdr:rowOff>
    </xdr:from>
    <xdr:to>
      <xdr:col>34</xdr:col>
      <xdr:colOff>515247</xdr:colOff>
      <xdr:row>45</xdr:row>
      <xdr:rowOff>69934</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21541740" y="5482590"/>
          <a:ext cx="1840230" cy="1045293"/>
        </a:xfrm>
        <a:prstGeom prst="rect">
          <a:avLst/>
        </a:prstGeom>
      </xdr:spPr>
    </xdr:pic>
    <xdr:clientData/>
  </xdr:twoCellAnchor>
  <xdr:twoCellAnchor editAs="oneCell">
    <xdr:from>
      <xdr:col>34</xdr:col>
      <xdr:colOff>247650</xdr:colOff>
      <xdr:row>40</xdr:row>
      <xdr:rowOff>60960</xdr:rowOff>
    </xdr:from>
    <xdr:to>
      <xdr:col>38</xdr:col>
      <xdr:colOff>567929</xdr:colOff>
      <xdr:row>44</xdr:row>
      <xdr:rowOff>129612</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23888700" y="5566410"/>
          <a:ext cx="2758679" cy="830649"/>
        </a:xfrm>
        <a:prstGeom prst="rect">
          <a:avLst/>
        </a:prstGeom>
      </xdr:spPr>
    </xdr:pic>
    <xdr:clientData/>
  </xdr:twoCellAnchor>
  <xdr:twoCellAnchor>
    <xdr:from>
      <xdr:col>31</xdr:col>
      <xdr:colOff>30480</xdr:colOff>
      <xdr:row>49</xdr:row>
      <xdr:rowOff>64770</xdr:rowOff>
    </xdr:from>
    <xdr:to>
      <xdr:col>42</xdr:col>
      <xdr:colOff>144780</xdr:colOff>
      <xdr:row>73</xdr:row>
      <xdr:rowOff>38100</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7620</xdr:colOff>
      <xdr:row>21</xdr:row>
      <xdr:rowOff>121920</xdr:rowOff>
    </xdr:from>
    <xdr:to>
      <xdr:col>26</xdr:col>
      <xdr:colOff>45720</xdr:colOff>
      <xdr:row>45</xdr:row>
      <xdr:rowOff>80010</xdr:rowOff>
    </xdr:to>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22</xdr:row>
      <xdr:rowOff>147917</xdr:rowOff>
    </xdr:from>
    <xdr:to>
      <xdr:col>13</xdr:col>
      <xdr:colOff>397584</xdr:colOff>
      <xdr:row>49</xdr:row>
      <xdr:rowOff>125762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13</xdr:col>
      <xdr:colOff>397584</xdr:colOff>
      <xdr:row>79</xdr:row>
      <xdr:rowOff>157954</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82</xdr:row>
      <xdr:rowOff>0</xdr:rowOff>
    </xdr:from>
    <xdr:to>
      <xdr:col>13</xdr:col>
      <xdr:colOff>397584</xdr:colOff>
      <xdr:row>108</xdr:row>
      <xdr:rowOff>157953</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548640</xdr:colOff>
      <xdr:row>10</xdr:row>
      <xdr:rowOff>0</xdr:rowOff>
    </xdr:from>
    <xdr:to>
      <xdr:col>12</xdr:col>
      <xdr:colOff>449580</xdr:colOff>
      <xdr:row>12</xdr:row>
      <xdr:rowOff>123546</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269480" y="1638300"/>
          <a:ext cx="2948940" cy="489306"/>
        </a:xfrm>
        <a:prstGeom prst="rect">
          <a:avLst/>
        </a:prstGeom>
      </xdr:spPr>
    </xdr:pic>
    <xdr:clientData/>
  </xdr:twoCellAnchor>
  <xdr:twoCellAnchor editAs="oneCell">
    <xdr:from>
      <xdr:col>8</xdr:col>
      <xdr:colOff>7620</xdr:colOff>
      <xdr:row>14</xdr:row>
      <xdr:rowOff>132742</xdr:rowOff>
    </xdr:from>
    <xdr:to>
      <xdr:col>13</xdr:col>
      <xdr:colOff>350520</xdr:colOff>
      <xdr:row>18</xdr:row>
      <xdr:rowOff>76286</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7338060" y="2502562"/>
          <a:ext cx="3390900" cy="675064"/>
        </a:xfrm>
        <a:prstGeom prst="rect">
          <a:avLst/>
        </a:prstGeom>
      </xdr:spPr>
    </xdr:pic>
    <xdr:clientData/>
  </xdr:twoCellAnchor>
  <xdr:twoCellAnchor editAs="oneCell">
    <xdr:from>
      <xdr:col>9</xdr:col>
      <xdr:colOff>129540</xdr:colOff>
      <xdr:row>24</xdr:row>
      <xdr:rowOff>0</xdr:rowOff>
    </xdr:from>
    <xdr:to>
      <xdr:col>13</xdr:col>
      <xdr:colOff>76200</xdr:colOff>
      <xdr:row>32</xdr:row>
      <xdr:rowOff>45369</xdr:rowOff>
    </xdr:to>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69580" y="4198620"/>
          <a:ext cx="2385060" cy="152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625927</xdr:colOff>
      <xdr:row>2</xdr:row>
      <xdr:rowOff>0</xdr:rowOff>
    </xdr:from>
    <xdr:to>
      <xdr:col>2</xdr:col>
      <xdr:colOff>9701892</xdr:colOff>
      <xdr:row>3</xdr:row>
      <xdr:rowOff>0</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31103</xdr:colOff>
      <xdr:row>5</xdr:row>
      <xdr:rowOff>23328</xdr:rowOff>
    </xdr:from>
    <xdr:to>
      <xdr:col>3</xdr:col>
      <xdr:colOff>0</xdr:colOff>
      <xdr:row>5</xdr:row>
      <xdr:rowOff>4803322</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625927</xdr:colOff>
      <xdr:row>8</xdr:row>
      <xdr:rowOff>0</xdr:rowOff>
    </xdr:from>
    <xdr:to>
      <xdr:col>2</xdr:col>
      <xdr:colOff>9701893</xdr:colOff>
      <xdr:row>8</xdr:row>
      <xdr:rowOff>4789714</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absolute">
        <xdr:from>
          <xdr:col>9</xdr:col>
          <xdr:colOff>0</xdr:colOff>
          <xdr:row>2</xdr:row>
          <xdr:rowOff>0</xdr:rowOff>
        </xdr:from>
        <xdr:to>
          <xdr:col>27</xdr:col>
          <xdr:colOff>311243</xdr:colOff>
          <xdr:row>5</xdr:row>
          <xdr:rowOff>681746</xdr:rowOff>
        </xdr:to>
        <xdr:pic>
          <xdr:nvPicPr>
            <xdr:cNvPr id="7" name="Picture 8888">
              <a:extLst>
                <a:ext uri="{FF2B5EF4-FFF2-40B4-BE49-F238E27FC236}">
                  <a16:creationId xmlns:a16="http://schemas.microsoft.com/office/drawing/2014/main" id="{00000000-0008-0000-0700-000007000000}"/>
                </a:ext>
              </a:extLst>
            </xdr:cNvPr>
            <xdr:cNvPicPr>
              <a:picLocks noChangeAspect="1" noChangeArrowheads="1"/>
              <a:extLst>
                <a:ext uri="{84589F7E-364E-4C9E-8A38-B11213B215E9}">
                  <a14:cameraTool cellRange="display_eff" spid="_x0000_s16487"/>
                </a:ext>
              </a:extLst>
            </xdr:cNvPicPr>
          </xdr:nvPicPr>
          <xdr:blipFill>
            <a:blip xmlns:r="http://schemas.openxmlformats.org/officeDocument/2006/relationships" r:embed="rId4"/>
            <a:srcRect/>
            <a:stretch>
              <a:fillRect/>
            </a:stretch>
          </xdr:blipFill>
          <xdr:spPr bwMode="auto">
            <a:xfrm>
              <a:off x="15543244" y="365449"/>
              <a:ext cx="12067815" cy="5875787"/>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281750</xdr:colOff>
      <xdr:row>1</xdr:row>
      <xdr:rowOff>134469</xdr:rowOff>
    </xdr:from>
    <xdr:to>
      <xdr:col>1</xdr:col>
      <xdr:colOff>10245380</xdr:colOff>
      <xdr:row>2</xdr:row>
      <xdr:rowOff>4738487</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76840</xdr:colOff>
          <xdr:row>2</xdr:row>
          <xdr:rowOff>384202</xdr:rowOff>
        </xdr:from>
        <xdr:to>
          <xdr:col>12</xdr:col>
          <xdr:colOff>593884</xdr:colOff>
          <xdr:row>2</xdr:row>
          <xdr:rowOff>2971159</xdr:rowOff>
        </xdr:to>
        <xdr:pic>
          <xdr:nvPicPr>
            <xdr:cNvPr id="6" name="Picture 5">
              <a:extLst>
                <a:ext uri="{FF2B5EF4-FFF2-40B4-BE49-F238E27FC236}">
                  <a16:creationId xmlns:a16="http://schemas.microsoft.com/office/drawing/2014/main" id="{00000000-0008-0000-0900-000006000000}"/>
                </a:ext>
              </a:extLst>
            </xdr:cNvPr>
            <xdr:cNvPicPr>
              <a:picLocks noChangeAspect="1" noChangeArrowheads="1"/>
              <a:extLst>
                <a:ext uri="{84589F7E-364E-4C9E-8A38-B11213B215E9}">
                  <a14:cameraTool cellRange="LoopLookup" spid="_x0000_s18541"/>
                </a:ext>
              </a:extLst>
            </xdr:cNvPicPr>
          </xdr:nvPicPr>
          <xdr:blipFill>
            <a:blip xmlns:r="http://schemas.openxmlformats.org/officeDocument/2006/relationships" r:embed="rId2"/>
            <a:srcRect/>
            <a:stretch>
              <a:fillRect/>
            </a:stretch>
          </xdr:blipFill>
          <xdr:spPr bwMode="auto">
            <a:xfrm>
              <a:off x="13690386" y="749194"/>
              <a:ext cx="6164809" cy="258695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0</xdr:colOff>
      <xdr:row>3</xdr:row>
      <xdr:rowOff>0</xdr:rowOff>
    </xdr:from>
    <xdr:to>
      <xdr:col>1</xdr:col>
      <xdr:colOff>10808874</xdr:colOff>
      <xdr:row>3</xdr:row>
      <xdr:rowOff>4386303</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8" Type="http://schemas.openxmlformats.org/officeDocument/2006/relationships/package" Target="../embeddings/Microsoft_Visio_Drawing2.vsdx"/><Relationship Id="rId13" Type="http://schemas.openxmlformats.org/officeDocument/2006/relationships/image" Target="../media/image24.emf"/><Relationship Id="rId3" Type="http://schemas.openxmlformats.org/officeDocument/2006/relationships/vmlDrawing" Target="../drawings/vmlDrawing8.vml"/><Relationship Id="rId7" Type="http://schemas.openxmlformats.org/officeDocument/2006/relationships/image" Target="../media/image21.emf"/><Relationship Id="rId12" Type="http://schemas.openxmlformats.org/officeDocument/2006/relationships/package" Target="../embeddings/Microsoft_Visio_Drawing4.vsdx"/><Relationship Id="rId2" Type="http://schemas.openxmlformats.org/officeDocument/2006/relationships/drawing" Target="../drawings/drawing10.xml"/><Relationship Id="rId1" Type="http://schemas.openxmlformats.org/officeDocument/2006/relationships/printerSettings" Target="../printerSettings/printerSettings8.bin"/><Relationship Id="rId6" Type="http://schemas.openxmlformats.org/officeDocument/2006/relationships/package" Target="../embeddings/Microsoft_Visio_Drawing1.vsdx"/><Relationship Id="rId11" Type="http://schemas.openxmlformats.org/officeDocument/2006/relationships/image" Target="../media/image23.emf"/><Relationship Id="rId5" Type="http://schemas.openxmlformats.org/officeDocument/2006/relationships/image" Target="../media/image20.emf"/><Relationship Id="rId15" Type="http://schemas.openxmlformats.org/officeDocument/2006/relationships/image" Target="../media/image25.emf"/><Relationship Id="rId10" Type="http://schemas.openxmlformats.org/officeDocument/2006/relationships/package" Target="../embeddings/Microsoft_Visio_Drawing3.vsdx"/><Relationship Id="rId4" Type="http://schemas.openxmlformats.org/officeDocument/2006/relationships/package" Target="../embeddings/Microsoft_Visio_Drawing.vsdx"/><Relationship Id="rId9" Type="http://schemas.openxmlformats.org/officeDocument/2006/relationships/image" Target="../media/image22.emf"/><Relationship Id="rId14" Type="http://schemas.openxmlformats.org/officeDocument/2006/relationships/package" Target="../embeddings/Microsoft_Visio_Drawing5.vsd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8.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F123"/>
  <sheetViews>
    <sheetView tabSelected="1" zoomScale="90" zoomScaleNormal="90" workbookViewId="0">
      <selection activeCell="N10" sqref="N10"/>
    </sheetView>
  </sheetViews>
  <sheetFormatPr defaultColWidth="8.81640625" defaultRowHeight="14.5" x14ac:dyDescent="0.35"/>
  <cols>
    <col min="1" max="6" width="8.81640625" style="103" customWidth="1"/>
    <col min="7" max="7" width="8.81640625" style="157" customWidth="1"/>
    <col min="8" max="8" width="12" style="103" bestFit="1" customWidth="1"/>
    <col min="9" max="9" width="4.26953125" style="103" customWidth="1"/>
    <col min="10" max="10" width="2.7265625" style="103" customWidth="1"/>
    <col min="11" max="11" width="6" style="103" customWidth="1"/>
    <col min="12" max="12" width="15.81640625" style="103" customWidth="1"/>
    <col min="13" max="13" width="21.26953125" style="103" customWidth="1"/>
    <col min="14" max="14" width="12.81640625" style="103" customWidth="1"/>
    <col min="15" max="16" width="3.81640625" style="103" customWidth="1"/>
    <col min="17" max="17" width="6.1796875" style="103" customWidth="1"/>
    <col min="18" max="18" width="3" style="103" customWidth="1"/>
    <col min="19" max="19" width="14.26953125" style="103" customWidth="1"/>
    <col min="20" max="20" width="14.1796875" style="103" customWidth="1"/>
    <col min="21" max="21" width="4.1796875" style="103" customWidth="1"/>
    <col min="22" max="22" width="9.7265625" style="103" customWidth="1"/>
    <col min="23" max="23" width="4.7265625" style="103" customWidth="1"/>
    <col min="24" max="24" width="3" style="107" customWidth="1"/>
    <col min="25" max="25" width="7.26953125" style="103" hidden="1" customWidth="1"/>
    <col min="26" max="26" width="7.26953125" style="103" customWidth="1"/>
    <col min="27" max="27" width="13.7265625" style="103" customWidth="1"/>
    <col min="28" max="28" width="10.81640625" style="103" customWidth="1"/>
    <col min="29" max="29" width="4.81640625" style="103" customWidth="1"/>
    <col min="30" max="31" width="8.81640625" style="103" customWidth="1"/>
    <col min="32" max="32" width="1.7265625" style="158" customWidth="1"/>
    <col min="33" max="16384" width="8.81640625" style="103"/>
  </cols>
  <sheetData>
    <row r="1" spans="1:32" ht="46.9" customHeight="1" x14ac:dyDescent="0.35">
      <c r="A1" s="98"/>
      <c r="B1" s="98"/>
      <c r="C1" s="98"/>
      <c r="D1" s="98"/>
      <c r="E1" s="99" t="s">
        <v>670</v>
      </c>
      <c r="F1" s="98"/>
      <c r="G1" s="100"/>
      <c r="H1" s="98"/>
      <c r="I1" s="98"/>
      <c r="J1" s="98"/>
      <c r="K1" s="98"/>
      <c r="L1" s="98"/>
      <c r="M1" s="98"/>
      <c r="N1" s="98"/>
      <c r="O1" s="98"/>
      <c r="P1" s="98"/>
      <c r="Q1" s="98"/>
      <c r="R1" s="98"/>
      <c r="S1" s="98"/>
      <c r="T1" s="98"/>
      <c r="U1" s="98"/>
      <c r="V1" s="98"/>
      <c r="W1" s="98"/>
      <c r="X1" s="101"/>
      <c r="Y1" s="98"/>
      <c r="Z1" s="98"/>
      <c r="AA1" s="98"/>
      <c r="AB1" s="98"/>
      <c r="AC1" s="98"/>
      <c r="AD1" s="98"/>
      <c r="AE1" s="98"/>
      <c r="AF1" s="102"/>
    </row>
    <row r="2" spans="1:32" s="107" customFormat="1" x14ac:dyDescent="0.35">
      <c r="A2" s="104"/>
      <c r="B2" s="104"/>
      <c r="C2" s="104"/>
      <c r="D2" s="104"/>
      <c r="E2" s="104"/>
      <c r="F2" s="104"/>
      <c r="G2" s="105"/>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6"/>
    </row>
    <row r="3" spans="1:32" s="107" customFormat="1" x14ac:dyDescent="0.35">
      <c r="A3" s="108" t="s">
        <v>1</v>
      </c>
      <c r="B3" s="104"/>
      <c r="C3" s="104"/>
      <c r="D3" s="104"/>
      <c r="E3" s="109"/>
      <c r="F3" s="110" t="s">
        <v>2</v>
      </c>
      <c r="G3" s="105"/>
      <c r="H3" s="104"/>
      <c r="I3" s="104"/>
      <c r="J3" s="104"/>
      <c r="K3" s="104"/>
      <c r="L3" s="104"/>
      <c r="M3" s="104"/>
      <c r="N3" s="104"/>
      <c r="O3" s="104"/>
      <c r="P3" s="274" t="s">
        <v>0</v>
      </c>
      <c r="Q3" s="274"/>
      <c r="R3" s="274"/>
      <c r="S3" s="104"/>
      <c r="T3" s="104"/>
      <c r="U3" s="104"/>
      <c r="V3" s="104"/>
      <c r="W3" s="104"/>
      <c r="X3" s="104"/>
      <c r="Y3" s="104"/>
      <c r="Z3" s="104"/>
      <c r="AA3" s="104"/>
      <c r="AB3" s="104"/>
      <c r="AC3" s="104"/>
      <c r="AD3" s="104"/>
      <c r="AE3" s="104"/>
      <c r="AF3" s="106"/>
    </row>
    <row r="4" spans="1:32" s="114" customFormat="1" x14ac:dyDescent="0.35">
      <c r="A4" s="111"/>
      <c r="B4" s="111"/>
      <c r="C4" s="111"/>
      <c r="D4" s="111"/>
      <c r="E4" s="111"/>
      <c r="F4" s="111"/>
      <c r="G4" s="112"/>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3"/>
    </row>
    <row r="5" spans="1:32" s="107" customFormat="1" x14ac:dyDescent="0.35">
      <c r="A5" s="118"/>
      <c r="B5" s="118"/>
      <c r="C5" s="118"/>
      <c r="D5" s="118"/>
      <c r="E5" s="118"/>
      <c r="F5" s="118"/>
      <c r="G5" s="132"/>
      <c r="H5" s="118"/>
      <c r="I5" s="118"/>
      <c r="J5" s="118"/>
      <c r="K5" s="118"/>
      <c r="L5" s="118"/>
      <c r="M5" s="118"/>
      <c r="N5" s="118"/>
      <c r="O5" s="118"/>
      <c r="P5" s="132" t="s">
        <v>706</v>
      </c>
      <c r="Q5" s="273" t="s">
        <v>710</v>
      </c>
      <c r="R5" s="118"/>
      <c r="S5" s="118"/>
      <c r="T5" s="118"/>
      <c r="U5" s="118"/>
      <c r="V5" s="118"/>
      <c r="W5" s="118"/>
      <c r="X5" s="118"/>
      <c r="Y5" s="118"/>
      <c r="Z5" s="118"/>
      <c r="AA5" s="118"/>
      <c r="AB5" s="118"/>
      <c r="AC5" s="118"/>
      <c r="AD5" s="118" t="s">
        <v>3</v>
      </c>
      <c r="AE5" s="248" t="s">
        <v>698</v>
      </c>
      <c r="AF5" s="106"/>
    </row>
    <row r="6" spans="1:32" ht="19" thickBot="1" x14ac:dyDescent="0.5">
      <c r="A6" s="250" t="s">
        <v>4</v>
      </c>
      <c r="B6" s="115"/>
      <c r="C6" s="115"/>
      <c r="D6" s="115"/>
      <c r="E6" s="115"/>
      <c r="F6" s="115"/>
      <c r="G6" s="116"/>
      <c r="H6" s="115"/>
      <c r="I6" s="115"/>
      <c r="J6" s="115"/>
      <c r="K6" s="115"/>
      <c r="L6" s="115"/>
      <c r="M6" s="235" t="s">
        <v>644</v>
      </c>
      <c r="N6" s="232"/>
      <c r="O6" s="232"/>
      <c r="P6" s="115"/>
      <c r="Q6" s="115"/>
      <c r="R6" s="115"/>
      <c r="S6" s="115"/>
      <c r="T6" s="115"/>
      <c r="U6" s="115"/>
      <c r="V6" s="115"/>
      <c r="W6" s="115"/>
      <c r="X6" s="118"/>
      <c r="Y6" s="115"/>
      <c r="Z6" s="115"/>
      <c r="AA6" s="115"/>
      <c r="AB6" s="115"/>
      <c r="AC6" s="115"/>
      <c r="AD6" s="115"/>
      <c r="AE6" s="115"/>
      <c r="AF6" s="102"/>
    </row>
    <row r="7" spans="1:32" ht="15" x14ac:dyDescent="0.4">
      <c r="A7" s="119"/>
      <c r="B7" s="120"/>
      <c r="C7" s="120"/>
      <c r="D7" s="120"/>
      <c r="E7" s="120"/>
      <c r="F7" s="120"/>
      <c r="G7" s="121" t="s">
        <v>5</v>
      </c>
      <c r="H7" s="160">
        <v>10</v>
      </c>
      <c r="I7" s="184" t="s">
        <v>11</v>
      </c>
      <c r="J7" s="115"/>
      <c r="K7" s="115"/>
      <c r="L7" s="246"/>
      <c r="M7" s="121" t="s">
        <v>8</v>
      </c>
      <c r="N7" s="160">
        <v>48</v>
      </c>
      <c r="O7" s="122" t="s">
        <v>11</v>
      </c>
      <c r="P7" s="115"/>
      <c r="Q7" s="115"/>
      <c r="R7" s="117"/>
      <c r="S7" s="115"/>
      <c r="T7" s="115"/>
      <c r="U7" s="115"/>
      <c r="V7" s="115"/>
      <c r="W7" s="115"/>
      <c r="X7" s="118"/>
      <c r="Y7" s="115"/>
      <c r="Z7" s="115"/>
      <c r="AA7" s="115"/>
      <c r="AB7" s="115"/>
      <c r="AC7" s="115"/>
      <c r="AD7" s="115"/>
      <c r="AE7" s="115"/>
      <c r="AF7" s="102"/>
    </row>
    <row r="8" spans="1:32" ht="15" x14ac:dyDescent="0.4">
      <c r="A8" s="123"/>
      <c r="B8" s="118"/>
      <c r="C8" s="118"/>
      <c r="D8" s="118"/>
      <c r="E8" s="118"/>
      <c r="F8" s="118"/>
      <c r="G8" s="124" t="s">
        <v>6</v>
      </c>
      <c r="H8" s="161">
        <v>12</v>
      </c>
      <c r="I8" s="163" t="s">
        <v>11</v>
      </c>
      <c r="J8" s="115"/>
      <c r="K8" s="115"/>
      <c r="L8" s="123"/>
      <c r="M8" s="124" t="s">
        <v>9</v>
      </c>
      <c r="N8" s="161">
        <v>0.5</v>
      </c>
      <c r="O8" s="125" t="s">
        <v>12</v>
      </c>
      <c r="P8" s="115"/>
      <c r="Q8" s="115"/>
      <c r="R8" s="117"/>
      <c r="S8" s="115"/>
      <c r="T8" s="115"/>
      <c r="U8" s="115"/>
      <c r="V8" s="115"/>
      <c r="W8" s="115"/>
      <c r="X8" s="118"/>
      <c r="Y8" s="115"/>
      <c r="Z8" s="115"/>
      <c r="AA8" s="115"/>
      <c r="AB8" s="115"/>
      <c r="AC8" s="115"/>
      <c r="AD8" s="115"/>
      <c r="AE8" s="115"/>
      <c r="AF8" s="102"/>
    </row>
    <row r="9" spans="1:32" ht="16.5" x14ac:dyDescent="0.45">
      <c r="A9" s="123"/>
      <c r="B9" s="118"/>
      <c r="C9" s="118"/>
      <c r="D9" s="118"/>
      <c r="E9" s="118"/>
      <c r="F9" s="118"/>
      <c r="G9" s="124" t="s">
        <v>7</v>
      </c>
      <c r="H9" s="161">
        <v>16</v>
      </c>
      <c r="I9" s="163" t="s">
        <v>11</v>
      </c>
      <c r="J9" s="115"/>
      <c r="K9" s="115"/>
      <c r="L9" s="123"/>
      <c r="M9" s="132" t="s">
        <v>678</v>
      </c>
      <c r="N9" s="162">
        <f>Variable_Management!B53</f>
        <v>11.199999999999998</v>
      </c>
      <c r="O9" s="125"/>
      <c r="P9" s="115"/>
      <c r="Q9" s="115"/>
      <c r="R9" s="117"/>
      <c r="S9" s="115"/>
      <c r="T9" s="115"/>
      <c r="U9" s="115"/>
      <c r="V9" s="115"/>
      <c r="W9" s="115"/>
      <c r="X9" s="118"/>
      <c r="Y9" s="115"/>
      <c r="Z9" s="115"/>
      <c r="AA9" s="115"/>
      <c r="AB9" s="115"/>
      <c r="AC9" s="115"/>
      <c r="AD9" s="115"/>
      <c r="AE9" s="115"/>
      <c r="AF9" s="102"/>
    </row>
    <row r="10" spans="1:32" ht="16.5" x14ac:dyDescent="0.45">
      <c r="A10" s="123"/>
      <c r="B10" s="118"/>
      <c r="C10" s="118"/>
      <c r="D10" s="118"/>
      <c r="E10" s="118"/>
      <c r="F10" s="118"/>
      <c r="G10" s="124" t="s">
        <v>642</v>
      </c>
      <c r="H10" s="163"/>
      <c r="I10" s="163"/>
      <c r="J10" s="115"/>
      <c r="K10" s="115"/>
      <c r="L10" s="123"/>
      <c r="M10" s="132" t="s">
        <v>677</v>
      </c>
      <c r="N10" s="161">
        <v>4.29</v>
      </c>
      <c r="O10" s="125"/>
      <c r="P10" s="115"/>
      <c r="Q10" s="115"/>
      <c r="R10" s="117"/>
      <c r="S10" s="115"/>
      <c r="T10" s="115"/>
      <c r="U10" s="115"/>
      <c r="V10" s="115"/>
      <c r="W10" s="115"/>
      <c r="X10" s="118"/>
      <c r="Y10" s="115"/>
      <c r="Z10" s="115"/>
      <c r="AA10" s="115"/>
      <c r="AB10" s="115"/>
      <c r="AC10" s="115"/>
      <c r="AD10" s="115"/>
      <c r="AE10" s="115"/>
      <c r="AF10" s="102"/>
    </row>
    <row r="11" spans="1:32" ht="17" thickBot="1" x14ac:dyDescent="0.5">
      <c r="A11" s="123"/>
      <c r="B11" s="118"/>
      <c r="C11" s="118"/>
      <c r="D11" s="118"/>
      <c r="E11" s="118"/>
      <c r="F11" s="118"/>
      <c r="G11" s="124"/>
      <c r="H11" s="163"/>
      <c r="I11" s="163"/>
      <c r="J11" s="115"/>
      <c r="K11" s="115"/>
      <c r="L11" s="130"/>
      <c r="M11" s="134" t="s">
        <v>676</v>
      </c>
      <c r="N11" s="166">
        <v>12</v>
      </c>
      <c r="O11" s="128" t="s">
        <v>81</v>
      </c>
      <c r="P11" s="115"/>
      <c r="Q11" s="115"/>
      <c r="R11" s="117"/>
      <c r="S11" s="115"/>
      <c r="T11" s="115"/>
      <c r="U11" s="115"/>
      <c r="V11" s="115"/>
      <c r="W11" s="115"/>
      <c r="X11" s="118"/>
      <c r="Y11" s="115"/>
      <c r="Z11" s="115"/>
      <c r="AA11" s="115"/>
      <c r="AB11" s="115"/>
      <c r="AC11" s="115"/>
      <c r="AD11" s="115"/>
      <c r="AE11" s="115"/>
      <c r="AF11" s="102"/>
    </row>
    <row r="12" spans="1:32" x14ac:dyDescent="0.35">
      <c r="A12" s="123"/>
      <c r="B12" s="118"/>
      <c r="C12" s="118"/>
      <c r="D12" s="118"/>
      <c r="E12" s="118"/>
      <c r="F12" s="118"/>
      <c r="G12" s="230" t="s">
        <v>513</v>
      </c>
      <c r="H12" s="163"/>
      <c r="I12" s="163"/>
      <c r="J12" s="115"/>
      <c r="K12" s="115"/>
      <c r="L12" s="118"/>
      <c r="M12" s="118"/>
      <c r="N12" s="118"/>
      <c r="O12" s="118"/>
      <c r="P12" s="115"/>
      <c r="Q12" s="115"/>
      <c r="R12" s="117"/>
      <c r="S12" s="115"/>
      <c r="T12" s="115"/>
      <c r="U12" s="115"/>
      <c r="V12" s="115"/>
      <c r="W12" s="115"/>
      <c r="X12" s="118"/>
      <c r="Y12" s="115"/>
      <c r="Z12" s="115"/>
      <c r="AA12" s="115"/>
      <c r="AB12" s="115"/>
      <c r="AC12" s="115"/>
      <c r="AD12" s="115"/>
      <c r="AE12" s="115"/>
      <c r="AF12" s="102"/>
    </row>
    <row r="13" spans="1:32" ht="16" thickBot="1" x14ac:dyDescent="0.4">
      <c r="A13" s="123"/>
      <c r="B13" s="118"/>
      <c r="C13" s="118"/>
      <c r="D13" s="118"/>
      <c r="E13" s="118"/>
      <c r="F13" s="118"/>
      <c r="G13" s="124"/>
      <c r="H13" s="191"/>
      <c r="I13" s="163"/>
      <c r="J13" s="115"/>
      <c r="K13" s="115"/>
      <c r="L13" s="118"/>
      <c r="M13" s="235" t="s">
        <v>643</v>
      </c>
      <c r="N13" s="232"/>
      <c r="O13" s="232"/>
      <c r="P13" s="115"/>
      <c r="Q13" s="115"/>
      <c r="R13" s="117"/>
      <c r="S13" s="115"/>
      <c r="T13" s="115"/>
      <c r="U13" s="115"/>
      <c r="V13" s="115"/>
      <c r="W13" s="115"/>
      <c r="X13" s="118"/>
      <c r="Y13" s="115"/>
      <c r="Z13" s="115"/>
      <c r="AA13" s="115"/>
      <c r="AB13" s="115"/>
      <c r="AC13" s="115"/>
      <c r="AD13" s="115"/>
      <c r="AE13" s="115"/>
      <c r="AF13" s="102"/>
    </row>
    <row r="14" spans="1:32" ht="15" x14ac:dyDescent="0.4">
      <c r="A14" s="123"/>
      <c r="B14" s="118"/>
      <c r="C14" s="118"/>
      <c r="D14" s="118"/>
      <c r="E14" s="118"/>
      <c r="F14" s="118"/>
      <c r="G14" s="124" t="s">
        <v>10</v>
      </c>
      <c r="H14" s="160">
        <v>110</v>
      </c>
      <c r="I14" s="184" t="s">
        <v>13</v>
      </c>
      <c r="J14" s="115"/>
      <c r="K14" s="115"/>
      <c r="L14" s="119"/>
      <c r="M14" s="121" t="s">
        <v>640</v>
      </c>
      <c r="N14" s="160">
        <v>6.5</v>
      </c>
      <c r="O14" s="122" t="s">
        <v>11</v>
      </c>
      <c r="P14" s="115"/>
      <c r="Q14" s="115"/>
      <c r="R14" s="117"/>
      <c r="S14" s="115"/>
      <c r="T14" s="115"/>
      <c r="U14" s="115"/>
      <c r="V14" s="115"/>
      <c r="W14" s="115"/>
      <c r="X14" s="118"/>
      <c r="Y14" s="115"/>
      <c r="Z14" s="115"/>
      <c r="AA14" s="115"/>
      <c r="AB14" s="115"/>
      <c r="AC14" s="115"/>
      <c r="AD14" s="115"/>
      <c r="AE14" s="115"/>
      <c r="AF14" s="102"/>
    </row>
    <row r="15" spans="1:32" ht="15.5" thickBot="1" x14ac:dyDescent="0.45">
      <c r="A15" s="123"/>
      <c r="B15" s="118"/>
      <c r="C15" s="118"/>
      <c r="D15" s="118"/>
      <c r="E15" s="118"/>
      <c r="F15" s="118"/>
      <c r="G15" s="124" t="s">
        <v>67</v>
      </c>
      <c r="H15" s="165">
        <f>RT/1000</f>
        <v>199.95409090909092</v>
      </c>
      <c r="I15" s="178" t="s">
        <v>68</v>
      </c>
      <c r="J15" s="115"/>
      <c r="K15" s="115"/>
      <c r="L15" s="123"/>
      <c r="M15" s="124" t="s">
        <v>639</v>
      </c>
      <c r="N15" s="161">
        <v>0.05</v>
      </c>
      <c r="O15" s="125" t="s">
        <v>12</v>
      </c>
      <c r="P15" s="115"/>
      <c r="Q15" s="115"/>
      <c r="R15" s="117"/>
      <c r="S15" s="115"/>
      <c r="T15" s="115"/>
      <c r="U15" s="115"/>
      <c r="V15" s="115"/>
      <c r="W15" s="115"/>
      <c r="X15" s="118"/>
      <c r="Y15" s="115"/>
      <c r="Z15" s="115"/>
      <c r="AA15" s="115"/>
      <c r="AB15" s="115"/>
      <c r="AC15" s="115"/>
      <c r="AD15" s="115"/>
      <c r="AE15" s="115"/>
      <c r="AF15" s="102"/>
    </row>
    <row r="16" spans="1:32" ht="17" thickBot="1" x14ac:dyDescent="0.5">
      <c r="A16" s="123"/>
      <c r="B16" s="118"/>
      <c r="C16" s="118"/>
      <c r="D16" s="118"/>
      <c r="E16" s="118"/>
      <c r="F16" s="118"/>
      <c r="G16" s="124"/>
      <c r="H16" s="191"/>
      <c r="I16" s="163"/>
      <c r="J16" s="115"/>
      <c r="K16" s="115"/>
      <c r="L16" s="123"/>
      <c r="M16" s="132" t="s">
        <v>638</v>
      </c>
      <c r="N16" s="162">
        <f>Variable_Management!B63</f>
        <v>0.5809375</v>
      </c>
      <c r="O16" s="125"/>
      <c r="P16" s="115"/>
      <c r="Q16" s="115"/>
      <c r="R16" s="117"/>
      <c r="S16" s="115"/>
      <c r="T16" s="115"/>
      <c r="U16" s="115"/>
      <c r="V16" s="115"/>
      <c r="W16" s="115"/>
      <c r="X16" s="118"/>
      <c r="Y16" s="115"/>
      <c r="Z16" s="115"/>
      <c r="AA16" s="115"/>
      <c r="AB16" s="115"/>
      <c r="AC16" s="115"/>
      <c r="AD16" s="115"/>
      <c r="AE16" s="115"/>
      <c r="AF16" s="102"/>
    </row>
    <row r="17" spans="1:32" ht="16.5" x14ac:dyDescent="0.45">
      <c r="A17" s="123"/>
      <c r="B17" s="118"/>
      <c r="C17" s="118"/>
      <c r="D17" s="118"/>
      <c r="E17" s="118"/>
      <c r="F17" s="118"/>
      <c r="G17" s="132" t="s">
        <v>445</v>
      </c>
      <c r="H17" s="160">
        <v>30</v>
      </c>
      <c r="I17" s="184" t="s">
        <v>14</v>
      </c>
      <c r="J17" s="115"/>
      <c r="K17" s="115"/>
      <c r="L17" s="123"/>
      <c r="M17" s="132" t="s">
        <v>641</v>
      </c>
      <c r="N17" s="161">
        <v>0.57199999999999995</v>
      </c>
      <c r="O17" s="125"/>
      <c r="P17" s="115"/>
      <c r="Q17" s="115"/>
      <c r="R17" s="117"/>
      <c r="S17" s="115"/>
      <c r="T17" s="115"/>
      <c r="U17" s="115"/>
      <c r="V17" s="115"/>
      <c r="W17" s="115"/>
      <c r="X17" s="118"/>
      <c r="Y17" s="115"/>
      <c r="Z17" s="115"/>
      <c r="AA17" s="115"/>
      <c r="AB17" s="115"/>
      <c r="AC17" s="115"/>
      <c r="AD17" s="115"/>
      <c r="AE17" s="115"/>
      <c r="AF17" s="102"/>
    </row>
    <row r="18" spans="1:32" ht="16.5" x14ac:dyDescent="0.45">
      <c r="A18" s="123"/>
      <c r="B18" s="118"/>
      <c r="C18" s="118"/>
      <c r="D18" s="118"/>
      <c r="E18" s="118"/>
      <c r="F18" s="118"/>
      <c r="G18" s="132" t="s">
        <v>472</v>
      </c>
      <c r="H18" s="204">
        <f>Variable_Management!B57*100</f>
        <v>52.805280528052812</v>
      </c>
      <c r="I18" s="163" t="s">
        <v>14</v>
      </c>
      <c r="J18" s="115"/>
      <c r="K18" s="115"/>
      <c r="L18" s="123"/>
      <c r="M18" s="132" t="s">
        <v>603</v>
      </c>
      <c r="N18" s="161">
        <v>12</v>
      </c>
      <c r="O18" s="125" t="s">
        <v>81</v>
      </c>
      <c r="P18" s="115"/>
      <c r="Q18" s="115"/>
      <c r="R18" s="117"/>
      <c r="S18" s="115"/>
      <c r="T18" s="115"/>
      <c r="U18" s="115"/>
      <c r="V18" s="115"/>
      <c r="W18" s="115"/>
      <c r="X18" s="118"/>
      <c r="Y18" s="115"/>
      <c r="Z18" s="115"/>
      <c r="AA18" s="115"/>
      <c r="AB18" s="115"/>
      <c r="AC18" s="115"/>
      <c r="AD18" s="115"/>
      <c r="AE18" s="115"/>
      <c r="AF18" s="102"/>
    </row>
    <row r="19" spans="1:32" ht="17" thickBot="1" x14ac:dyDescent="0.5">
      <c r="A19" s="130"/>
      <c r="B19" s="127"/>
      <c r="C19" s="127"/>
      <c r="D19" s="127"/>
      <c r="E19" s="127"/>
      <c r="F19" s="127"/>
      <c r="G19" s="131" t="s">
        <v>15</v>
      </c>
      <c r="H19" s="178">
        <f>POUT_Total</f>
        <v>24.324999999999999</v>
      </c>
      <c r="I19" s="178" t="s">
        <v>36</v>
      </c>
      <c r="J19" s="115"/>
      <c r="K19" s="115"/>
      <c r="L19" s="130"/>
      <c r="M19" s="134" t="s">
        <v>467</v>
      </c>
      <c r="N19" s="165">
        <f>Variable_Management!B65</f>
        <v>6.3999999999999986</v>
      </c>
      <c r="O19" s="128" t="s">
        <v>11</v>
      </c>
      <c r="P19" s="115"/>
      <c r="Q19" s="115"/>
      <c r="R19" s="117"/>
      <c r="S19" s="115"/>
      <c r="T19" s="115"/>
      <c r="U19" s="115"/>
      <c r="V19" s="115"/>
      <c r="W19" s="115"/>
      <c r="X19" s="118"/>
      <c r="Y19" s="115"/>
      <c r="Z19" s="115"/>
      <c r="AA19" s="115"/>
      <c r="AB19" s="115"/>
      <c r="AC19" s="115"/>
      <c r="AD19" s="115"/>
      <c r="AE19" s="115"/>
      <c r="AF19" s="102"/>
    </row>
    <row r="20" spans="1:32" x14ac:dyDescent="0.35">
      <c r="A20" s="115"/>
      <c r="B20" s="115"/>
      <c r="C20" s="115"/>
      <c r="D20" s="115"/>
      <c r="E20" s="115"/>
      <c r="F20" s="115"/>
      <c r="G20" s="116"/>
      <c r="H20" s="115"/>
      <c r="I20" s="115"/>
      <c r="J20" s="115"/>
      <c r="K20" s="115"/>
      <c r="L20" s="118"/>
      <c r="M20" s="118"/>
      <c r="N20" s="118"/>
      <c r="O20" s="118"/>
      <c r="P20" s="115"/>
      <c r="Q20" s="115"/>
      <c r="R20" s="117"/>
      <c r="S20" s="115"/>
      <c r="T20" s="115"/>
      <c r="U20" s="115"/>
      <c r="V20" s="115"/>
      <c r="W20" s="115"/>
      <c r="X20" s="118"/>
      <c r="Y20" s="115"/>
      <c r="Z20" s="115"/>
      <c r="AA20" s="115"/>
      <c r="AB20" s="115"/>
      <c r="AC20" s="115"/>
      <c r="AD20" s="115"/>
      <c r="AE20" s="115"/>
      <c r="AF20" s="102"/>
    </row>
    <row r="21" spans="1:32" ht="19" thickBot="1" x14ac:dyDescent="0.5">
      <c r="A21" s="249" t="s">
        <v>438</v>
      </c>
      <c r="B21" s="129"/>
      <c r="C21" s="129"/>
      <c r="D21" s="129"/>
      <c r="E21" s="126"/>
      <c r="F21" s="115"/>
      <c r="G21" s="116"/>
      <c r="H21" s="118"/>
      <c r="I21" s="115"/>
      <c r="J21" s="115"/>
      <c r="K21" s="115"/>
      <c r="L21" s="118"/>
      <c r="M21" s="235" t="s">
        <v>645</v>
      </c>
      <c r="N21" s="141"/>
      <c r="O21" s="118"/>
      <c r="P21" s="115"/>
      <c r="Q21" s="115"/>
      <c r="R21" s="117"/>
      <c r="S21" s="115"/>
      <c r="T21" s="115"/>
      <c r="U21" s="115"/>
      <c r="V21" s="115"/>
      <c r="W21" s="115"/>
      <c r="X21" s="118"/>
      <c r="Y21" s="115"/>
      <c r="Z21" s="115"/>
      <c r="AA21" s="115"/>
      <c r="AB21" s="115"/>
      <c r="AC21" s="115"/>
      <c r="AD21" s="115"/>
      <c r="AE21" s="115"/>
      <c r="AF21" s="102"/>
    </row>
    <row r="22" spans="1:32" ht="15" x14ac:dyDescent="0.4">
      <c r="A22" s="234"/>
      <c r="B22" s="203"/>
      <c r="C22" s="203"/>
      <c r="D22" s="203"/>
      <c r="E22" s="203"/>
      <c r="F22" s="120"/>
      <c r="G22" s="121" t="s">
        <v>412</v>
      </c>
      <c r="H22" s="160">
        <v>60</v>
      </c>
      <c r="I22" s="122" t="s">
        <v>14</v>
      </c>
      <c r="J22" s="118"/>
      <c r="K22" s="115"/>
      <c r="L22" s="119"/>
      <c r="M22" s="121" t="s">
        <v>8</v>
      </c>
      <c r="N22" s="160">
        <v>12</v>
      </c>
      <c r="O22" s="122" t="s">
        <v>11</v>
      </c>
      <c r="P22" s="115"/>
      <c r="Q22" s="115"/>
      <c r="R22" s="117"/>
      <c r="S22" s="115"/>
      <c r="T22" s="115"/>
      <c r="U22" s="115"/>
      <c r="V22" s="115"/>
      <c r="W22" s="115"/>
      <c r="X22" s="118"/>
      <c r="Y22" s="115"/>
      <c r="Z22" s="115"/>
      <c r="AA22" s="115"/>
      <c r="AB22" s="115"/>
      <c r="AC22" s="115"/>
      <c r="AD22" s="115"/>
      <c r="AE22" s="115"/>
      <c r="AF22" s="102"/>
    </row>
    <row r="23" spans="1:32" ht="15" x14ac:dyDescent="0.4">
      <c r="A23" s="123"/>
      <c r="B23" s="118"/>
      <c r="C23" s="118"/>
      <c r="D23" s="118"/>
      <c r="E23" s="118"/>
      <c r="F23" s="118"/>
      <c r="G23" s="124" t="s">
        <v>439</v>
      </c>
      <c r="H23" s="205">
        <f>Variable_Management!B75*(10^6)</f>
        <v>27.00415758172571</v>
      </c>
      <c r="I23" s="125" t="s">
        <v>79</v>
      </c>
      <c r="J23" s="118"/>
      <c r="K23" s="115"/>
      <c r="L23" s="123"/>
      <c r="M23" s="124" t="s">
        <v>9</v>
      </c>
      <c r="N23" s="161">
        <v>0.02</v>
      </c>
      <c r="O23" s="125" t="s">
        <v>12</v>
      </c>
      <c r="P23" s="115"/>
      <c r="Q23" s="115"/>
      <c r="R23" s="117"/>
      <c r="S23" s="115"/>
      <c r="T23" s="115"/>
      <c r="U23" s="115"/>
      <c r="V23" s="115"/>
      <c r="W23" s="115"/>
      <c r="X23" s="118"/>
      <c r="Y23" s="115"/>
      <c r="Z23" s="115"/>
      <c r="AA23" s="115"/>
      <c r="AB23" s="115"/>
      <c r="AC23" s="115"/>
      <c r="AD23" s="115"/>
      <c r="AE23" s="115"/>
      <c r="AF23" s="102"/>
    </row>
    <row r="24" spans="1:32" ht="16.5" x14ac:dyDescent="0.45">
      <c r="A24" s="123"/>
      <c r="B24" s="118"/>
      <c r="C24" s="118"/>
      <c r="D24" s="118"/>
      <c r="E24" s="118"/>
      <c r="F24" s="118"/>
      <c r="G24" s="124" t="s">
        <v>440</v>
      </c>
      <c r="H24" s="161">
        <v>18</v>
      </c>
      <c r="I24" s="125" t="s">
        <v>79</v>
      </c>
      <c r="J24" s="118"/>
      <c r="K24" s="115"/>
      <c r="L24" s="123"/>
      <c r="M24" s="132" t="s">
        <v>461</v>
      </c>
      <c r="N24" s="162">
        <f>Variable_Management!B68</f>
        <v>0</v>
      </c>
      <c r="O24" s="125"/>
      <c r="P24" s="115"/>
      <c r="Q24" s="115"/>
      <c r="R24" s="117"/>
      <c r="S24" s="115"/>
      <c r="T24" s="115"/>
      <c r="U24" s="115"/>
      <c r="V24" s="115"/>
      <c r="W24" s="115"/>
      <c r="X24" s="118"/>
      <c r="Y24" s="115"/>
      <c r="Z24" s="115"/>
      <c r="AA24" s="115"/>
      <c r="AB24" s="115"/>
      <c r="AC24" s="115"/>
      <c r="AD24" s="115"/>
      <c r="AE24" s="115"/>
      <c r="AF24" s="102"/>
    </row>
    <row r="25" spans="1:32" ht="16.5" x14ac:dyDescent="0.45">
      <c r="A25" s="123"/>
      <c r="B25" s="118"/>
      <c r="C25" s="118"/>
      <c r="D25" s="118"/>
      <c r="E25" s="118"/>
      <c r="F25" s="118"/>
      <c r="G25" s="124" t="s">
        <v>697</v>
      </c>
      <c r="H25" s="161">
        <v>30</v>
      </c>
      <c r="I25" s="125" t="s">
        <v>81</v>
      </c>
      <c r="J25" s="118"/>
      <c r="K25" s="115"/>
      <c r="L25" s="123"/>
      <c r="M25" s="132" t="s">
        <v>462</v>
      </c>
      <c r="N25" s="161">
        <v>1</v>
      </c>
      <c r="O25" s="125"/>
      <c r="P25" s="115"/>
      <c r="Q25" s="115"/>
      <c r="R25" s="117"/>
      <c r="S25" s="115"/>
      <c r="T25" s="115"/>
      <c r="U25" s="115"/>
      <c r="V25" s="115"/>
      <c r="W25" s="115"/>
      <c r="X25" s="118"/>
      <c r="Y25" s="115"/>
      <c r="Z25" s="115"/>
      <c r="AA25" s="115"/>
      <c r="AB25" s="115"/>
      <c r="AC25" s="115"/>
      <c r="AD25" s="115"/>
      <c r="AE25" s="115"/>
      <c r="AF25" s="102"/>
    </row>
    <row r="26" spans="1:32" ht="15.5" thickBot="1" x14ac:dyDescent="0.45">
      <c r="A26" s="130"/>
      <c r="B26" s="127"/>
      <c r="C26" s="127"/>
      <c r="D26" s="127"/>
      <c r="E26" s="127"/>
      <c r="F26" s="127"/>
      <c r="G26" s="131" t="s">
        <v>672</v>
      </c>
      <c r="H26" s="206">
        <f>ILp_VINmin</f>
        <v>5.9400135550013333</v>
      </c>
      <c r="I26" s="128" t="s">
        <v>12</v>
      </c>
      <c r="J26" s="118"/>
      <c r="K26" s="115"/>
      <c r="L26" s="123"/>
      <c r="M26" s="132" t="s">
        <v>603</v>
      </c>
      <c r="N26" s="161">
        <v>100</v>
      </c>
      <c r="O26" s="125" t="s">
        <v>81</v>
      </c>
      <c r="P26" s="115"/>
      <c r="Q26" s="115"/>
      <c r="R26" s="117"/>
      <c r="S26" s="115"/>
      <c r="T26" s="115"/>
      <c r="U26" s="115"/>
      <c r="V26" s="115"/>
      <c r="W26" s="115"/>
      <c r="X26" s="118"/>
      <c r="Y26" s="115"/>
      <c r="Z26" s="115"/>
      <c r="AA26" s="115"/>
      <c r="AB26" s="115"/>
      <c r="AC26" s="115"/>
      <c r="AD26" s="115"/>
      <c r="AE26" s="115"/>
      <c r="AF26" s="102"/>
    </row>
    <row r="27" spans="1:32" ht="17" thickBot="1" x14ac:dyDescent="0.5">
      <c r="A27" s="118"/>
      <c r="B27" s="118"/>
      <c r="C27" s="118"/>
      <c r="D27" s="115"/>
      <c r="E27" s="115"/>
      <c r="F27" s="115"/>
      <c r="G27" s="116"/>
      <c r="H27" s="115"/>
      <c r="I27" s="115"/>
      <c r="J27" s="115"/>
      <c r="K27" s="115"/>
      <c r="L27" s="130"/>
      <c r="M27" s="134" t="s">
        <v>467</v>
      </c>
      <c r="N27" s="165">
        <f>Variable_Management!B70</f>
        <v>0</v>
      </c>
      <c r="O27" s="128" t="s">
        <v>11</v>
      </c>
      <c r="P27" s="115"/>
      <c r="Q27" s="115"/>
      <c r="R27" s="117"/>
      <c r="S27" s="115"/>
      <c r="T27" s="115"/>
      <c r="U27" s="115"/>
      <c r="V27" s="115"/>
      <c r="W27" s="115"/>
      <c r="X27" s="118"/>
      <c r="Y27" s="115"/>
      <c r="Z27" s="115"/>
      <c r="AA27" s="115"/>
      <c r="AB27" s="115"/>
      <c r="AC27" s="115"/>
      <c r="AD27" s="115"/>
      <c r="AE27" s="115"/>
      <c r="AF27" s="102"/>
    </row>
    <row r="28" spans="1:32" x14ac:dyDescent="0.35">
      <c r="A28" s="118"/>
      <c r="B28" s="118"/>
      <c r="C28" s="118"/>
      <c r="D28" s="115"/>
      <c r="E28" s="115"/>
      <c r="F28" s="115"/>
      <c r="G28" s="116"/>
      <c r="H28" s="115"/>
      <c r="I28" s="115"/>
      <c r="J28" s="115"/>
      <c r="K28" s="115"/>
      <c r="L28" s="118"/>
      <c r="M28" s="132"/>
      <c r="N28" s="183"/>
      <c r="O28" s="118"/>
      <c r="P28" s="115"/>
      <c r="Q28" s="115"/>
      <c r="R28" s="117"/>
      <c r="S28" s="115"/>
      <c r="T28" s="115"/>
      <c r="U28" s="115"/>
      <c r="V28" s="115"/>
      <c r="W28" s="115"/>
      <c r="X28" s="118"/>
      <c r="Y28" s="115"/>
      <c r="Z28" s="115"/>
      <c r="AA28" s="115"/>
      <c r="AB28" s="115"/>
      <c r="AC28" s="115"/>
      <c r="AD28" s="115"/>
      <c r="AE28" s="115"/>
      <c r="AF28" s="102"/>
    </row>
    <row r="29" spans="1:32" ht="19" thickBot="1" x14ac:dyDescent="0.5">
      <c r="A29" s="249" t="s">
        <v>97</v>
      </c>
      <c r="B29" s="118"/>
      <c r="C29" s="118"/>
      <c r="D29" s="115"/>
      <c r="E29" s="115"/>
      <c r="F29" s="115"/>
      <c r="G29" s="116"/>
      <c r="H29" s="115"/>
      <c r="I29" s="115"/>
      <c r="J29" s="115"/>
      <c r="K29" s="115"/>
      <c r="L29" s="115"/>
      <c r="M29" s="115"/>
      <c r="N29" s="115"/>
      <c r="O29" s="115"/>
      <c r="P29" s="115"/>
      <c r="Q29" s="115"/>
      <c r="R29" s="117"/>
      <c r="S29" s="115"/>
      <c r="T29" s="115"/>
      <c r="U29" s="115"/>
      <c r="V29" s="115"/>
      <c r="W29" s="115"/>
      <c r="X29" s="118"/>
      <c r="Y29" s="115"/>
      <c r="Z29" s="115"/>
      <c r="AA29" s="115"/>
      <c r="AB29" s="115"/>
      <c r="AC29" s="115"/>
      <c r="AD29" s="115"/>
      <c r="AE29" s="115"/>
      <c r="AF29" s="102"/>
    </row>
    <row r="30" spans="1:32" x14ac:dyDescent="0.35">
      <c r="A30" s="119"/>
      <c r="B30" s="120"/>
      <c r="C30" s="120"/>
      <c r="D30" s="120"/>
      <c r="E30" s="120"/>
      <c r="F30" s="120"/>
      <c r="G30" s="256" t="s">
        <v>413</v>
      </c>
      <c r="H30" s="160">
        <v>30</v>
      </c>
      <c r="I30" s="122" t="s">
        <v>14</v>
      </c>
      <c r="J30" s="115"/>
      <c r="K30" s="115"/>
      <c r="L30" s="115"/>
      <c r="M30" s="115"/>
      <c r="N30" s="115"/>
      <c r="O30" s="115"/>
      <c r="P30" s="115"/>
      <c r="Q30" s="115"/>
      <c r="R30" s="115"/>
      <c r="S30" s="115"/>
      <c r="T30" s="115"/>
      <c r="U30" s="115"/>
      <c r="V30" s="115"/>
      <c r="W30" s="115"/>
      <c r="X30" s="118"/>
      <c r="Y30" s="115"/>
      <c r="Z30" s="115"/>
      <c r="AA30" s="115"/>
      <c r="AB30" s="115"/>
      <c r="AC30" s="115"/>
      <c r="AD30" s="115"/>
      <c r="AE30" s="115"/>
      <c r="AF30" s="102"/>
    </row>
    <row r="31" spans="1:32" ht="16.5" x14ac:dyDescent="0.45">
      <c r="A31" s="123"/>
      <c r="B31" s="118"/>
      <c r="C31" s="118"/>
      <c r="D31" s="118"/>
      <c r="E31" s="118"/>
      <c r="F31" s="118"/>
      <c r="G31" s="132" t="s">
        <v>158</v>
      </c>
      <c r="H31" s="162">
        <f>Ipk_selected</f>
        <v>7.7220176215017338</v>
      </c>
      <c r="I31" s="125" t="s">
        <v>12</v>
      </c>
      <c r="J31" s="118"/>
      <c r="K31" s="115"/>
      <c r="L31" s="118"/>
      <c r="M31" s="115"/>
      <c r="N31" s="115"/>
      <c r="O31" s="115"/>
      <c r="P31" s="115"/>
      <c r="Q31" s="115"/>
      <c r="R31" s="115"/>
      <c r="S31" s="115"/>
      <c r="T31" s="115"/>
      <c r="U31" s="115"/>
      <c r="V31" s="115"/>
      <c r="W31" s="115"/>
      <c r="X31" s="115"/>
      <c r="Y31" s="115"/>
      <c r="Z31" s="115"/>
      <c r="AA31" s="115"/>
      <c r="AB31" s="115"/>
      <c r="AC31" s="118"/>
      <c r="AD31" s="115"/>
      <c r="AE31" s="115"/>
      <c r="AF31" s="102"/>
    </row>
    <row r="32" spans="1:32" ht="16.5" x14ac:dyDescent="0.45">
      <c r="A32" s="123"/>
      <c r="B32" s="118"/>
      <c r="C32" s="118"/>
      <c r="D32" s="118"/>
      <c r="E32" s="118"/>
      <c r="F32" s="118"/>
      <c r="G32" s="132" t="s">
        <v>417</v>
      </c>
      <c r="H32" s="162">
        <f>Variable_Management!B106*1000</f>
        <v>11.865272181265578</v>
      </c>
      <c r="I32" s="125" t="s">
        <v>81</v>
      </c>
      <c r="J32" s="118"/>
      <c r="K32" s="118"/>
      <c r="L32" s="118"/>
      <c r="M32" s="132"/>
      <c r="N32" s="226"/>
      <c r="O32" s="118"/>
      <c r="P32" s="118"/>
      <c r="Q32" s="115"/>
      <c r="R32" s="115"/>
      <c r="S32" s="115"/>
      <c r="T32" s="115"/>
      <c r="U32" s="115"/>
      <c r="V32" s="115"/>
      <c r="W32" s="115"/>
      <c r="X32" s="115"/>
      <c r="Y32" s="115"/>
      <c r="Z32" s="115"/>
      <c r="AA32" s="115"/>
      <c r="AB32" s="115"/>
      <c r="AC32" s="115"/>
      <c r="AD32" s="115"/>
      <c r="AE32" s="115"/>
      <c r="AF32" s="102"/>
    </row>
    <row r="33" spans="1:32" ht="16.5" x14ac:dyDescent="0.45">
      <c r="A33" s="123"/>
      <c r="B33" s="118"/>
      <c r="C33" s="118"/>
      <c r="D33" s="118"/>
      <c r="E33" s="118"/>
      <c r="F33" s="118"/>
      <c r="G33" s="132" t="s">
        <v>130</v>
      </c>
      <c r="H33" s="164">
        <f>Variable_Management!B107</f>
        <v>528.7450452297777</v>
      </c>
      <c r="I33" s="133" t="s">
        <v>35</v>
      </c>
      <c r="J33" s="118"/>
      <c r="K33" s="118"/>
      <c r="L33" s="118"/>
      <c r="M33" s="115"/>
      <c r="N33" s="115"/>
      <c r="O33" s="115"/>
      <c r="P33" s="115"/>
      <c r="Q33" s="115"/>
      <c r="R33" s="115"/>
      <c r="S33" s="115"/>
      <c r="T33" s="115"/>
      <c r="U33" s="115"/>
      <c r="V33" s="115"/>
      <c r="W33" s="115"/>
      <c r="X33" s="118"/>
      <c r="Y33" s="115"/>
      <c r="Z33" s="115"/>
      <c r="AA33" s="115"/>
      <c r="AB33" s="115"/>
      <c r="AC33" s="115"/>
      <c r="AD33" s="115"/>
      <c r="AE33" s="115"/>
      <c r="AF33" s="102"/>
    </row>
    <row r="34" spans="1:32" ht="16.5" x14ac:dyDescent="0.45">
      <c r="A34" s="123"/>
      <c r="B34" s="118"/>
      <c r="C34" s="118"/>
      <c r="D34" s="118"/>
      <c r="E34" s="118"/>
      <c r="F34" s="118"/>
      <c r="G34" s="132" t="s">
        <v>418</v>
      </c>
      <c r="H34" s="161">
        <v>2</v>
      </c>
      <c r="I34" s="125" t="s">
        <v>81</v>
      </c>
      <c r="J34" s="118"/>
      <c r="K34" s="118"/>
      <c r="L34" s="118"/>
      <c r="M34" s="115"/>
      <c r="N34" s="115"/>
      <c r="O34" s="115"/>
      <c r="P34" s="115"/>
      <c r="Q34" s="115"/>
      <c r="R34" s="115"/>
      <c r="S34" s="115"/>
      <c r="T34" s="115"/>
      <c r="U34" s="115"/>
      <c r="V34" s="115"/>
      <c r="W34" s="115"/>
      <c r="X34" s="118"/>
      <c r="Y34" s="115"/>
      <c r="Z34" s="115"/>
      <c r="AA34" s="115"/>
      <c r="AB34" s="115"/>
      <c r="AC34" s="115"/>
      <c r="AD34" s="115"/>
      <c r="AE34" s="115"/>
      <c r="AF34" s="102"/>
    </row>
    <row r="35" spans="1:32" ht="16.5" x14ac:dyDescent="0.45">
      <c r="A35" s="123"/>
      <c r="B35" s="118"/>
      <c r="C35" s="118"/>
      <c r="D35" s="118"/>
      <c r="E35" s="118"/>
      <c r="F35" s="118"/>
      <c r="G35" s="132" t="s">
        <v>133</v>
      </c>
      <c r="H35" s="161">
        <v>0</v>
      </c>
      <c r="I35" s="133" t="s">
        <v>35</v>
      </c>
      <c r="J35" s="118"/>
      <c r="K35" s="118"/>
      <c r="L35" s="118"/>
      <c r="M35" s="115"/>
      <c r="N35" s="115"/>
      <c r="O35" s="115"/>
      <c r="P35" s="115"/>
      <c r="Q35" s="115"/>
      <c r="R35" s="115"/>
      <c r="S35" s="115"/>
      <c r="T35" s="115"/>
      <c r="U35" s="115"/>
      <c r="V35" s="115"/>
      <c r="W35" s="115"/>
      <c r="X35" s="118"/>
      <c r="Y35" s="115"/>
      <c r="Z35" s="115"/>
      <c r="AA35" s="115"/>
      <c r="AB35" s="115"/>
      <c r="AC35" s="115"/>
      <c r="AD35" s="115"/>
      <c r="AE35" s="115"/>
      <c r="AF35" s="102"/>
    </row>
    <row r="36" spans="1:32" ht="15" thickBot="1" x14ac:dyDescent="0.4">
      <c r="A36" s="130"/>
      <c r="B36" s="127"/>
      <c r="C36" s="127"/>
      <c r="D36" s="127"/>
      <c r="E36" s="127"/>
      <c r="F36" s="127"/>
      <c r="G36" s="134" t="s">
        <v>137</v>
      </c>
      <c r="H36" s="165">
        <f>IL_pk_max</f>
        <v>50</v>
      </c>
      <c r="I36" s="135" t="s">
        <v>12</v>
      </c>
      <c r="J36" s="118"/>
      <c r="K36" s="118"/>
      <c r="L36" s="118"/>
      <c r="M36" s="115"/>
      <c r="N36" s="115"/>
      <c r="O36" s="115"/>
      <c r="P36" s="115"/>
      <c r="Q36" s="115"/>
      <c r="R36" s="115"/>
      <c r="S36" s="115"/>
      <c r="T36" s="115"/>
      <c r="U36" s="115"/>
      <c r="V36" s="115"/>
      <c r="W36" s="115"/>
      <c r="X36" s="118"/>
      <c r="Y36" s="115"/>
      <c r="Z36" s="115"/>
      <c r="AA36" s="115"/>
      <c r="AB36" s="115"/>
      <c r="AC36" s="115"/>
      <c r="AD36" s="115"/>
      <c r="AE36" s="115"/>
      <c r="AF36" s="102"/>
    </row>
    <row r="37" spans="1:32" x14ac:dyDescent="0.35">
      <c r="A37" s="118"/>
      <c r="B37" s="118"/>
      <c r="C37" s="118"/>
      <c r="D37" s="118"/>
      <c r="E37" s="118"/>
      <c r="F37" s="118"/>
      <c r="G37" s="132"/>
      <c r="H37" s="183"/>
      <c r="I37" s="227"/>
      <c r="J37" s="227"/>
      <c r="K37" s="115"/>
      <c r="L37" s="115"/>
      <c r="M37" s="115"/>
      <c r="N37" s="115"/>
      <c r="O37" s="115"/>
      <c r="P37" s="115"/>
      <c r="Q37" s="115"/>
      <c r="R37" s="115"/>
      <c r="S37" s="115"/>
      <c r="T37" s="115"/>
      <c r="U37" s="115"/>
      <c r="V37" s="115"/>
      <c r="W37" s="115"/>
      <c r="X37" s="118"/>
      <c r="Y37" s="115"/>
      <c r="Z37" s="115"/>
      <c r="AA37" s="115"/>
      <c r="AB37" s="115"/>
      <c r="AC37" s="115"/>
      <c r="AD37" s="115"/>
      <c r="AE37" s="115"/>
      <c r="AF37" s="102"/>
    </row>
    <row r="38" spans="1:32" ht="18.5" x14ac:dyDescent="0.45">
      <c r="A38" s="249" t="s">
        <v>146</v>
      </c>
      <c r="B38" s="118"/>
      <c r="C38" s="118"/>
      <c r="D38" s="118"/>
      <c r="E38" s="115"/>
      <c r="F38" s="115"/>
      <c r="G38" s="115"/>
      <c r="H38" s="115"/>
      <c r="I38" s="115"/>
      <c r="J38" s="115"/>
      <c r="K38" s="115"/>
      <c r="L38" s="115"/>
      <c r="M38" s="115"/>
      <c r="N38" s="115"/>
      <c r="O38" s="115"/>
      <c r="P38" s="115"/>
      <c r="Q38" s="115"/>
      <c r="R38" s="115"/>
      <c r="S38" s="115"/>
      <c r="T38" s="115"/>
      <c r="U38" s="115"/>
      <c r="V38" s="115"/>
      <c r="W38" s="115"/>
      <c r="X38" s="118"/>
      <c r="Y38" s="115"/>
      <c r="Z38" s="115"/>
      <c r="AA38" s="115"/>
      <c r="AB38" s="115"/>
      <c r="AC38" s="115"/>
      <c r="AD38" s="115"/>
      <c r="AE38" s="115"/>
      <c r="AF38" s="102"/>
    </row>
    <row r="39" spans="1:32" ht="15" thickBot="1" x14ac:dyDescent="0.4">
      <c r="A39" s="118"/>
      <c r="B39" s="118"/>
      <c r="C39" s="118"/>
      <c r="D39" s="118"/>
      <c r="E39" s="115"/>
      <c r="F39" s="118"/>
      <c r="G39" s="118"/>
      <c r="H39" s="239" t="s">
        <v>644</v>
      </c>
      <c r="I39" s="118"/>
      <c r="J39" s="115"/>
      <c r="K39" s="115"/>
      <c r="L39" s="231"/>
      <c r="M39" s="231"/>
      <c r="N39" s="239" t="s">
        <v>671</v>
      </c>
      <c r="O39" s="232"/>
      <c r="P39" s="233"/>
      <c r="Q39" s="115"/>
      <c r="R39" s="115"/>
      <c r="S39" s="118"/>
      <c r="T39" s="118"/>
      <c r="U39" s="118"/>
      <c r="V39" s="239" t="s">
        <v>679</v>
      </c>
      <c r="W39" s="118"/>
      <c r="X39" s="118"/>
      <c r="Y39" s="115"/>
      <c r="Z39" s="115"/>
      <c r="AA39" s="115"/>
      <c r="AB39" s="115"/>
      <c r="AC39" s="115"/>
      <c r="AD39" s="115"/>
      <c r="AE39" s="115"/>
      <c r="AF39" s="102"/>
    </row>
    <row r="40" spans="1:32" ht="16.5" x14ac:dyDescent="0.45">
      <c r="A40" s="119"/>
      <c r="B40" s="120"/>
      <c r="C40" s="120"/>
      <c r="D40" s="120"/>
      <c r="E40" s="120"/>
      <c r="F40" s="120"/>
      <c r="G40" s="136" t="s">
        <v>590</v>
      </c>
      <c r="H40" s="160">
        <v>100</v>
      </c>
      <c r="I40" s="122" t="s">
        <v>147</v>
      </c>
      <c r="J40" s="115"/>
      <c r="K40" s="118"/>
      <c r="L40" s="119"/>
      <c r="M40" s="136" t="s">
        <v>590</v>
      </c>
      <c r="N40" s="160">
        <v>100</v>
      </c>
      <c r="O40" s="122" t="s">
        <v>147</v>
      </c>
      <c r="P40" s="115"/>
      <c r="Q40" s="118"/>
      <c r="R40" s="119"/>
      <c r="S40" s="120"/>
      <c r="T40" s="120"/>
      <c r="U40" s="136" t="s">
        <v>590</v>
      </c>
      <c r="V40" s="160">
        <v>700</v>
      </c>
      <c r="W40" s="122" t="s">
        <v>147</v>
      </c>
      <c r="X40" s="118"/>
      <c r="Y40" s="115"/>
      <c r="Z40" s="115"/>
      <c r="AA40" s="115"/>
      <c r="AB40" s="115"/>
      <c r="AC40" s="115"/>
      <c r="AD40" s="115"/>
      <c r="AE40" s="115"/>
      <c r="AF40" s="102"/>
    </row>
    <row r="41" spans="1:32" x14ac:dyDescent="0.35">
      <c r="A41" s="123"/>
      <c r="B41" s="118"/>
      <c r="C41" s="118"/>
      <c r="D41" s="118"/>
      <c r="E41" s="118"/>
      <c r="F41" s="118"/>
      <c r="G41" s="132" t="s">
        <v>680</v>
      </c>
      <c r="H41" s="164">
        <f>Cout1_min*10^6</f>
        <v>103.64730468750005</v>
      </c>
      <c r="I41" s="125" t="s">
        <v>148</v>
      </c>
      <c r="J41" s="115"/>
      <c r="K41" s="118"/>
      <c r="L41" s="123"/>
      <c r="M41" s="132" t="s">
        <v>681</v>
      </c>
      <c r="N41" s="164">
        <f>Cout2_min*(10^6)</f>
        <v>10.364730468750006</v>
      </c>
      <c r="O41" s="125" t="s">
        <v>148</v>
      </c>
      <c r="P41" s="115"/>
      <c r="Q41" s="118"/>
      <c r="R41" s="123"/>
      <c r="S41" s="118"/>
      <c r="T41" s="118"/>
      <c r="U41" s="132" t="s">
        <v>682</v>
      </c>
      <c r="V41" s="164">
        <f>Cout3_min*(10^6)</f>
        <v>0</v>
      </c>
      <c r="W41" s="125" t="s">
        <v>148</v>
      </c>
      <c r="X41" s="118"/>
      <c r="Y41" s="115"/>
      <c r="Z41" s="115"/>
      <c r="AA41" s="115"/>
      <c r="AB41" s="115"/>
      <c r="AC41" s="115"/>
      <c r="AD41" s="115"/>
      <c r="AE41" s="115"/>
      <c r="AF41" s="102"/>
    </row>
    <row r="42" spans="1:32" ht="16.5" x14ac:dyDescent="0.45">
      <c r="A42" s="123"/>
      <c r="B42" s="118"/>
      <c r="C42" s="118"/>
      <c r="D42" s="238"/>
      <c r="E42" s="118"/>
      <c r="F42" s="118"/>
      <c r="G42" s="132" t="s">
        <v>149</v>
      </c>
      <c r="H42" s="161">
        <v>300</v>
      </c>
      <c r="I42" s="125" t="s">
        <v>148</v>
      </c>
      <c r="J42" s="115"/>
      <c r="K42" s="118"/>
      <c r="L42" s="123"/>
      <c r="M42" s="132" t="s">
        <v>149</v>
      </c>
      <c r="N42" s="161">
        <v>10</v>
      </c>
      <c r="O42" s="125" t="s">
        <v>148</v>
      </c>
      <c r="P42" s="115"/>
      <c r="Q42" s="118"/>
      <c r="R42" s="123"/>
      <c r="S42" s="118"/>
      <c r="T42" s="118"/>
      <c r="U42" s="132" t="s">
        <v>149</v>
      </c>
      <c r="V42" s="161">
        <v>100</v>
      </c>
      <c r="W42" s="125" t="s">
        <v>148</v>
      </c>
      <c r="X42" s="118"/>
      <c r="Y42" s="115"/>
      <c r="Z42" s="115"/>
      <c r="AA42" s="115"/>
      <c r="AB42" s="115"/>
      <c r="AC42" s="115"/>
      <c r="AD42" s="115"/>
      <c r="AE42" s="115"/>
      <c r="AF42" s="102"/>
    </row>
    <row r="43" spans="1:32" ht="17" thickBot="1" x14ac:dyDescent="0.5">
      <c r="A43" s="130"/>
      <c r="B43" s="127"/>
      <c r="C43" s="127"/>
      <c r="D43" s="127"/>
      <c r="E43" s="127"/>
      <c r="F43" s="127"/>
      <c r="G43" s="134" t="s">
        <v>155</v>
      </c>
      <c r="H43" s="166">
        <v>2</v>
      </c>
      <c r="I43" s="128" t="s">
        <v>81</v>
      </c>
      <c r="J43" s="115"/>
      <c r="K43" s="118"/>
      <c r="L43" s="130"/>
      <c r="M43" s="134" t="s">
        <v>155</v>
      </c>
      <c r="N43" s="166">
        <v>1</v>
      </c>
      <c r="O43" s="128" t="s">
        <v>81</v>
      </c>
      <c r="P43" s="115"/>
      <c r="Q43" s="118"/>
      <c r="R43" s="130"/>
      <c r="S43" s="127"/>
      <c r="T43" s="127"/>
      <c r="U43" s="134" t="s">
        <v>155</v>
      </c>
      <c r="V43" s="166">
        <v>2</v>
      </c>
      <c r="W43" s="128" t="s">
        <v>81</v>
      </c>
      <c r="X43" s="118"/>
      <c r="Y43" s="115"/>
      <c r="Z43" s="115"/>
      <c r="AA43" s="115"/>
      <c r="AB43" s="115"/>
      <c r="AC43" s="115"/>
      <c r="AD43" s="115"/>
      <c r="AE43" s="115"/>
      <c r="AF43" s="102"/>
    </row>
    <row r="44" spans="1:32" x14ac:dyDescent="0.35">
      <c r="A44" s="118"/>
      <c r="B44" s="118"/>
      <c r="C44" s="118"/>
      <c r="D44" s="118"/>
      <c r="E44" s="118"/>
      <c r="F44" s="118"/>
      <c r="G44" s="132"/>
      <c r="H44" s="183"/>
      <c r="I44" s="227"/>
      <c r="J44" s="227"/>
      <c r="K44" s="115"/>
      <c r="L44" s="115"/>
      <c r="M44" s="115"/>
      <c r="N44" s="115"/>
      <c r="O44" s="115"/>
      <c r="P44" s="115"/>
      <c r="Q44" s="115"/>
      <c r="R44" s="115"/>
      <c r="S44" s="115"/>
      <c r="T44" s="115"/>
      <c r="U44" s="115"/>
      <c r="V44" s="115"/>
      <c r="W44" s="115"/>
      <c r="X44" s="118"/>
      <c r="Y44" s="115"/>
      <c r="Z44" s="115"/>
      <c r="AA44" s="115"/>
      <c r="AB44" s="115"/>
      <c r="AC44" s="115"/>
      <c r="AD44" s="115"/>
      <c r="AE44" s="115"/>
      <c r="AF44" s="102"/>
    </row>
    <row r="45" spans="1:32" x14ac:dyDescent="0.35">
      <c r="A45" s="115"/>
      <c r="B45" s="115"/>
      <c r="C45" s="115"/>
      <c r="D45" s="115"/>
      <c r="E45" s="115"/>
      <c r="F45" s="115"/>
      <c r="G45" s="115"/>
      <c r="H45" s="115"/>
      <c r="I45" s="115"/>
      <c r="J45" s="227"/>
      <c r="K45" s="115"/>
      <c r="L45" s="115"/>
      <c r="M45" s="115"/>
      <c r="N45" s="115"/>
      <c r="O45" s="115"/>
      <c r="P45" s="115"/>
      <c r="Q45" s="115"/>
      <c r="R45" s="115"/>
      <c r="S45" s="115"/>
      <c r="T45" s="115"/>
      <c r="U45" s="115"/>
      <c r="V45" s="115"/>
      <c r="W45" s="115"/>
      <c r="X45" s="118"/>
      <c r="Y45" s="115"/>
      <c r="Z45" s="115"/>
      <c r="AA45" s="115"/>
      <c r="AB45" s="115"/>
      <c r="AC45" s="115"/>
      <c r="AD45" s="115"/>
      <c r="AE45" s="115"/>
      <c r="AF45" s="102"/>
    </row>
    <row r="46" spans="1:32" ht="19" thickBot="1" x14ac:dyDescent="0.5">
      <c r="A46" s="249" t="s">
        <v>272</v>
      </c>
      <c r="B46" s="115"/>
      <c r="C46" s="115"/>
      <c r="D46" s="115"/>
      <c r="E46" s="115"/>
      <c r="F46" s="115"/>
      <c r="G46" s="116"/>
      <c r="H46" s="115"/>
      <c r="I46" s="115"/>
      <c r="J46" s="115"/>
      <c r="K46" s="115"/>
      <c r="L46" s="115"/>
      <c r="M46" s="115"/>
      <c r="N46" s="115"/>
      <c r="O46" s="115"/>
      <c r="P46" s="115"/>
      <c r="Q46" s="115"/>
      <c r="R46" s="115"/>
      <c r="S46" s="115"/>
      <c r="T46" s="115"/>
      <c r="U46" s="115"/>
      <c r="V46" s="115"/>
      <c r="W46" s="115"/>
      <c r="X46" s="118"/>
      <c r="Y46" s="115"/>
      <c r="Z46" s="115"/>
      <c r="AA46" s="115"/>
      <c r="AB46" s="115"/>
      <c r="AC46" s="115"/>
      <c r="AD46" s="115"/>
      <c r="AE46" s="115"/>
      <c r="AF46" s="102"/>
    </row>
    <row r="47" spans="1:32" ht="16.5" x14ac:dyDescent="0.45">
      <c r="A47" s="119"/>
      <c r="B47" s="120"/>
      <c r="C47" s="120"/>
      <c r="D47" s="120"/>
      <c r="E47" s="120"/>
      <c r="F47" s="120"/>
      <c r="G47" s="136" t="s">
        <v>294</v>
      </c>
      <c r="H47" s="169">
        <f>Variable_Management!B156*(10^9)</f>
        <v>287.99999999999994</v>
      </c>
      <c r="I47" s="122" t="s">
        <v>172</v>
      </c>
      <c r="J47" s="118"/>
      <c r="K47" s="115"/>
      <c r="L47" s="115"/>
      <c r="M47" s="115"/>
      <c r="N47" s="115"/>
      <c r="O47" s="115"/>
      <c r="P47" s="115"/>
      <c r="Q47" s="115"/>
      <c r="R47" s="115"/>
      <c r="S47" s="115"/>
      <c r="T47" s="115"/>
      <c r="U47" s="115"/>
      <c r="V47" s="115"/>
      <c r="W47" s="115"/>
      <c r="X47" s="118"/>
      <c r="Y47" s="115"/>
      <c r="Z47" s="115"/>
      <c r="AA47" s="115"/>
      <c r="AB47" s="115"/>
      <c r="AC47" s="115"/>
      <c r="AD47" s="115"/>
      <c r="AE47" s="115"/>
      <c r="AF47" s="102"/>
    </row>
    <row r="48" spans="1:32" ht="16.5" x14ac:dyDescent="0.45">
      <c r="A48" s="123"/>
      <c r="B48" s="118"/>
      <c r="C48" s="118"/>
      <c r="D48" s="118"/>
      <c r="E48" s="118"/>
      <c r="F48" s="118"/>
      <c r="G48" s="132" t="s">
        <v>299</v>
      </c>
      <c r="H48" s="161">
        <v>20</v>
      </c>
      <c r="I48" s="125" t="s">
        <v>295</v>
      </c>
      <c r="J48" s="118"/>
      <c r="K48" s="115"/>
      <c r="L48" s="115"/>
      <c r="M48" s="115"/>
      <c r="N48" s="115"/>
      <c r="O48" s="115"/>
      <c r="P48" s="115"/>
      <c r="Q48" s="115"/>
      <c r="R48" s="115"/>
      <c r="S48" s="115"/>
      <c r="T48" s="115"/>
      <c r="U48" s="115"/>
      <c r="V48" s="115"/>
      <c r="W48" s="115"/>
      <c r="X48" s="118"/>
      <c r="Y48" s="115"/>
      <c r="Z48" s="115"/>
      <c r="AA48" s="115"/>
      <c r="AB48" s="115"/>
      <c r="AC48" s="115"/>
      <c r="AD48" s="115"/>
      <c r="AE48" s="115"/>
      <c r="AF48" s="102"/>
    </row>
    <row r="49" spans="1:32" ht="17" thickBot="1" x14ac:dyDescent="0.5">
      <c r="A49" s="130"/>
      <c r="B49" s="127"/>
      <c r="C49" s="127"/>
      <c r="D49" s="127"/>
      <c r="E49" s="127"/>
      <c r="F49" s="127"/>
      <c r="G49" s="134" t="s">
        <v>298</v>
      </c>
      <c r="H49" s="170">
        <f>Variable_Management!B158*(10^9)</f>
        <v>200</v>
      </c>
      <c r="I49" s="128" t="s">
        <v>172</v>
      </c>
      <c r="J49" s="118"/>
      <c r="K49" s="115"/>
      <c r="L49" s="115"/>
      <c r="M49" s="115"/>
      <c r="N49" s="115"/>
      <c r="O49" s="115"/>
      <c r="P49" s="115"/>
      <c r="Q49" s="115"/>
      <c r="R49" s="115"/>
      <c r="S49" s="115"/>
      <c r="T49" s="115"/>
      <c r="U49" s="115"/>
      <c r="V49" s="115"/>
      <c r="W49" s="115"/>
      <c r="X49" s="118"/>
      <c r="Y49" s="115"/>
      <c r="Z49" s="115"/>
      <c r="AA49" s="115"/>
      <c r="AB49" s="115"/>
      <c r="AC49" s="115"/>
      <c r="AD49" s="115"/>
      <c r="AE49" s="115"/>
      <c r="AF49" s="102"/>
    </row>
    <row r="50" spans="1:32" x14ac:dyDescent="0.35">
      <c r="A50" s="115"/>
      <c r="B50" s="115"/>
      <c r="C50" s="115"/>
      <c r="D50" s="115"/>
      <c r="E50" s="115"/>
      <c r="F50" s="115"/>
      <c r="G50" s="116"/>
      <c r="H50" s="115"/>
      <c r="I50" s="115"/>
      <c r="J50" s="115"/>
      <c r="K50" s="115"/>
      <c r="L50" s="115"/>
      <c r="M50" s="115"/>
      <c r="N50" s="115"/>
      <c r="O50" s="115"/>
      <c r="P50" s="115"/>
      <c r="Q50" s="115"/>
      <c r="R50" s="115"/>
      <c r="S50" s="115"/>
      <c r="T50" s="115"/>
      <c r="U50" s="115"/>
      <c r="V50" s="115"/>
      <c r="W50" s="115"/>
      <c r="X50" s="118"/>
      <c r="Y50" s="115"/>
      <c r="Z50" s="115"/>
      <c r="AA50" s="115"/>
      <c r="AB50" s="115"/>
      <c r="AC50" s="115"/>
      <c r="AD50" s="115"/>
      <c r="AE50" s="115"/>
      <c r="AF50" s="102"/>
    </row>
    <row r="51" spans="1:32" ht="19" thickBot="1" x14ac:dyDescent="0.5">
      <c r="A51" s="249" t="s">
        <v>273</v>
      </c>
      <c r="B51" s="115"/>
      <c r="C51" s="115"/>
      <c r="D51" s="115"/>
      <c r="E51" s="115"/>
      <c r="F51" s="115"/>
      <c r="G51" s="116"/>
      <c r="H51" s="115"/>
      <c r="I51" s="115"/>
      <c r="J51" s="115"/>
      <c r="K51" s="115"/>
      <c r="L51" s="115"/>
      <c r="M51" s="115"/>
      <c r="N51" s="115"/>
      <c r="O51" s="115"/>
      <c r="P51" s="115"/>
      <c r="Q51" s="115"/>
      <c r="R51" s="115"/>
      <c r="S51" s="115"/>
      <c r="T51" s="115"/>
      <c r="U51" s="115"/>
      <c r="V51" s="115"/>
      <c r="W51" s="115"/>
      <c r="X51" s="118"/>
      <c r="Y51" s="115"/>
      <c r="Z51" s="115"/>
      <c r="AA51" s="115"/>
      <c r="AB51" s="115"/>
      <c r="AC51" s="115"/>
      <c r="AD51" s="115"/>
      <c r="AE51" s="115"/>
      <c r="AF51" s="102"/>
    </row>
    <row r="52" spans="1:32" ht="16.5" x14ac:dyDescent="0.45">
      <c r="A52" s="119"/>
      <c r="B52" s="120"/>
      <c r="C52" s="120"/>
      <c r="D52" s="120"/>
      <c r="E52" s="120"/>
      <c r="F52" s="120"/>
      <c r="G52" s="136" t="s">
        <v>301</v>
      </c>
      <c r="H52" s="160">
        <v>5.8</v>
      </c>
      <c r="I52" s="122" t="s">
        <v>11</v>
      </c>
      <c r="J52" s="118"/>
      <c r="K52" s="115"/>
      <c r="L52" s="115"/>
      <c r="M52" s="115"/>
      <c r="N52" s="115"/>
      <c r="O52" s="115"/>
      <c r="P52" s="115"/>
      <c r="Q52" s="115"/>
      <c r="R52" s="115"/>
      <c r="S52" s="115"/>
      <c r="T52" s="115"/>
      <c r="U52" s="115"/>
      <c r="V52" s="115"/>
      <c r="W52" s="115"/>
      <c r="X52" s="118"/>
      <c r="Y52" s="115"/>
      <c r="Z52" s="115"/>
      <c r="AA52" s="115"/>
      <c r="AB52" s="115"/>
      <c r="AC52" s="115"/>
      <c r="AD52" s="115"/>
      <c r="AE52" s="115"/>
      <c r="AF52" s="102"/>
    </row>
    <row r="53" spans="1:32" ht="16.5" x14ac:dyDescent="0.45">
      <c r="A53" s="123"/>
      <c r="B53" s="118"/>
      <c r="C53" s="118"/>
      <c r="D53" s="118"/>
      <c r="E53" s="118"/>
      <c r="F53" s="118"/>
      <c r="G53" s="132" t="s">
        <v>300</v>
      </c>
      <c r="H53" s="161">
        <v>5.4</v>
      </c>
      <c r="I53" s="125" t="s">
        <v>11</v>
      </c>
      <c r="J53" s="118"/>
      <c r="K53" s="115"/>
      <c r="L53" s="115"/>
      <c r="M53" s="115"/>
      <c r="N53" s="115"/>
      <c r="O53" s="115"/>
      <c r="P53" s="115"/>
      <c r="Q53" s="115"/>
      <c r="R53" s="115"/>
      <c r="S53" s="159"/>
      <c r="T53" s="115"/>
      <c r="U53" s="115"/>
      <c r="V53" s="115"/>
      <c r="W53" s="115"/>
      <c r="X53" s="118"/>
      <c r="Y53" s="115"/>
      <c r="Z53" s="115"/>
      <c r="AA53" s="115"/>
      <c r="AB53" s="115"/>
      <c r="AC53" s="115"/>
      <c r="AD53" s="115"/>
      <c r="AE53" s="115"/>
      <c r="AF53" s="102"/>
    </row>
    <row r="54" spans="1:32" ht="16.5" x14ac:dyDescent="0.45">
      <c r="A54" s="123"/>
      <c r="B54" s="118"/>
      <c r="C54" s="118"/>
      <c r="D54" s="118"/>
      <c r="E54" s="118"/>
      <c r="F54" s="118"/>
      <c r="G54" s="132" t="s">
        <v>389</v>
      </c>
      <c r="H54" s="167">
        <f>Ruvlo_top_calc/1000</f>
        <v>41.719999999999942</v>
      </c>
      <c r="I54" s="133" t="s">
        <v>169</v>
      </c>
      <c r="J54" s="227"/>
      <c r="K54" s="115"/>
      <c r="L54" s="115"/>
      <c r="M54" s="115"/>
      <c r="N54" s="115"/>
      <c r="O54" s="115"/>
      <c r="P54" s="115"/>
      <c r="Q54" s="115"/>
      <c r="R54" s="115"/>
      <c r="S54" s="115"/>
      <c r="T54" s="115"/>
      <c r="U54" s="115"/>
      <c r="V54" s="115"/>
      <c r="W54" s="115"/>
      <c r="X54" s="118"/>
      <c r="Y54" s="115"/>
      <c r="Z54" s="115"/>
      <c r="AA54" s="115"/>
      <c r="AB54" s="115"/>
      <c r="AC54" s="115"/>
      <c r="AD54" s="115"/>
      <c r="AE54" s="115"/>
      <c r="AF54" s="102"/>
    </row>
    <row r="55" spans="1:32" ht="16.5" x14ac:dyDescent="0.45">
      <c r="A55" s="123"/>
      <c r="B55" s="118"/>
      <c r="C55" s="118"/>
      <c r="D55" s="118"/>
      <c r="E55" s="118"/>
      <c r="F55" s="118"/>
      <c r="G55" s="132" t="s">
        <v>390</v>
      </c>
      <c r="H55" s="161">
        <v>41.72</v>
      </c>
      <c r="I55" s="133" t="s">
        <v>169</v>
      </c>
      <c r="J55" s="227"/>
      <c r="K55" s="115"/>
      <c r="L55" s="115"/>
      <c r="M55" s="115"/>
      <c r="N55" s="115"/>
      <c r="O55" s="115"/>
      <c r="P55" s="115"/>
      <c r="Q55" s="115"/>
      <c r="R55" s="115"/>
      <c r="S55" s="115"/>
      <c r="T55" s="115"/>
      <c r="U55" s="115"/>
      <c r="V55" s="115"/>
      <c r="W55" s="115"/>
      <c r="X55" s="118"/>
      <c r="Y55" s="115"/>
      <c r="Z55" s="115"/>
      <c r="AA55" s="115"/>
      <c r="AB55" s="115"/>
      <c r="AC55" s="115"/>
      <c r="AD55" s="115"/>
      <c r="AE55" s="115"/>
      <c r="AF55" s="102"/>
    </row>
    <row r="56" spans="1:32" ht="17" thickBot="1" x14ac:dyDescent="0.5">
      <c r="A56" s="130"/>
      <c r="B56" s="127"/>
      <c r="C56" s="127"/>
      <c r="D56" s="127"/>
      <c r="E56" s="127"/>
      <c r="F56" s="127"/>
      <c r="G56" s="134" t="s">
        <v>391</v>
      </c>
      <c r="H56" s="168">
        <f>Ruvlo_bottom_calc/1000</f>
        <v>14.553488372093025</v>
      </c>
      <c r="I56" s="135" t="s">
        <v>169</v>
      </c>
      <c r="J56" s="227"/>
      <c r="K56" s="115"/>
      <c r="L56" s="115"/>
      <c r="M56" s="115"/>
      <c r="N56" s="115"/>
      <c r="O56" s="115"/>
      <c r="P56" s="115"/>
      <c r="Q56" s="115"/>
      <c r="R56" s="115"/>
      <c r="S56" s="115"/>
      <c r="T56" s="115"/>
      <c r="U56" s="115"/>
      <c r="V56" s="115"/>
      <c r="W56" s="115"/>
      <c r="X56" s="118"/>
      <c r="Y56" s="115"/>
      <c r="Z56" s="115"/>
      <c r="AA56" s="115"/>
      <c r="AB56" s="115"/>
      <c r="AC56" s="115"/>
      <c r="AD56" s="115"/>
      <c r="AE56" s="115"/>
      <c r="AF56" s="102"/>
    </row>
    <row r="57" spans="1:32" x14ac:dyDescent="0.35">
      <c r="A57" s="115"/>
      <c r="B57" s="115"/>
      <c r="C57" s="115"/>
      <c r="D57" s="115"/>
      <c r="E57" s="115"/>
      <c r="F57" s="115"/>
      <c r="G57" s="116"/>
      <c r="H57" s="115"/>
      <c r="I57" s="115"/>
      <c r="J57" s="115"/>
      <c r="K57" s="115"/>
      <c r="L57" s="115"/>
      <c r="M57" s="115"/>
      <c r="N57" s="115"/>
      <c r="O57" s="115"/>
      <c r="P57" s="115"/>
      <c r="Q57" s="115"/>
      <c r="R57" s="115"/>
      <c r="S57" s="115"/>
      <c r="T57" s="115"/>
      <c r="U57" s="115"/>
      <c r="V57" s="115"/>
      <c r="W57" s="115"/>
      <c r="X57" s="118"/>
      <c r="Y57" s="115"/>
      <c r="Z57" s="115"/>
      <c r="AA57" s="115"/>
      <c r="AB57" s="115"/>
      <c r="AC57" s="115"/>
      <c r="AD57" s="115"/>
      <c r="AE57" s="115"/>
      <c r="AF57" s="102"/>
    </row>
    <row r="58" spans="1:32" ht="19" thickBot="1" x14ac:dyDescent="0.5">
      <c r="A58" s="249" t="s">
        <v>324</v>
      </c>
      <c r="B58" s="115"/>
      <c r="C58" s="115"/>
      <c r="D58" s="115"/>
      <c r="E58" s="115"/>
      <c r="F58" s="115"/>
      <c r="G58" s="115"/>
      <c r="H58" s="115"/>
      <c r="I58" s="115"/>
      <c r="J58" s="115"/>
      <c r="K58" s="115"/>
      <c r="L58" s="115"/>
      <c r="M58" s="115"/>
      <c r="N58" s="115"/>
      <c r="O58" s="115"/>
      <c r="P58" s="115"/>
      <c r="Q58" s="115"/>
      <c r="R58" s="115"/>
      <c r="S58" s="115"/>
      <c r="T58" s="115"/>
      <c r="U58" s="115"/>
      <c r="V58" s="115"/>
      <c r="W58" s="115"/>
      <c r="X58" s="118"/>
      <c r="Y58" s="115"/>
      <c r="Z58" s="115"/>
      <c r="AA58" s="115"/>
      <c r="AB58" s="115"/>
      <c r="AC58" s="115"/>
      <c r="AD58" s="115"/>
      <c r="AE58" s="115"/>
      <c r="AF58" s="102"/>
    </row>
    <row r="59" spans="1:32" ht="16.5" x14ac:dyDescent="0.45">
      <c r="A59" s="137"/>
      <c r="B59" s="120"/>
      <c r="C59" s="120"/>
      <c r="D59" s="120"/>
      <c r="E59" s="120"/>
      <c r="F59" s="120"/>
      <c r="G59" s="138" t="s">
        <v>414</v>
      </c>
      <c r="H59" s="200">
        <f>VIN_nom</f>
        <v>12</v>
      </c>
      <c r="I59" s="184"/>
      <c r="J59" s="118"/>
      <c r="K59" s="115"/>
      <c r="L59" s="115"/>
      <c r="M59" s="115"/>
      <c r="N59" s="115"/>
      <c r="O59" s="115"/>
      <c r="P59" s="115"/>
      <c r="Q59" s="115"/>
      <c r="R59" s="115"/>
      <c r="S59" s="115"/>
      <c r="T59" s="115"/>
      <c r="U59" s="115"/>
      <c r="V59" s="115"/>
      <c r="W59" s="115"/>
      <c r="X59" s="118"/>
      <c r="Y59" s="115"/>
      <c r="Z59" s="115"/>
      <c r="AA59" s="115"/>
      <c r="AB59" s="115"/>
      <c r="AC59" s="115"/>
      <c r="AD59" s="115"/>
      <c r="AE59" s="115"/>
      <c r="AF59" s="102"/>
    </row>
    <row r="60" spans="1:32" x14ac:dyDescent="0.35">
      <c r="A60" s="139"/>
      <c r="B60" s="118"/>
      <c r="C60" s="118"/>
      <c r="D60" s="118"/>
      <c r="E60" s="118"/>
      <c r="F60" s="118"/>
      <c r="G60" s="199"/>
      <c r="H60" s="190"/>
      <c r="I60" s="163"/>
      <c r="J60" s="118"/>
      <c r="K60" s="115"/>
      <c r="L60" s="115"/>
      <c r="M60" s="115"/>
      <c r="N60" s="115"/>
      <c r="O60" s="115"/>
      <c r="P60" s="115"/>
      <c r="Q60" s="115"/>
      <c r="R60" s="115"/>
      <c r="S60" s="115"/>
      <c r="T60" s="115"/>
      <c r="U60" s="115"/>
      <c r="V60" s="115"/>
      <c r="W60" s="115"/>
      <c r="X60" s="118"/>
      <c r="Y60" s="115"/>
      <c r="Z60" s="115"/>
      <c r="AA60" s="115"/>
      <c r="AB60" s="115"/>
      <c r="AC60" s="115"/>
      <c r="AD60" s="115"/>
      <c r="AE60" s="115"/>
      <c r="AF60" s="102"/>
    </row>
    <row r="61" spans="1:32" ht="15" thickBot="1" x14ac:dyDescent="0.4">
      <c r="A61" s="139"/>
      <c r="B61" s="118"/>
      <c r="C61" s="118"/>
      <c r="D61" s="118"/>
      <c r="E61" s="118"/>
      <c r="F61" s="118"/>
      <c r="G61" s="140" t="s">
        <v>170</v>
      </c>
      <c r="H61" s="163"/>
      <c r="I61" s="163"/>
      <c r="J61" s="118"/>
      <c r="K61" s="115"/>
      <c r="L61" s="115"/>
      <c r="M61" s="115"/>
      <c r="N61" s="115"/>
      <c r="O61" s="115"/>
      <c r="P61" s="115"/>
      <c r="Q61" s="115"/>
      <c r="R61" s="115"/>
      <c r="S61" s="115"/>
      <c r="T61" s="115"/>
      <c r="U61" s="115"/>
      <c r="V61" s="115"/>
      <c r="W61" s="115"/>
      <c r="X61" s="118"/>
      <c r="Y61" s="115"/>
      <c r="Z61" s="115"/>
      <c r="AA61" s="115"/>
      <c r="AB61" s="115"/>
      <c r="AC61" s="115"/>
      <c r="AD61" s="115"/>
      <c r="AE61" s="115"/>
      <c r="AF61" s="102"/>
    </row>
    <row r="62" spans="1:32" ht="16.5" x14ac:dyDescent="0.45">
      <c r="A62" s="139"/>
      <c r="B62" s="118"/>
      <c r="C62" s="118"/>
      <c r="D62" s="118"/>
      <c r="E62" s="118"/>
      <c r="F62" s="118"/>
      <c r="G62" s="116" t="s">
        <v>508</v>
      </c>
      <c r="H62" s="160">
        <v>2.5</v>
      </c>
      <c r="I62" s="184" t="s">
        <v>11</v>
      </c>
      <c r="J62" s="118"/>
      <c r="K62" s="115"/>
      <c r="L62" s="115"/>
      <c r="M62" s="115"/>
      <c r="N62" s="115"/>
      <c r="O62" s="115"/>
      <c r="P62" s="115"/>
      <c r="Q62" s="115"/>
      <c r="R62" s="115"/>
      <c r="S62" s="115"/>
      <c r="T62" s="115"/>
      <c r="U62" s="115"/>
      <c r="V62" s="115"/>
      <c r="W62" s="115"/>
      <c r="X62" s="118"/>
      <c r="Y62" s="115"/>
      <c r="Z62" s="115"/>
      <c r="AA62" s="115"/>
      <c r="AB62" s="115"/>
      <c r="AC62" s="115"/>
      <c r="AD62" s="115"/>
      <c r="AE62" s="115"/>
      <c r="AF62" s="102"/>
    </row>
    <row r="63" spans="1:32" ht="16.5" x14ac:dyDescent="0.45">
      <c r="A63" s="139"/>
      <c r="B63" s="118"/>
      <c r="C63" s="118"/>
      <c r="D63" s="118"/>
      <c r="E63" s="118"/>
      <c r="F63" s="118"/>
      <c r="G63" s="132" t="s">
        <v>270</v>
      </c>
      <c r="H63" s="161">
        <v>28.7</v>
      </c>
      <c r="I63" s="198" t="s">
        <v>169</v>
      </c>
      <c r="J63" s="227"/>
      <c r="K63" s="115"/>
      <c r="L63" s="115"/>
      <c r="M63" s="115"/>
      <c r="N63" s="115"/>
      <c r="O63" s="115"/>
      <c r="P63" s="115"/>
      <c r="Q63" s="115"/>
      <c r="R63" s="115"/>
      <c r="S63" s="115"/>
      <c r="T63" s="115"/>
      <c r="U63" s="115"/>
      <c r="V63" s="115"/>
      <c r="W63" s="115"/>
      <c r="X63" s="118"/>
      <c r="Y63" s="115"/>
      <c r="Z63" s="115"/>
      <c r="AA63" s="115"/>
      <c r="AB63" s="115"/>
      <c r="AC63" s="115"/>
      <c r="AD63" s="115"/>
      <c r="AE63" s="115"/>
      <c r="AF63" s="102"/>
    </row>
    <row r="64" spans="1:32" ht="16.5" x14ac:dyDescent="0.45">
      <c r="A64" s="139"/>
      <c r="B64" s="118"/>
      <c r="C64" s="118"/>
      <c r="D64" s="118"/>
      <c r="E64" s="118"/>
      <c r="F64" s="118"/>
      <c r="G64" s="132" t="s">
        <v>246</v>
      </c>
      <c r="H64" s="167">
        <f>CHOOSE(FB_type,RFBB_iso_calc/1000,RFBB_calc/1000)</f>
        <v>1.5769230769230769</v>
      </c>
      <c r="I64" s="198" t="s">
        <v>169</v>
      </c>
      <c r="J64" s="227"/>
      <c r="K64" s="115"/>
      <c r="L64" s="115"/>
      <c r="M64" s="115"/>
      <c r="N64" s="115"/>
      <c r="O64" s="115"/>
      <c r="P64" s="115"/>
      <c r="Q64" s="115"/>
      <c r="R64" s="115"/>
      <c r="S64" s="115"/>
      <c r="T64" s="115"/>
      <c r="U64" s="115"/>
      <c r="V64" s="115"/>
      <c r="W64" s="115"/>
      <c r="X64" s="118"/>
      <c r="Y64" s="115"/>
      <c r="Z64" s="115"/>
      <c r="AA64" s="115"/>
      <c r="AB64" s="115"/>
      <c r="AC64" s="115"/>
      <c r="AD64" s="115"/>
      <c r="AE64" s="115"/>
      <c r="AF64" s="102"/>
    </row>
    <row r="65" spans="1:32" ht="17" thickBot="1" x14ac:dyDescent="0.5">
      <c r="A65" s="139"/>
      <c r="B65" s="118"/>
      <c r="C65" s="118"/>
      <c r="D65" s="118"/>
      <c r="E65" s="118"/>
      <c r="F65" s="118"/>
      <c r="G65" s="132" t="s">
        <v>271</v>
      </c>
      <c r="H65" s="166">
        <v>1.62</v>
      </c>
      <c r="I65" s="253" t="s">
        <v>169</v>
      </c>
      <c r="J65" s="227"/>
      <c r="K65" s="115"/>
      <c r="L65" s="115"/>
      <c r="M65" s="115"/>
      <c r="N65" s="115"/>
      <c r="O65" s="115"/>
      <c r="P65" s="115"/>
      <c r="Q65" s="115"/>
      <c r="R65" s="115"/>
      <c r="S65" s="115"/>
      <c r="T65" s="115"/>
      <c r="U65" s="115"/>
      <c r="V65" s="115"/>
      <c r="W65" s="115"/>
      <c r="X65" s="118"/>
      <c r="Y65" s="115"/>
      <c r="Z65" s="115"/>
      <c r="AA65" s="115"/>
      <c r="AB65" s="115"/>
      <c r="AC65" s="115"/>
      <c r="AD65" s="115"/>
      <c r="AE65" s="115"/>
      <c r="AF65" s="102"/>
    </row>
    <row r="66" spans="1:32" x14ac:dyDescent="0.35">
      <c r="A66" s="123"/>
      <c r="B66" s="118"/>
      <c r="C66" s="118"/>
      <c r="D66" s="118"/>
      <c r="E66" s="118"/>
      <c r="F66" s="118"/>
      <c r="G66" s="132"/>
      <c r="H66" s="163"/>
      <c r="I66" s="163"/>
      <c r="J66" s="118"/>
      <c r="K66" s="115"/>
      <c r="L66" s="115"/>
      <c r="M66" s="115"/>
      <c r="N66" s="115"/>
      <c r="O66" s="115"/>
      <c r="P66" s="115"/>
      <c r="Q66" s="115"/>
      <c r="R66" s="115"/>
      <c r="S66" s="115"/>
      <c r="T66" s="115"/>
      <c r="U66" s="115"/>
      <c r="V66" s="115"/>
      <c r="W66" s="115"/>
      <c r="X66" s="118"/>
      <c r="Y66" s="115"/>
      <c r="Z66" s="115"/>
      <c r="AA66" s="115"/>
      <c r="AB66" s="115"/>
      <c r="AC66" s="115"/>
      <c r="AD66" s="115"/>
      <c r="AE66" s="115"/>
      <c r="AF66" s="102"/>
    </row>
    <row r="67" spans="1:32" ht="15" thickBot="1" x14ac:dyDescent="0.4">
      <c r="A67" s="123"/>
      <c r="B67" s="118"/>
      <c r="C67" s="118"/>
      <c r="D67" s="118"/>
      <c r="E67" s="118"/>
      <c r="F67" s="118"/>
      <c r="G67" s="140" t="s">
        <v>509</v>
      </c>
      <c r="H67" s="163"/>
      <c r="I67" s="163"/>
      <c r="J67" s="118"/>
      <c r="K67" s="115"/>
      <c r="L67" s="115"/>
      <c r="M67" s="115"/>
      <c r="N67" s="115"/>
      <c r="O67" s="115"/>
      <c r="P67" s="115"/>
      <c r="Q67" s="115"/>
      <c r="R67" s="115"/>
      <c r="S67" s="115"/>
      <c r="T67" s="115"/>
      <c r="U67" s="115"/>
      <c r="V67" s="115"/>
      <c r="W67" s="115"/>
      <c r="X67" s="118"/>
      <c r="Y67" s="115"/>
      <c r="Z67" s="115"/>
      <c r="AA67" s="115"/>
      <c r="AB67" s="115"/>
      <c r="AC67" s="115"/>
      <c r="AD67" s="115"/>
      <c r="AE67" s="115"/>
      <c r="AF67" s="102"/>
    </row>
    <row r="68" spans="1:32" ht="16.5" x14ac:dyDescent="0.45">
      <c r="A68" s="123"/>
      <c r="B68" s="118"/>
      <c r="C68" s="118"/>
      <c r="D68" s="118"/>
      <c r="E68" s="118"/>
      <c r="F68" s="118"/>
      <c r="G68" s="132" t="s">
        <v>510</v>
      </c>
      <c r="H68" s="160">
        <v>1.6</v>
      </c>
      <c r="I68" s="184" t="s">
        <v>528</v>
      </c>
      <c r="J68" s="118"/>
      <c r="K68" s="115"/>
      <c r="L68" s="115"/>
      <c r="M68" s="115"/>
      <c r="N68" s="115"/>
      <c r="O68" s="115"/>
      <c r="P68" s="115"/>
      <c r="Q68" s="115"/>
      <c r="R68" s="115"/>
      <c r="S68" s="115"/>
      <c r="T68" s="115"/>
      <c r="U68" s="115"/>
      <c r="V68" s="115"/>
      <c r="W68" s="115"/>
      <c r="X68" s="118"/>
      <c r="Y68" s="115"/>
      <c r="Z68" s="115"/>
      <c r="AA68" s="115"/>
      <c r="AB68" s="115"/>
      <c r="AC68" s="115"/>
      <c r="AD68" s="115"/>
      <c r="AE68" s="115"/>
      <c r="AF68" s="102"/>
    </row>
    <row r="69" spans="1:32" ht="16.5" x14ac:dyDescent="0.45">
      <c r="A69" s="123"/>
      <c r="B69" s="118"/>
      <c r="C69" s="118"/>
      <c r="D69" s="118"/>
      <c r="E69" s="118"/>
      <c r="F69" s="118"/>
      <c r="G69" s="132" t="s">
        <v>511</v>
      </c>
      <c r="H69" s="161">
        <v>3.2</v>
      </c>
      <c r="I69" s="163" t="s">
        <v>528</v>
      </c>
      <c r="J69" s="118"/>
      <c r="K69" s="115"/>
      <c r="L69" s="115"/>
      <c r="M69" s="115"/>
      <c r="N69" s="115"/>
      <c r="O69" s="115"/>
      <c r="P69" s="115"/>
      <c r="Q69" s="115"/>
      <c r="R69" s="115"/>
      <c r="S69" s="115"/>
      <c r="T69" s="115"/>
      <c r="U69" s="115"/>
      <c r="V69" s="115"/>
      <c r="W69" s="115"/>
      <c r="X69" s="118"/>
      <c r="Y69" s="115"/>
      <c r="Z69" s="115"/>
      <c r="AA69" s="115"/>
      <c r="AB69" s="115"/>
      <c r="AC69" s="115"/>
      <c r="AD69" s="115"/>
      <c r="AE69" s="115"/>
      <c r="AF69" s="102"/>
    </row>
    <row r="70" spans="1:32" ht="16.5" x14ac:dyDescent="0.45">
      <c r="A70" s="123"/>
      <c r="B70" s="118"/>
      <c r="C70" s="118"/>
      <c r="D70" s="118"/>
      <c r="E70" s="118"/>
      <c r="F70" s="118"/>
      <c r="G70" s="132" t="s">
        <v>512</v>
      </c>
      <c r="H70" s="161">
        <v>1.65</v>
      </c>
      <c r="I70" s="163" t="s">
        <v>11</v>
      </c>
      <c r="J70" s="118"/>
      <c r="K70" s="115"/>
      <c r="L70" s="115"/>
      <c r="M70" s="115"/>
      <c r="N70" s="115"/>
      <c r="O70" s="115"/>
      <c r="P70" s="115"/>
      <c r="Q70" s="115"/>
      <c r="R70" s="115"/>
      <c r="S70" s="115"/>
      <c r="T70" s="115"/>
      <c r="U70" s="115"/>
      <c r="V70" s="115"/>
      <c r="W70" s="115"/>
      <c r="X70" s="118"/>
      <c r="Y70" s="115"/>
      <c r="Z70" s="115"/>
      <c r="AA70" s="115"/>
      <c r="AB70" s="115"/>
      <c r="AC70" s="115"/>
      <c r="AD70" s="115"/>
      <c r="AE70" s="115"/>
      <c r="AF70" s="102"/>
    </row>
    <row r="71" spans="1:32" ht="16.5" x14ac:dyDescent="0.45">
      <c r="A71" s="123"/>
      <c r="B71" s="118"/>
      <c r="C71" s="118"/>
      <c r="D71" s="118"/>
      <c r="E71" s="118"/>
      <c r="F71" s="118"/>
      <c r="G71" s="116" t="s">
        <v>689</v>
      </c>
      <c r="H71" s="161">
        <v>0.05</v>
      </c>
      <c r="I71" s="163" t="s">
        <v>172</v>
      </c>
      <c r="J71" s="118"/>
      <c r="K71" s="115"/>
      <c r="L71" s="115"/>
      <c r="M71" s="115"/>
      <c r="N71" s="115"/>
      <c r="O71" s="115"/>
      <c r="P71" s="115"/>
      <c r="Q71" s="115"/>
      <c r="R71" s="115"/>
      <c r="S71" s="115"/>
      <c r="T71" s="115"/>
      <c r="U71" s="115"/>
      <c r="V71" s="115"/>
      <c r="W71" s="115"/>
      <c r="X71" s="118"/>
      <c r="Y71" s="115"/>
      <c r="Z71" s="115"/>
      <c r="AA71" s="115"/>
      <c r="AB71" s="115"/>
      <c r="AC71" s="115"/>
      <c r="AD71" s="115"/>
      <c r="AE71" s="115"/>
      <c r="AF71" s="102"/>
    </row>
    <row r="72" spans="1:32" ht="17" thickBot="1" x14ac:dyDescent="0.5">
      <c r="A72" s="123"/>
      <c r="B72" s="118"/>
      <c r="C72" s="118"/>
      <c r="D72" s="118"/>
      <c r="E72" s="118"/>
      <c r="F72" s="118"/>
      <c r="G72" s="116" t="s">
        <v>690</v>
      </c>
      <c r="H72" s="166">
        <v>200</v>
      </c>
      <c r="I72" s="178" t="s">
        <v>147</v>
      </c>
      <c r="J72" s="118"/>
      <c r="K72" s="115"/>
      <c r="L72" s="115"/>
      <c r="M72" s="115"/>
      <c r="N72" s="115"/>
      <c r="O72" s="115"/>
      <c r="P72" s="115"/>
      <c r="Q72" s="115"/>
      <c r="R72" s="115"/>
      <c r="S72" s="115"/>
      <c r="T72" s="115"/>
      <c r="U72" s="115"/>
      <c r="V72" s="115"/>
      <c r="W72" s="115"/>
      <c r="X72" s="118"/>
      <c r="Y72" s="115"/>
      <c r="Z72" s="115"/>
      <c r="AA72" s="115"/>
      <c r="AB72" s="115"/>
      <c r="AC72" s="115"/>
      <c r="AD72" s="115"/>
      <c r="AE72" s="115"/>
      <c r="AF72" s="102"/>
    </row>
    <row r="73" spans="1:32" x14ac:dyDescent="0.35">
      <c r="A73" s="123"/>
      <c r="B73" s="118"/>
      <c r="C73" s="118"/>
      <c r="D73" s="118"/>
      <c r="E73" s="118"/>
      <c r="F73" s="118"/>
      <c r="G73" s="132"/>
      <c r="H73" s="163"/>
      <c r="I73" s="163"/>
      <c r="J73" s="118"/>
      <c r="K73" s="115"/>
      <c r="L73" s="115"/>
      <c r="M73" s="115"/>
      <c r="N73" s="115"/>
      <c r="O73" s="115"/>
      <c r="P73" s="115"/>
      <c r="Q73" s="115"/>
      <c r="R73" s="115"/>
      <c r="S73" s="115"/>
      <c r="T73" s="115"/>
      <c r="U73" s="115"/>
      <c r="V73" s="115"/>
      <c r="W73" s="115"/>
      <c r="X73" s="118"/>
      <c r="Y73" s="115"/>
      <c r="Z73" s="115"/>
      <c r="AA73" s="115"/>
      <c r="AB73" s="115"/>
      <c r="AC73" s="115"/>
      <c r="AD73" s="115"/>
      <c r="AE73" s="115"/>
      <c r="AF73" s="102"/>
    </row>
    <row r="74" spans="1:32" ht="17" thickBot="1" x14ac:dyDescent="0.5">
      <c r="A74" s="123"/>
      <c r="B74" s="118"/>
      <c r="C74" s="118"/>
      <c r="D74" s="118"/>
      <c r="E74" s="118"/>
      <c r="F74" s="118"/>
      <c r="G74" s="140" t="s">
        <v>569</v>
      </c>
      <c r="H74" s="163"/>
      <c r="I74" s="163"/>
      <c r="J74" s="118"/>
      <c r="K74" s="115"/>
      <c r="L74" s="115"/>
      <c r="M74" s="115"/>
      <c r="N74" s="115"/>
      <c r="O74" s="115"/>
      <c r="P74" s="115"/>
      <c r="Q74" s="115"/>
      <c r="R74" s="115"/>
      <c r="S74" s="115"/>
      <c r="T74" s="115"/>
      <c r="U74" s="115"/>
      <c r="V74" s="115"/>
      <c r="W74" s="115"/>
      <c r="X74" s="118"/>
      <c r="Y74" s="115"/>
      <c r="Z74" s="115"/>
      <c r="AA74" s="115"/>
      <c r="AB74" s="115"/>
      <c r="AC74" s="115"/>
      <c r="AD74" s="115"/>
      <c r="AE74" s="115"/>
      <c r="AF74" s="102"/>
    </row>
    <row r="75" spans="1:32" ht="16.5" x14ac:dyDescent="0.45">
      <c r="A75" s="123"/>
      <c r="B75" s="118"/>
      <c r="C75" s="118"/>
      <c r="D75" s="118"/>
      <c r="E75" s="118"/>
      <c r="F75" s="118"/>
      <c r="G75" s="197" t="s">
        <v>545</v>
      </c>
      <c r="H75" s="160">
        <v>6.8</v>
      </c>
      <c r="I75" s="254" t="s">
        <v>11</v>
      </c>
      <c r="J75" s="228"/>
      <c r="K75" s="115"/>
      <c r="L75" s="115"/>
      <c r="M75" s="115"/>
      <c r="N75" s="115"/>
      <c r="O75" s="115"/>
      <c r="P75" s="115"/>
      <c r="Q75" s="115"/>
      <c r="R75" s="115"/>
      <c r="S75" s="115"/>
      <c r="T75" s="115"/>
      <c r="U75" s="115"/>
      <c r="V75" s="115"/>
      <c r="W75" s="115"/>
      <c r="X75" s="118"/>
      <c r="Y75" s="115"/>
      <c r="Z75" s="115"/>
      <c r="AA75" s="115"/>
      <c r="AB75" s="115"/>
      <c r="AC75" s="115"/>
      <c r="AD75" s="115"/>
      <c r="AE75" s="115"/>
      <c r="AF75" s="102"/>
    </row>
    <row r="76" spans="1:32" ht="16.5" x14ac:dyDescent="0.45">
      <c r="A76" s="123"/>
      <c r="B76" s="118"/>
      <c r="C76" s="118"/>
      <c r="D76" s="118"/>
      <c r="E76" s="118"/>
      <c r="F76" s="118"/>
      <c r="G76" s="132" t="s">
        <v>529</v>
      </c>
      <c r="H76" s="162">
        <f>Rpullup_min/1000</f>
        <v>2.6874999999999996</v>
      </c>
      <c r="I76" s="198" t="s">
        <v>169</v>
      </c>
      <c r="J76" s="227"/>
      <c r="K76" s="115"/>
      <c r="L76" s="115"/>
      <c r="M76" s="115"/>
      <c r="N76" s="115"/>
      <c r="O76" s="115"/>
      <c r="P76" s="115"/>
      <c r="Q76" s="115"/>
      <c r="R76" s="115"/>
      <c r="S76" s="115"/>
      <c r="T76" s="115"/>
      <c r="U76" s="115"/>
      <c r="V76" s="115"/>
      <c r="W76" s="115"/>
      <c r="X76" s="118"/>
      <c r="Y76" s="115"/>
      <c r="Z76" s="115"/>
      <c r="AA76" s="115"/>
      <c r="AB76" s="115"/>
      <c r="AC76" s="115"/>
      <c r="AD76" s="115"/>
      <c r="AE76" s="115"/>
      <c r="AF76" s="102"/>
    </row>
    <row r="77" spans="1:32" ht="16.5" x14ac:dyDescent="0.45">
      <c r="A77" s="123"/>
      <c r="B77" s="118"/>
      <c r="C77" s="118"/>
      <c r="D77" s="118"/>
      <c r="E77" s="118"/>
      <c r="F77" s="118"/>
      <c r="G77" s="132" t="s">
        <v>549</v>
      </c>
      <c r="H77" s="161">
        <v>5.0999999999999996</v>
      </c>
      <c r="I77" s="198" t="s">
        <v>169</v>
      </c>
      <c r="J77" s="227"/>
      <c r="K77" s="115"/>
      <c r="L77" s="115"/>
      <c r="M77" s="115"/>
      <c r="N77" s="115"/>
      <c r="O77" s="115"/>
      <c r="P77" s="115"/>
      <c r="Q77" s="115"/>
      <c r="R77" s="115"/>
      <c r="S77" s="115"/>
      <c r="T77" s="115"/>
      <c r="U77" s="115"/>
      <c r="V77" s="115"/>
      <c r="W77" s="115"/>
      <c r="X77" s="118"/>
      <c r="Y77" s="115"/>
      <c r="Z77" s="115"/>
      <c r="AA77" s="115"/>
      <c r="AB77" s="115"/>
      <c r="AC77" s="115"/>
      <c r="AD77" s="115"/>
      <c r="AE77" s="115"/>
      <c r="AF77" s="102"/>
    </row>
    <row r="78" spans="1:32" ht="16.5" x14ac:dyDescent="0.45">
      <c r="A78" s="123"/>
      <c r="B78" s="118"/>
      <c r="C78" s="118"/>
      <c r="D78" s="118"/>
      <c r="E78" s="118"/>
      <c r="F78" s="118"/>
      <c r="G78" s="132" t="s">
        <v>591</v>
      </c>
      <c r="H78" s="162">
        <f>Variable_Management!B219/1000</f>
        <v>54.214545454545458</v>
      </c>
      <c r="I78" s="198" t="s">
        <v>169</v>
      </c>
      <c r="J78" s="227"/>
      <c r="K78" s="115"/>
      <c r="L78" s="115"/>
      <c r="M78" s="115"/>
      <c r="N78" s="115"/>
      <c r="O78" s="115"/>
      <c r="P78" s="115"/>
      <c r="Q78" s="115"/>
      <c r="R78" s="115"/>
      <c r="S78" s="115"/>
      <c r="T78" s="115"/>
      <c r="U78" s="115"/>
      <c r="V78" s="115"/>
      <c r="W78" s="115"/>
      <c r="X78" s="118"/>
      <c r="Y78" s="115"/>
      <c r="Z78" s="115"/>
      <c r="AA78" s="115"/>
      <c r="AB78" s="115"/>
      <c r="AC78" s="115"/>
      <c r="AD78" s="115"/>
      <c r="AE78" s="115"/>
      <c r="AF78" s="102"/>
    </row>
    <row r="79" spans="1:32" ht="17" thickBot="1" x14ac:dyDescent="0.5">
      <c r="A79" s="123"/>
      <c r="B79" s="118"/>
      <c r="C79" s="118"/>
      <c r="D79" s="118"/>
      <c r="E79" s="118"/>
      <c r="F79" s="118"/>
      <c r="G79" s="132" t="s">
        <v>570</v>
      </c>
      <c r="H79" s="166">
        <v>22</v>
      </c>
      <c r="I79" s="253" t="s">
        <v>169</v>
      </c>
      <c r="J79" s="227"/>
      <c r="K79" s="115"/>
      <c r="L79" s="115"/>
      <c r="M79" s="115"/>
      <c r="N79" s="115"/>
      <c r="O79" s="115"/>
      <c r="P79" s="115"/>
      <c r="Q79" s="115"/>
      <c r="R79" s="115"/>
      <c r="S79" s="115"/>
      <c r="T79" s="115"/>
      <c r="U79" s="115"/>
      <c r="V79" s="115"/>
      <c r="W79" s="115"/>
      <c r="X79" s="118"/>
      <c r="Y79" s="115"/>
      <c r="Z79" s="115"/>
      <c r="AA79" s="115"/>
      <c r="AB79" s="115"/>
      <c r="AC79" s="115"/>
      <c r="AD79" s="115"/>
      <c r="AE79" s="115"/>
      <c r="AF79" s="102"/>
    </row>
    <row r="80" spans="1:32" x14ac:dyDescent="0.35">
      <c r="A80" s="123"/>
      <c r="B80" s="118"/>
      <c r="C80" s="118"/>
      <c r="D80" s="118"/>
      <c r="E80" s="118"/>
      <c r="F80" s="118"/>
      <c r="G80" s="132"/>
      <c r="H80" s="163"/>
      <c r="I80" s="163"/>
      <c r="J80" s="118"/>
      <c r="K80" s="115"/>
      <c r="L80" s="115"/>
      <c r="M80" s="115"/>
      <c r="N80" s="115"/>
      <c r="O80" s="115"/>
      <c r="P80" s="115"/>
      <c r="Q80" s="115"/>
      <c r="R80" s="115"/>
      <c r="S80" s="115"/>
      <c r="T80" s="115"/>
      <c r="U80" s="115"/>
      <c r="V80" s="115"/>
      <c r="W80" s="115"/>
      <c r="X80" s="118"/>
      <c r="Y80" s="115"/>
      <c r="Z80" s="115"/>
      <c r="AA80" s="115"/>
      <c r="AB80" s="115"/>
      <c r="AC80" s="115"/>
      <c r="AD80" s="115"/>
      <c r="AE80" s="115"/>
      <c r="AF80" s="102"/>
    </row>
    <row r="81" spans="1:32" ht="15" thickBot="1" x14ac:dyDescent="0.4">
      <c r="A81" s="123"/>
      <c r="B81" s="118"/>
      <c r="C81" s="118"/>
      <c r="D81" s="118"/>
      <c r="E81" s="118"/>
      <c r="F81" s="118"/>
      <c r="G81" s="140" t="s">
        <v>553</v>
      </c>
      <c r="H81" s="163"/>
      <c r="I81" s="163"/>
      <c r="J81" s="118"/>
      <c r="K81" s="115"/>
      <c r="L81" s="115"/>
      <c r="M81" s="115"/>
      <c r="N81" s="115"/>
      <c r="O81" s="115"/>
      <c r="P81" s="115"/>
      <c r="Q81" s="115"/>
      <c r="R81" s="115"/>
      <c r="S81" s="115"/>
      <c r="T81" s="115"/>
      <c r="U81" s="115"/>
      <c r="V81" s="115"/>
      <c r="W81" s="115"/>
      <c r="X81" s="118"/>
      <c r="Y81" s="115"/>
      <c r="Z81" s="115"/>
      <c r="AA81" s="115"/>
      <c r="AB81" s="115"/>
      <c r="AC81" s="115"/>
      <c r="AD81" s="115"/>
      <c r="AE81" s="115"/>
      <c r="AF81" s="102"/>
    </row>
    <row r="82" spans="1:32" x14ac:dyDescent="0.35">
      <c r="A82" s="123"/>
      <c r="B82" s="118"/>
      <c r="C82" s="118"/>
      <c r="D82" s="118"/>
      <c r="E82" s="118"/>
      <c r="F82" s="118"/>
      <c r="G82" s="132" t="s">
        <v>589</v>
      </c>
      <c r="H82" s="255">
        <f>CHOOSE(FB_type,Variable_Management!B225,fcross_est)/1000</f>
        <v>3.8388587038455224</v>
      </c>
      <c r="I82" s="184" t="s">
        <v>13</v>
      </c>
      <c r="J82" s="118"/>
      <c r="K82" s="115"/>
      <c r="L82" s="115"/>
      <c r="M82" s="115"/>
      <c r="N82" s="115"/>
      <c r="O82" s="115"/>
      <c r="P82" s="115"/>
      <c r="Q82" s="115"/>
      <c r="R82" s="115"/>
      <c r="S82" s="115"/>
      <c r="T82" s="115"/>
      <c r="U82" s="115"/>
      <c r="V82" s="115"/>
      <c r="W82" s="115"/>
      <c r="X82" s="118"/>
      <c r="Y82" s="115"/>
      <c r="Z82" s="115"/>
      <c r="AA82" s="115"/>
      <c r="AB82" s="115"/>
      <c r="AC82" s="115"/>
      <c r="AD82" s="115"/>
      <c r="AE82" s="115"/>
      <c r="AF82" s="102"/>
    </row>
    <row r="83" spans="1:32" ht="17" thickBot="1" x14ac:dyDescent="0.5">
      <c r="A83" s="123"/>
      <c r="B83" s="118"/>
      <c r="C83" s="118"/>
      <c r="D83" s="118"/>
      <c r="E83" s="118"/>
      <c r="F83" s="118"/>
      <c r="G83" s="132" t="s">
        <v>388</v>
      </c>
      <c r="H83" s="166">
        <v>3</v>
      </c>
      <c r="I83" s="178" t="s">
        <v>13</v>
      </c>
      <c r="J83" s="118"/>
      <c r="K83" s="115"/>
      <c r="L83" s="115"/>
      <c r="M83" s="115"/>
      <c r="N83" s="115"/>
      <c r="O83" s="115"/>
      <c r="P83" s="115"/>
      <c r="Q83" s="115"/>
      <c r="R83" s="115"/>
      <c r="S83" s="115"/>
      <c r="T83" s="115"/>
      <c r="U83" s="115"/>
      <c r="V83" s="115"/>
      <c r="W83" s="115"/>
      <c r="X83" s="118"/>
      <c r="Y83" s="115"/>
      <c r="Z83" s="115"/>
      <c r="AA83" s="115"/>
      <c r="AB83" s="115"/>
      <c r="AC83" s="115"/>
      <c r="AD83" s="115"/>
      <c r="AE83" s="115"/>
      <c r="AF83" s="102"/>
    </row>
    <row r="84" spans="1:32" x14ac:dyDescent="0.35">
      <c r="A84" s="123"/>
      <c r="B84" s="118"/>
      <c r="C84" s="118"/>
      <c r="D84" s="118"/>
      <c r="E84" s="118"/>
      <c r="F84" s="118"/>
      <c r="G84" s="132"/>
      <c r="H84" s="163"/>
      <c r="I84" s="163"/>
      <c r="J84" s="118"/>
      <c r="K84" s="115"/>
      <c r="L84" s="115"/>
      <c r="M84" s="115"/>
      <c r="N84" s="115"/>
      <c r="O84" s="115"/>
      <c r="P84" s="115"/>
      <c r="Q84" s="115"/>
      <c r="R84" s="115"/>
      <c r="S84" s="115"/>
      <c r="T84" s="115"/>
      <c r="U84" s="115"/>
      <c r="V84" s="115"/>
      <c r="W84" s="115"/>
      <c r="X84" s="118"/>
      <c r="Y84" s="115"/>
      <c r="Z84" s="115"/>
      <c r="AA84" s="115"/>
      <c r="AB84" s="115"/>
      <c r="AC84" s="115"/>
      <c r="AD84" s="115"/>
      <c r="AE84" s="115"/>
      <c r="AF84" s="102"/>
    </row>
    <row r="85" spans="1:32" ht="15" thickBot="1" x14ac:dyDescent="0.4">
      <c r="A85" s="123"/>
      <c r="B85" s="118"/>
      <c r="C85" s="118"/>
      <c r="D85" s="118"/>
      <c r="E85" s="118"/>
      <c r="F85" s="141" t="s">
        <v>276</v>
      </c>
      <c r="G85" s="141"/>
      <c r="H85" s="171" t="s">
        <v>277</v>
      </c>
      <c r="I85" s="171"/>
      <c r="J85" s="141"/>
      <c r="K85" s="115"/>
      <c r="L85" s="115"/>
      <c r="M85" s="115"/>
      <c r="N85" s="115"/>
      <c r="O85" s="115"/>
      <c r="P85" s="115"/>
      <c r="Q85" s="115"/>
      <c r="R85" s="115"/>
      <c r="S85" s="115"/>
      <c r="T85" s="115"/>
      <c r="U85" s="115"/>
      <c r="V85" s="115"/>
      <c r="W85" s="115"/>
      <c r="X85" s="118"/>
      <c r="Y85" s="115"/>
      <c r="Z85" s="115"/>
      <c r="AA85" s="115"/>
      <c r="AB85" s="115"/>
      <c r="AC85" s="115"/>
      <c r="AD85" s="115"/>
      <c r="AE85" s="115"/>
      <c r="AF85" s="102"/>
    </row>
    <row r="86" spans="1:32" ht="17" thickBot="1" x14ac:dyDescent="0.5">
      <c r="A86" s="123"/>
      <c r="B86" s="118"/>
      <c r="C86" s="118"/>
      <c r="D86" s="118"/>
      <c r="E86" s="132" t="s">
        <v>275</v>
      </c>
      <c r="F86" s="174">
        <f>CHOOSE(FB_type,Variable_Management!B228,Rcomp_calc)/1000</f>
        <v>4.9803274532082709</v>
      </c>
      <c r="G86" s="192" t="s">
        <v>169</v>
      </c>
      <c r="H86" s="173">
        <v>120</v>
      </c>
      <c r="I86" s="257" t="s">
        <v>169</v>
      </c>
      <c r="J86" s="227"/>
      <c r="K86" s="115"/>
      <c r="L86" s="115"/>
      <c r="M86" s="115"/>
      <c r="N86" s="115"/>
      <c r="O86" s="115"/>
      <c r="P86" s="115"/>
      <c r="Q86" s="115"/>
      <c r="R86" s="115"/>
      <c r="S86" s="115"/>
      <c r="T86" s="115"/>
      <c r="U86" s="115"/>
      <c r="V86" s="115"/>
      <c r="W86" s="115"/>
      <c r="X86" s="118"/>
      <c r="Y86" s="115"/>
      <c r="Z86" s="115"/>
      <c r="AA86" s="115"/>
      <c r="AB86" s="115"/>
      <c r="AC86" s="115"/>
      <c r="AD86" s="115"/>
      <c r="AE86" s="115"/>
      <c r="AF86" s="102"/>
    </row>
    <row r="87" spans="1:32" ht="17" thickBot="1" x14ac:dyDescent="0.5">
      <c r="A87" s="123"/>
      <c r="B87" s="118"/>
      <c r="C87" s="118"/>
      <c r="D87" s="118"/>
      <c r="E87" s="132" t="s">
        <v>379</v>
      </c>
      <c r="F87" s="174">
        <f>CHOOSE(FB_type,Ccomp_iso_calc,CComp_calc)*10^9</f>
        <v>8.6144658005606125</v>
      </c>
      <c r="G87" s="192" t="s">
        <v>172</v>
      </c>
      <c r="H87" s="173">
        <v>3.9</v>
      </c>
      <c r="I87" s="163" t="s">
        <v>172</v>
      </c>
      <c r="J87" s="118"/>
      <c r="K87" s="115"/>
      <c r="L87" s="115"/>
      <c r="M87" s="115"/>
      <c r="N87" s="115"/>
      <c r="O87" s="115"/>
      <c r="P87" s="115"/>
      <c r="Q87" s="115"/>
      <c r="R87" s="115"/>
      <c r="S87" s="115"/>
      <c r="T87" s="115"/>
      <c r="U87" s="115"/>
      <c r="V87" s="115"/>
      <c r="W87" s="115"/>
      <c r="X87" s="118"/>
      <c r="Y87" s="115"/>
      <c r="Z87" s="115"/>
      <c r="AA87" s="115"/>
      <c r="AB87" s="115"/>
      <c r="AC87" s="115"/>
      <c r="AD87" s="115"/>
      <c r="AE87" s="115"/>
      <c r="AF87" s="102"/>
    </row>
    <row r="88" spans="1:32" ht="17" thickBot="1" x14ac:dyDescent="0.5">
      <c r="A88" s="130"/>
      <c r="B88" s="127"/>
      <c r="C88" s="127"/>
      <c r="D88" s="127"/>
      <c r="E88" s="134" t="s">
        <v>380</v>
      </c>
      <c r="F88" s="172">
        <f>CHOOSE(FB_type,0,Variable_Management!B271)*(10^12)</f>
        <v>0</v>
      </c>
      <c r="G88" s="193" t="s">
        <v>171</v>
      </c>
      <c r="H88" s="166">
        <v>720</v>
      </c>
      <c r="I88" s="178" t="s">
        <v>171</v>
      </c>
      <c r="J88" s="118"/>
      <c r="K88" s="115"/>
      <c r="L88" s="115"/>
      <c r="M88" s="115"/>
      <c r="N88" s="115"/>
      <c r="O88" s="115"/>
      <c r="P88" s="115"/>
      <c r="Q88" s="115"/>
      <c r="R88" s="115"/>
      <c r="S88" s="115"/>
      <c r="T88" s="115"/>
      <c r="U88" s="115"/>
      <c r="V88" s="115"/>
      <c r="W88" s="115"/>
      <c r="X88" s="118"/>
      <c r="Y88" s="115"/>
      <c r="Z88" s="115"/>
      <c r="AA88" s="115"/>
      <c r="AB88" s="115"/>
      <c r="AC88" s="115"/>
      <c r="AD88" s="115"/>
      <c r="AE88" s="115"/>
      <c r="AF88" s="102"/>
    </row>
    <row r="89" spans="1:32" x14ac:dyDescent="0.35">
      <c r="A89" s="115"/>
      <c r="B89" s="115"/>
      <c r="C89" s="115"/>
      <c r="D89" s="115"/>
      <c r="E89" s="116"/>
      <c r="F89" s="142"/>
      <c r="G89" s="116"/>
      <c r="H89" s="143"/>
      <c r="I89" s="115"/>
      <c r="J89" s="115"/>
      <c r="K89" s="115"/>
      <c r="L89" s="115"/>
      <c r="M89" s="115"/>
      <c r="N89" s="115"/>
      <c r="O89" s="115"/>
      <c r="P89" s="115"/>
      <c r="Q89" s="115"/>
      <c r="R89" s="115"/>
      <c r="S89" s="115"/>
      <c r="T89" s="115"/>
      <c r="U89" s="115"/>
      <c r="V89" s="115"/>
      <c r="W89" s="115"/>
      <c r="X89" s="118"/>
      <c r="Y89" s="115"/>
      <c r="Z89" s="115"/>
      <c r="AA89" s="115"/>
      <c r="AB89" s="115"/>
      <c r="AC89" s="115"/>
      <c r="AD89" s="115"/>
      <c r="AE89" s="115"/>
      <c r="AF89" s="102"/>
    </row>
    <row r="90" spans="1:32" ht="23.5" x14ac:dyDescent="0.55000000000000004">
      <c r="A90" s="144" t="s">
        <v>274</v>
      </c>
      <c r="B90" s="145"/>
      <c r="C90" s="145"/>
      <c r="D90" s="145"/>
      <c r="E90" s="145"/>
      <c r="F90" s="145"/>
      <c r="G90" s="146"/>
      <c r="H90" s="145"/>
      <c r="I90" s="145"/>
      <c r="J90" s="145"/>
      <c r="K90" s="145"/>
      <c r="L90" s="145"/>
      <c r="M90" s="145"/>
      <c r="N90" s="145"/>
      <c r="O90" s="145"/>
      <c r="P90" s="145"/>
      <c r="Q90" s="145"/>
      <c r="R90" s="145"/>
      <c r="S90" s="145"/>
      <c r="T90" s="145"/>
      <c r="U90" s="145"/>
      <c r="V90" s="145"/>
      <c r="W90" s="147"/>
      <c r="X90" s="148"/>
      <c r="Y90" s="147"/>
      <c r="Z90" s="147"/>
      <c r="AA90" s="147"/>
      <c r="AB90" s="147"/>
      <c r="AC90" s="147"/>
      <c r="AD90" s="147"/>
      <c r="AE90" s="147"/>
    </row>
    <row r="91" spans="1:32" x14ac:dyDescent="0.3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8"/>
      <c r="Y91" s="115"/>
      <c r="Z91" s="115"/>
      <c r="AA91" s="115"/>
      <c r="AB91" s="115"/>
      <c r="AC91" s="115"/>
      <c r="AD91" s="115"/>
      <c r="AE91" s="115"/>
      <c r="AF91" s="102"/>
    </row>
    <row r="92" spans="1:32" ht="19" thickBot="1" x14ac:dyDescent="0.5">
      <c r="A92" s="252" t="s">
        <v>344</v>
      </c>
      <c r="B92" s="118"/>
      <c r="C92" s="118"/>
      <c r="D92" s="118"/>
      <c r="E92" s="118"/>
      <c r="F92" s="115"/>
      <c r="G92" s="115"/>
      <c r="H92" s="118"/>
      <c r="I92" s="118"/>
      <c r="J92" s="118"/>
      <c r="K92" s="115"/>
      <c r="L92" s="115"/>
      <c r="M92" s="115"/>
      <c r="N92" s="115"/>
      <c r="O92" s="115"/>
      <c r="P92" s="115"/>
      <c r="Q92" s="115"/>
      <c r="R92" s="115"/>
      <c r="S92" s="115"/>
      <c r="T92" s="115"/>
      <c r="U92" s="115"/>
      <c r="V92" s="115"/>
      <c r="W92" s="115"/>
      <c r="X92" s="118"/>
      <c r="Y92" s="115"/>
      <c r="Z92" s="115"/>
      <c r="AA92" s="115"/>
      <c r="AB92" s="115"/>
      <c r="AC92" s="115"/>
      <c r="AD92" s="115"/>
      <c r="AE92" s="115"/>
      <c r="AF92" s="102"/>
    </row>
    <row r="93" spans="1:32" ht="15.5" x14ac:dyDescent="0.4">
      <c r="A93" s="119"/>
      <c r="B93" s="120"/>
      <c r="C93" s="120"/>
      <c r="D93" s="120"/>
      <c r="E93" s="120"/>
      <c r="F93" s="120"/>
      <c r="G93" s="149" t="s">
        <v>333</v>
      </c>
      <c r="H93" s="160">
        <v>8.6999999999999993</v>
      </c>
      <c r="I93" s="150" t="s">
        <v>339</v>
      </c>
      <c r="J93" s="229"/>
      <c r="K93" s="115"/>
      <c r="L93" s="115"/>
      <c r="M93" s="115"/>
      <c r="N93" s="115"/>
      <c r="O93" s="115"/>
      <c r="P93" s="115"/>
      <c r="Q93" s="115"/>
      <c r="R93" s="115"/>
      <c r="S93" s="115"/>
      <c r="T93" s="115"/>
      <c r="U93" s="115"/>
      <c r="V93" s="115"/>
      <c r="W93" s="115"/>
      <c r="X93" s="118"/>
      <c r="Y93" s="115"/>
      <c r="Z93" s="115"/>
      <c r="AA93" s="115"/>
      <c r="AB93" s="115"/>
      <c r="AC93" s="115"/>
      <c r="AD93" s="115"/>
      <c r="AE93" s="115"/>
      <c r="AF93" s="102"/>
    </row>
    <row r="94" spans="1:32" ht="15.5" x14ac:dyDescent="0.4">
      <c r="A94" s="139"/>
      <c r="B94" s="118"/>
      <c r="C94" s="118"/>
      <c r="D94" s="118"/>
      <c r="E94" s="118"/>
      <c r="F94" s="118"/>
      <c r="G94" s="151" t="s">
        <v>334</v>
      </c>
      <c r="H94" s="161">
        <v>35</v>
      </c>
      <c r="I94" s="152" t="s">
        <v>340</v>
      </c>
      <c r="J94" s="229"/>
      <c r="K94" s="115"/>
      <c r="L94" s="115"/>
      <c r="M94" s="115"/>
      <c r="N94" s="115"/>
      <c r="O94" s="115"/>
      <c r="P94" s="115"/>
      <c r="Q94" s="115"/>
      <c r="R94" s="115"/>
      <c r="S94" s="115"/>
      <c r="T94" s="115"/>
      <c r="U94" s="115"/>
      <c r="V94" s="115"/>
      <c r="W94" s="115"/>
      <c r="X94" s="118"/>
      <c r="Y94" s="115"/>
      <c r="Z94" s="115"/>
      <c r="AA94" s="115"/>
      <c r="AB94" s="115"/>
      <c r="AC94" s="115"/>
      <c r="AD94" s="115"/>
      <c r="AE94" s="115"/>
      <c r="AF94" s="102"/>
    </row>
    <row r="95" spans="1:32" ht="15.5" x14ac:dyDescent="0.4">
      <c r="A95" s="139"/>
      <c r="B95" s="118"/>
      <c r="C95" s="118"/>
      <c r="D95" s="118"/>
      <c r="E95" s="118"/>
      <c r="F95" s="118"/>
      <c r="G95" s="151" t="s">
        <v>335</v>
      </c>
      <c r="H95" s="161">
        <v>4.9000000000000004</v>
      </c>
      <c r="I95" s="152" t="s">
        <v>340</v>
      </c>
      <c r="J95" s="229"/>
      <c r="K95" s="115"/>
      <c r="L95" s="115"/>
      <c r="M95" s="115"/>
      <c r="N95" s="115"/>
      <c r="O95" s="115"/>
      <c r="P95" s="115"/>
      <c r="Q95" s="115"/>
      <c r="R95" s="115"/>
      <c r="S95" s="115"/>
      <c r="T95" s="115"/>
      <c r="U95" s="115"/>
      <c r="V95" s="115"/>
      <c r="W95" s="115"/>
      <c r="X95" s="118"/>
      <c r="Y95" s="115"/>
      <c r="Z95" s="115"/>
      <c r="AA95" s="115"/>
      <c r="AB95" s="115"/>
      <c r="AC95" s="115"/>
      <c r="AD95" s="115"/>
      <c r="AE95" s="115"/>
      <c r="AF95" s="102"/>
    </row>
    <row r="96" spans="1:32" ht="15.5" x14ac:dyDescent="0.4">
      <c r="A96" s="123"/>
      <c r="B96" s="118"/>
      <c r="C96" s="118"/>
      <c r="D96" s="118"/>
      <c r="E96" s="118"/>
      <c r="F96" s="118"/>
      <c r="G96" s="151" t="s">
        <v>336</v>
      </c>
      <c r="H96" s="161">
        <v>7.9</v>
      </c>
      <c r="I96" s="152" t="s">
        <v>340</v>
      </c>
      <c r="J96" s="229"/>
      <c r="K96" s="115"/>
      <c r="L96" s="115"/>
      <c r="M96" s="115"/>
      <c r="N96" s="115"/>
      <c r="O96" s="115"/>
      <c r="P96" s="115"/>
      <c r="Q96" s="115"/>
      <c r="R96" s="115"/>
      <c r="S96" s="115"/>
      <c r="T96" s="115"/>
      <c r="U96" s="115"/>
      <c r="V96" s="115"/>
      <c r="W96" s="115"/>
      <c r="X96" s="118"/>
      <c r="Y96" s="115"/>
      <c r="Z96" s="115"/>
      <c r="AA96" s="115"/>
      <c r="AB96" s="115"/>
      <c r="AC96" s="115"/>
      <c r="AD96" s="115"/>
      <c r="AE96" s="115"/>
      <c r="AF96" s="102"/>
    </row>
    <row r="97" spans="1:32" ht="15.5" x14ac:dyDescent="0.4">
      <c r="A97" s="123"/>
      <c r="B97" s="118"/>
      <c r="C97" s="118"/>
      <c r="D97" s="118"/>
      <c r="E97" s="118"/>
      <c r="F97" s="118"/>
      <c r="G97" s="151" t="s">
        <v>337</v>
      </c>
      <c r="H97" s="161">
        <v>1.5</v>
      </c>
      <c r="I97" s="152" t="s">
        <v>341</v>
      </c>
      <c r="J97" s="229"/>
      <c r="K97" s="115"/>
      <c r="L97" s="115"/>
      <c r="M97" s="115"/>
      <c r="N97" s="115"/>
      <c r="O97" s="115"/>
      <c r="P97" s="115"/>
      <c r="Q97" s="115"/>
      <c r="R97" s="115"/>
      <c r="S97" s="115"/>
      <c r="T97" s="115"/>
      <c r="U97" s="115"/>
      <c r="V97" s="115"/>
      <c r="W97" s="115"/>
      <c r="X97" s="118"/>
      <c r="Y97" s="115"/>
      <c r="Z97" s="115"/>
      <c r="AA97" s="115"/>
      <c r="AB97" s="115"/>
      <c r="AC97" s="115"/>
      <c r="AD97" s="115"/>
      <c r="AE97" s="115"/>
      <c r="AF97" s="102"/>
    </row>
    <row r="98" spans="1:32" ht="16" thickBot="1" x14ac:dyDescent="0.45">
      <c r="A98" s="130"/>
      <c r="B98" s="127"/>
      <c r="C98" s="127"/>
      <c r="D98" s="127"/>
      <c r="E98" s="127"/>
      <c r="F98" s="127"/>
      <c r="G98" s="153" t="s">
        <v>338</v>
      </c>
      <c r="H98" s="166">
        <v>1.7</v>
      </c>
      <c r="I98" s="154" t="s">
        <v>11</v>
      </c>
      <c r="J98" s="229"/>
      <c r="K98" s="115"/>
      <c r="L98" s="115"/>
      <c r="M98" s="115"/>
      <c r="N98" s="115"/>
      <c r="O98" s="115"/>
      <c r="P98" s="115"/>
      <c r="Q98" s="115"/>
      <c r="R98" s="115"/>
      <c r="S98" s="115"/>
      <c r="T98" s="115"/>
      <c r="U98" s="115"/>
      <c r="V98" s="115"/>
      <c r="W98" s="115"/>
      <c r="X98" s="118"/>
      <c r="Y98" s="115"/>
      <c r="Z98" s="115"/>
      <c r="AA98" s="115"/>
      <c r="AB98" s="115"/>
      <c r="AC98" s="115"/>
      <c r="AD98" s="115"/>
      <c r="AE98" s="115"/>
      <c r="AF98" s="102"/>
    </row>
    <row r="99" spans="1:32" x14ac:dyDescent="0.35">
      <c r="A99" s="115"/>
      <c r="B99" s="115"/>
      <c r="C99" s="115"/>
      <c r="D99" s="115"/>
      <c r="E99" s="115"/>
      <c r="F99" s="115"/>
      <c r="G99" s="116"/>
      <c r="H99" s="115"/>
      <c r="I99" s="118"/>
      <c r="J99" s="118"/>
      <c r="K99" s="115"/>
      <c r="L99" s="115"/>
      <c r="M99" s="115"/>
      <c r="N99" s="115"/>
      <c r="O99" s="115"/>
      <c r="P99" s="115"/>
      <c r="Q99" s="115"/>
      <c r="R99" s="115"/>
      <c r="S99" s="115"/>
      <c r="T99" s="115"/>
      <c r="U99" s="115"/>
      <c r="V99" s="115"/>
      <c r="W99" s="115"/>
      <c r="X99" s="118"/>
      <c r="Y99" s="115"/>
      <c r="Z99" s="115"/>
      <c r="AA99" s="115"/>
      <c r="AB99" s="115"/>
      <c r="AC99" s="115"/>
      <c r="AD99" s="115"/>
      <c r="AE99" s="115"/>
      <c r="AF99" s="102"/>
    </row>
    <row r="100" spans="1:32" ht="18.5" x14ac:dyDescent="0.45">
      <c r="A100" s="252" t="s">
        <v>343</v>
      </c>
      <c r="B100" s="118"/>
      <c r="C100" s="118"/>
      <c r="D100" s="118"/>
      <c r="E100" s="118"/>
      <c r="F100" s="118"/>
      <c r="G100" s="132"/>
      <c r="H100" s="115"/>
      <c r="I100" s="115"/>
      <c r="J100" s="115"/>
      <c r="K100" s="115"/>
      <c r="L100" s="115"/>
      <c r="M100" s="115"/>
      <c r="N100" s="115"/>
      <c r="O100" s="115"/>
      <c r="P100" s="115"/>
      <c r="Q100" s="115"/>
      <c r="R100" s="115"/>
      <c r="S100" s="115"/>
      <c r="T100" s="115"/>
      <c r="U100" s="115"/>
      <c r="V100" s="115"/>
      <c r="W100" s="115"/>
      <c r="X100" s="118"/>
      <c r="Y100" s="115"/>
      <c r="Z100" s="115"/>
      <c r="AA100" s="115"/>
      <c r="AB100" s="115"/>
      <c r="AC100" s="115"/>
      <c r="AD100" s="115"/>
      <c r="AE100" s="115"/>
      <c r="AF100" s="102"/>
    </row>
    <row r="101" spans="1:32" ht="16" thickBot="1" x14ac:dyDescent="0.4">
      <c r="A101" s="123"/>
      <c r="B101" s="118"/>
      <c r="C101" s="118"/>
      <c r="D101" s="118"/>
      <c r="E101" s="118"/>
      <c r="F101" s="118"/>
      <c r="G101" s="235" t="s">
        <v>673</v>
      </c>
      <c r="H101" s="251"/>
      <c r="I101" s="118"/>
      <c r="J101" s="118"/>
      <c r="K101" s="115"/>
      <c r="L101" s="115"/>
      <c r="M101" s="115"/>
      <c r="N101" s="115"/>
      <c r="O101" s="115"/>
      <c r="P101" s="115"/>
      <c r="Q101" s="115"/>
      <c r="R101" s="115"/>
      <c r="S101" s="115"/>
      <c r="T101" s="115"/>
      <c r="U101" s="115"/>
      <c r="V101" s="115"/>
      <c r="W101" s="115"/>
      <c r="X101" s="118"/>
      <c r="Y101" s="115"/>
      <c r="Z101" s="115"/>
      <c r="AA101" s="115"/>
      <c r="AB101" s="115"/>
      <c r="AC101" s="115"/>
      <c r="AD101" s="115"/>
      <c r="AE101" s="115"/>
      <c r="AF101" s="102"/>
    </row>
    <row r="102" spans="1:32" ht="16.5" x14ac:dyDescent="0.45">
      <c r="A102" s="119"/>
      <c r="B102" s="120"/>
      <c r="C102" s="120"/>
      <c r="D102" s="120"/>
      <c r="E102" s="120"/>
      <c r="F102" s="120"/>
      <c r="G102" s="136" t="s">
        <v>694</v>
      </c>
      <c r="H102" s="160">
        <v>300</v>
      </c>
      <c r="I102" s="122" t="s">
        <v>147</v>
      </c>
      <c r="J102" s="118"/>
      <c r="K102" s="115"/>
      <c r="L102" s="115"/>
      <c r="M102" s="115"/>
      <c r="N102" s="115"/>
      <c r="O102" s="115"/>
      <c r="P102" s="115"/>
      <c r="Q102" s="115"/>
      <c r="R102" s="115"/>
      <c r="S102" s="115"/>
      <c r="T102" s="115"/>
      <c r="U102" s="115"/>
      <c r="V102" s="115"/>
      <c r="W102" s="115"/>
      <c r="X102" s="118"/>
      <c r="Y102" s="115"/>
      <c r="Z102" s="115"/>
      <c r="AA102" s="115"/>
      <c r="AB102" s="115"/>
      <c r="AC102" s="115"/>
      <c r="AD102" s="115"/>
      <c r="AE102" s="115"/>
      <c r="AF102" s="102"/>
    </row>
    <row r="103" spans="1:32" ht="17" thickBot="1" x14ac:dyDescent="0.5">
      <c r="A103" s="130"/>
      <c r="B103" s="127"/>
      <c r="C103" s="127"/>
      <c r="D103" s="127"/>
      <c r="E103" s="127"/>
      <c r="F103" s="127"/>
      <c r="G103" s="134" t="s">
        <v>692</v>
      </c>
      <c r="H103" s="166">
        <v>10</v>
      </c>
      <c r="I103" s="128" t="s">
        <v>340</v>
      </c>
      <c r="J103" s="118"/>
      <c r="K103" s="115"/>
      <c r="L103" s="115"/>
      <c r="M103" s="115"/>
      <c r="N103" s="115"/>
      <c r="O103" s="115"/>
      <c r="P103" s="115"/>
      <c r="Q103" s="115"/>
      <c r="R103" s="115"/>
      <c r="S103" s="115"/>
      <c r="T103" s="115"/>
      <c r="U103" s="115"/>
      <c r="V103" s="115"/>
      <c r="W103" s="115"/>
      <c r="X103" s="118"/>
      <c r="Y103" s="115"/>
      <c r="Z103" s="115"/>
      <c r="AA103" s="115"/>
      <c r="AB103" s="115"/>
      <c r="AC103" s="115"/>
      <c r="AD103" s="115"/>
      <c r="AE103" s="115"/>
      <c r="AF103" s="102"/>
    </row>
    <row r="104" spans="1:32" x14ac:dyDescent="0.35">
      <c r="A104" s="123"/>
      <c r="B104" s="118"/>
      <c r="C104" s="118"/>
      <c r="D104" s="118"/>
      <c r="E104" s="118"/>
      <c r="F104" s="115"/>
      <c r="G104" s="116"/>
      <c r="H104" s="115"/>
      <c r="I104" s="115"/>
      <c r="J104" s="118"/>
      <c r="K104" s="115"/>
      <c r="L104" s="115"/>
      <c r="M104" s="115"/>
      <c r="N104" s="115"/>
      <c r="O104" s="115"/>
      <c r="P104" s="115"/>
      <c r="Q104" s="115"/>
      <c r="R104" s="115"/>
      <c r="S104" s="115"/>
      <c r="T104" s="115"/>
      <c r="U104" s="115"/>
      <c r="V104" s="115"/>
      <c r="W104" s="115"/>
      <c r="X104" s="118"/>
      <c r="Y104" s="115"/>
      <c r="Z104" s="115"/>
      <c r="AA104" s="115"/>
      <c r="AB104" s="115"/>
      <c r="AC104" s="115"/>
      <c r="AD104" s="115"/>
      <c r="AE104" s="115"/>
      <c r="AF104" s="102"/>
    </row>
    <row r="105" spans="1:32" ht="16" thickBot="1" x14ac:dyDescent="0.4">
      <c r="A105" s="123"/>
      <c r="B105" s="118"/>
      <c r="C105" s="118"/>
      <c r="D105" s="118"/>
      <c r="E105" s="118"/>
      <c r="F105" s="118"/>
      <c r="G105" s="235" t="s">
        <v>674</v>
      </c>
      <c r="H105" s="118"/>
      <c r="I105" s="118"/>
      <c r="J105" s="118"/>
      <c r="K105" s="115"/>
      <c r="L105" s="115"/>
      <c r="M105" s="115"/>
      <c r="N105" s="115"/>
      <c r="O105" s="115"/>
      <c r="P105" s="115"/>
      <c r="Q105" s="115"/>
      <c r="R105" s="115"/>
      <c r="S105" s="115"/>
      <c r="T105" s="115"/>
      <c r="U105" s="115"/>
      <c r="V105" s="115"/>
      <c r="W105" s="115"/>
      <c r="X105" s="118"/>
      <c r="Y105" s="115"/>
      <c r="Z105" s="115"/>
      <c r="AA105" s="115"/>
      <c r="AB105" s="115"/>
      <c r="AC105" s="115"/>
      <c r="AD105" s="115"/>
      <c r="AE105" s="115"/>
      <c r="AF105" s="102"/>
    </row>
    <row r="106" spans="1:32" ht="16.5" x14ac:dyDescent="0.45">
      <c r="A106" s="119"/>
      <c r="B106" s="120"/>
      <c r="C106" s="120"/>
      <c r="D106" s="120"/>
      <c r="E106" s="120"/>
      <c r="F106" s="120"/>
      <c r="G106" s="136" t="s">
        <v>695</v>
      </c>
      <c r="H106" s="160">
        <v>300</v>
      </c>
      <c r="I106" s="122" t="s">
        <v>147</v>
      </c>
      <c r="J106" s="118"/>
      <c r="K106" s="115"/>
      <c r="L106" s="115"/>
      <c r="M106" s="115"/>
      <c r="N106" s="115"/>
      <c r="O106" s="115"/>
      <c r="P106" s="115"/>
      <c r="Q106" s="115"/>
      <c r="R106" s="115"/>
      <c r="S106" s="115"/>
      <c r="T106" s="115"/>
      <c r="U106" s="115"/>
      <c r="V106" s="115"/>
      <c r="W106" s="115"/>
      <c r="X106" s="118"/>
      <c r="Y106" s="115"/>
      <c r="Z106" s="115"/>
      <c r="AA106" s="115"/>
      <c r="AB106" s="115"/>
      <c r="AC106" s="115"/>
      <c r="AD106" s="115"/>
      <c r="AE106" s="115"/>
      <c r="AF106" s="102"/>
    </row>
    <row r="107" spans="1:32" ht="17" thickBot="1" x14ac:dyDescent="0.5">
      <c r="A107" s="130"/>
      <c r="B107" s="127"/>
      <c r="C107" s="127"/>
      <c r="D107" s="127"/>
      <c r="E107" s="127"/>
      <c r="F107" s="127"/>
      <c r="G107" s="134" t="s">
        <v>693</v>
      </c>
      <c r="H107" s="166">
        <v>10</v>
      </c>
      <c r="I107" s="128" t="s">
        <v>340</v>
      </c>
      <c r="J107" s="118"/>
      <c r="K107" s="115"/>
      <c r="L107" s="115"/>
      <c r="M107" s="115"/>
      <c r="N107" s="115"/>
      <c r="O107" s="115"/>
      <c r="P107" s="115"/>
      <c r="Q107" s="115"/>
      <c r="R107" s="115"/>
      <c r="S107" s="115"/>
      <c r="T107" s="115"/>
      <c r="U107" s="115"/>
      <c r="V107" s="115"/>
      <c r="W107" s="115"/>
      <c r="X107" s="118"/>
      <c r="Y107" s="115"/>
      <c r="Z107" s="115"/>
      <c r="AA107" s="115"/>
      <c r="AB107" s="115"/>
      <c r="AC107" s="115"/>
      <c r="AD107" s="115"/>
      <c r="AE107" s="115"/>
      <c r="AF107" s="102"/>
    </row>
    <row r="108" spans="1:32" x14ac:dyDescent="0.35">
      <c r="A108" s="118"/>
      <c r="B108" s="118"/>
      <c r="C108" s="118"/>
      <c r="D108" s="118"/>
      <c r="E108" s="118"/>
      <c r="F108" s="115"/>
      <c r="G108" s="116"/>
      <c r="H108" s="115"/>
      <c r="I108" s="115"/>
      <c r="J108" s="118"/>
      <c r="K108" s="115"/>
      <c r="L108" s="115"/>
      <c r="M108" s="115"/>
      <c r="N108" s="115"/>
      <c r="O108" s="115"/>
      <c r="P108" s="115"/>
      <c r="Q108" s="115"/>
      <c r="R108" s="115"/>
      <c r="S108" s="115"/>
      <c r="T108" s="115"/>
      <c r="U108" s="115"/>
      <c r="V108" s="115"/>
      <c r="W108" s="115"/>
      <c r="X108" s="118"/>
      <c r="Y108" s="115"/>
      <c r="Z108" s="115"/>
      <c r="AA108" s="115"/>
      <c r="AB108" s="115"/>
      <c r="AC108" s="115"/>
      <c r="AD108" s="115"/>
      <c r="AE108" s="115"/>
      <c r="AF108" s="102"/>
    </row>
    <row r="109" spans="1:32" ht="16" thickBot="1" x14ac:dyDescent="0.4">
      <c r="A109" s="118"/>
      <c r="B109" s="118"/>
      <c r="C109" s="118"/>
      <c r="D109" s="118"/>
      <c r="E109" s="118"/>
      <c r="F109" s="118"/>
      <c r="G109" s="235" t="s">
        <v>675</v>
      </c>
      <c r="H109" s="118"/>
      <c r="I109" s="118"/>
      <c r="J109" s="118"/>
      <c r="K109" s="115"/>
      <c r="L109" s="115"/>
      <c r="M109" s="115"/>
      <c r="N109" s="115"/>
      <c r="O109" s="115"/>
      <c r="P109" s="115"/>
      <c r="Q109" s="115"/>
      <c r="R109" s="115"/>
      <c r="S109" s="115"/>
      <c r="T109" s="115"/>
      <c r="U109" s="115"/>
      <c r="V109" s="115"/>
      <c r="W109" s="115"/>
      <c r="X109" s="118"/>
      <c r="Y109" s="115"/>
      <c r="Z109" s="115"/>
      <c r="AA109" s="115"/>
      <c r="AB109" s="115"/>
      <c r="AC109" s="115"/>
      <c r="AD109" s="115"/>
      <c r="AE109" s="115"/>
      <c r="AF109" s="102"/>
    </row>
    <row r="110" spans="1:32" ht="16.5" x14ac:dyDescent="0.45">
      <c r="A110" s="119"/>
      <c r="B110" s="120"/>
      <c r="C110" s="120"/>
      <c r="D110" s="120"/>
      <c r="E110" s="120"/>
      <c r="F110" s="120"/>
      <c r="G110" s="136" t="s">
        <v>696</v>
      </c>
      <c r="H110" s="160">
        <v>500</v>
      </c>
      <c r="I110" s="122" t="s">
        <v>147</v>
      </c>
      <c r="J110" s="115"/>
      <c r="K110" s="115"/>
      <c r="L110" s="115"/>
      <c r="M110" s="115"/>
      <c r="N110" s="115"/>
      <c r="O110" s="115"/>
      <c r="P110" s="115"/>
      <c r="Q110" s="115"/>
      <c r="R110" s="115"/>
      <c r="S110" s="115"/>
      <c r="T110" s="115"/>
      <c r="U110" s="115"/>
      <c r="V110" s="115"/>
      <c r="W110" s="115"/>
      <c r="X110" s="118"/>
      <c r="Y110" s="115"/>
      <c r="Z110" s="115"/>
      <c r="AA110" s="115"/>
      <c r="AB110" s="115"/>
      <c r="AC110" s="115"/>
      <c r="AD110" s="115"/>
      <c r="AE110" s="115"/>
      <c r="AF110" s="102"/>
    </row>
    <row r="111" spans="1:32" ht="17" thickBot="1" x14ac:dyDescent="0.5">
      <c r="A111" s="130"/>
      <c r="B111" s="127"/>
      <c r="C111" s="127"/>
      <c r="D111" s="127"/>
      <c r="E111" s="127"/>
      <c r="F111" s="127"/>
      <c r="G111" s="134" t="s">
        <v>691</v>
      </c>
      <c r="H111" s="166">
        <v>10</v>
      </c>
      <c r="I111" s="128" t="s">
        <v>340</v>
      </c>
      <c r="J111" s="115"/>
      <c r="K111" s="115"/>
      <c r="L111" s="115"/>
      <c r="M111" s="115"/>
      <c r="N111" s="115"/>
      <c r="O111" s="115"/>
      <c r="P111" s="115"/>
      <c r="Q111" s="115"/>
      <c r="R111" s="115"/>
      <c r="S111" s="115"/>
      <c r="T111" s="115"/>
      <c r="U111" s="115"/>
      <c r="V111" s="115"/>
      <c r="W111" s="115"/>
      <c r="X111" s="118"/>
      <c r="Y111" s="115"/>
      <c r="Z111" s="115"/>
      <c r="AA111" s="115"/>
      <c r="AB111" s="115"/>
      <c r="AC111" s="115"/>
      <c r="AD111" s="115"/>
      <c r="AE111" s="115"/>
      <c r="AF111" s="102"/>
    </row>
    <row r="112" spans="1:32" x14ac:dyDescent="0.35">
      <c r="A112" s="115"/>
      <c r="B112" s="115"/>
      <c r="C112" s="115"/>
      <c r="D112" s="115"/>
      <c r="E112" s="115"/>
      <c r="F112" s="115"/>
      <c r="G112" s="116"/>
      <c r="H112" s="115"/>
      <c r="I112" s="115"/>
      <c r="J112" s="115"/>
      <c r="K112" s="115"/>
      <c r="L112" s="115"/>
      <c r="M112" s="115"/>
      <c r="N112" s="115"/>
      <c r="O112" s="115"/>
      <c r="P112" s="115"/>
      <c r="Q112" s="115"/>
      <c r="R112" s="115"/>
      <c r="S112" s="115"/>
      <c r="T112" s="115"/>
      <c r="U112" s="115"/>
      <c r="V112" s="115"/>
      <c r="W112" s="115"/>
      <c r="X112" s="118"/>
      <c r="Y112" s="115"/>
      <c r="Z112" s="115"/>
      <c r="AA112" s="115"/>
      <c r="AB112" s="115"/>
      <c r="AC112" s="115"/>
      <c r="AD112" s="115"/>
      <c r="AE112" s="115"/>
      <c r="AF112" s="102"/>
    </row>
    <row r="113" spans="1:32" x14ac:dyDescent="0.35">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8"/>
      <c r="Y113" s="115"/>
      <c r="Z113" s="115"/>
      <c r="AA113" s="115"/>
      <c r="AB113" s="115"/>
      <c r="AC113" s="115"/>
      <c r="AD113" s="115"/>
      <c r="AE113" s="115"/>
      <c r="AF113" s="102"/>
    </row>
    <row r="114" spans="1:32" x14ac:dyDescent="0.35">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8"/>
      <c r="Y114" s="115"/>
      <c r="Z114" s="115"/>
      <c r="AA114" s="115"/>
      <c r="AB114" s="115"/>
      <c r="AC114" s="115"/>
      <c r="AD114" s="115"/>
      <c r="AE114" s="115"/>
      <c r="AF114" s="102"/>
    </row>
    <row r="115" spans="1:32" x14ac:dyDescent="0.35">
      <c r="A115" s="115"/>
      <c r="B115" s="115"/>
      <c r="C115" s="115"/>
      <c r="D115" s="115"/>
      <c r="E115" s="115"/>
      <c r="F115" s="115"/>
      <c r="G115" s="116"/>
      <c r="H115" s="115"/>
      <c r="I115" s="115"/>
      <c r="J115" s="115"/>
      <c r="K115" s="115"/>
      <c r="L115" s="115"/>
      <c r="M115" s="115"/>
      <c r="N115" s="115"/>
      <c r="O115" s="115"/>
      <c r="P115" s="115"/>
      <c r="Q115" s="115"/>
      <c r="R115" s="115"/>
      <c r="S115" s="115"/>
      <c r="T115" s="115"/>
      <c r="U115" s="115"/>
      <c r="V115" s="115"/>
      <c r="W115" s="115"/>
      <c r="X115" s="118"/>
      <c r="Y115" s="115"/>
      <c r="Z115" s="115"/>
      <c r="AA115" s="115"/>
      <c r="AB115" s="115"/>
      <c r="AC115" s="115"/>
      <c r="AD115" s="115"/>
      <c r="AE115" s="115"/>
      <c r="AF115" s="102"/>
    </row>
    <row r="116" spans="1:32" x14ac:dyDescent="0.35">
      <c r="A116" s="115"/>
      <c r="B116" s="115"/>
      <c r="C116" s="115"/>
      <c r="D116" s="115"/>
      <c r="E116" s="115"/>
      <c r="F116" s="115"/>
      <c r="G116" s="116"/>
      <c r="H116" s="115"/>
      <c r="I116" s="115"/>
      <c r="J116" s="115"/>
      <c r="K116" s="115"/>
      <c r="L116" s="115"/>
      <c r="M116" s="115"/>
      <c r="N116" s="115"/>
      <c r="O116" s="115"/>
      <c r="P116" s="115"/>
      <c r="Q116" s="115"/>
      <c r="R116" s="115"/>
      <c r="S116" s="115"/>
      <c r="T116" s="115"/>
      <c r="U116" s="115"/>
      <c r="V116" s="115"/>
      <c r="W116" s="115"/>
      <c r="X116" s="118"/>
      <c r="Y116" s="115"/>
      <c r="Z116" s="115"/>
      <c r="AA116" s="115"/>
      <c r="AB116" s="115"/>
      <c r="AC116" s="115"/>
      <c r="AD116" s="115"/>
      <c r="AE116" s="115"/>
      <c r="AF116" s="102"/>
    </row>
    <row r="117" spans="1:32" x14ac:dyDescent="0.35">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8"/>
      <c r="Y117" s="115"/>
      <c r="Z117" s="115"/>
      <c r="AA117" s="115"/>
      <c r="AB117" s="115"/>
      <c r="AC117" s="115"/>
      <c r="AD117" s="115"/>
      <c r="AE117" s="115"/>
      <c r="AF117" s="102"/>
    </row>
    <row r="118" spans="1:32" x14ac:dyDescent="0.35">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8"/>
      <c r="Y118" s="115"/>
      <c r="Z118" s="115"/>
      <c r="AA118" s="115"/>
      <c r="AB118" s="115"/>
      <c r="AC118" s="115"/>
      <c r="AD118" s="115"/>
      <c r="AE118" s="115"/>
      <c r="AF118" s="102"/>
    </row>
    <row r="119" spans="1:32" x14ac:dyDescent="0.35">
      <c r="A119" s="115"/>
      <c r="B119" s="115"/>
      <c r="C119" s="115"/>
      <c r="D119" s="115"/>
      <c r="E119" s="115"/>
      <c r="F119" s="115"/>
      <c r="G119" s="116"/>
      <c r="H119" s="115"/>
      <c r="I119" s="115"/>
      <c r="J119" s="115"/>
      <c r="K119" s="115"/>
      <c r="L119" s="115"/>
      <c r="M119" s="115"/>
      <c r="N119" s="115"/>
      <c r="O119" s="115"/>
      <c r="P119" s="115"/>
      <c r="Q119" s="115"/>
      <c r="R119" s="115"/>
      <c r="S119" s="115"/>
      <c r="T119" s="115"/>
      <c r="U119" s="115"/>
      <c r="V119" s="115"/>
      <c r="W119" s="115"/>
      <c r="X119" s="118"/>
      <c r="Y119" s="115"/>
      <c r="Z119" s="115"/>
      <c r="AA119" s="115"/>
      <c r="AB119" s="115"/>
      <c r="AC119" s="115"/>
      <c r="AD119" s="115"/>
      <c r="AE119" s="115"/>
      <c r="AF119" s="102"/>
    </row>
    <row r="120" spans="1:32" x14ac:dyDescent="0.35">
      <c r="A120" s="115"/>
      <c r="B120" s="115"/>
      <c r="C120" s="115"/>
      <c r="D120" s="115"/>
      <c r="E120" s="115"/>
      <c r="F120" s="115"/>
      <c r="G120" s="116"/>
      <c r="H120" s="115"/>
      <c r="I120" s="115"/>
      <c r="J120" s="115"/>
      <c r="K120" s="115"/>
      <c r="L120" s="115"/>
      <c r="M120" s="115"/>
      <c r="N120" s="115"/>
      <c r="O120" s="115"/>
      <c r="P120" s="115"/>
      <c r="Q120" s="115"/>
      <c r="R120" s="115"/>
      <c r="S120" s="115"/>
      <c r="T120" s="115"/>
      <c r="U120" s="115"/>
      <c r="V120" s="115"/>
      <c r="W120" s="115"/>
      <c r="X120" s="118"/>
      <c r="Y120" s="115"/>
      <c r="Z120" s="115"/>
      <c r="AA120" s="115"/>
      <c r="AB120" s="115"/>
      <c r="AC120" s="115"/>
      <c r="AD120" s="115"/>
      <c r="AE120" s="115"/>
      <c r="AF120" s="102"/>
    </row>
    <row r="121" spans="1:32" x14ac:dyDescent="0.35">
      <c r="A121" s="115"/>
      <c r="B121" s="115"/>
      <c r="C121" s="115"/>
      <c r="D121" s="115"/>
      <c r="E121" s="115"/>
      <c r="F121" s="115"/>
      <c r="G121" s="116"/>
      <c r="H121" s="115"/>
      <c r="I121" s="115"/>
      <c r="J121" s="115"/>
      <c r="K121" s="115"/>
      <c r="L121" s="115"/>
      <c r="M121" s="115"/>
      <c r="N121" s="115"/>
      <c r="O121" s="115"/>
      <c r="P121" s="115"/>
      <c r="Q121" s="115"/>
      <c r="R121" s="115"/>
      <c r="S121" s="115"/>
      <c r="T121" s="115"/>
      <c r="U121" s="115"/>
      <c r="V121" s="115"/>
      <c r="W121" s="115"/>
      <c r="X121" s="118"/>
      <c r="Y121" s="115"/>
      <c r="Z121" s="115"/>
      <c r="AA121" s="115"/>
      <c r="AB121" s="115"/>
      <c r="AC121" s="115"/>
      <c r="AD121" s="115"/>
      <c r="AE121" s="115"/>
      <c r="AF121" s="102"/>
    </row>
    <row r="122" spans="1:32" x14ac:dyDescent="0.35">
      <c r="A122" s="115"/>
      <c r="B122" s="115"/>
      <c r="C122" s="115"/>
      <c r="D122" s="115"/>
      <c r="E122" s="115"/>
      <c r="F122" s="115"/>
      <c r="G122" s="116"/>
      <c r="H122" s="115"/>
      <c r="I122" s="115"/>
      <c r="J122" s="115"/>
      <c r="K122" s="115"/>
      <c r="L122" s="115"/>
      <c r="M122" s="115"/>
      <c r="N122" s="115"/>
      <c r="O122" s="115"/>
      <c r="P122" s="115"/>
      <c r="Q122" s="115"/>
      <c r="R122" s="115"/>
      <c r="S122" s="115"/>
      <c r="T122" s="115"/>
      <c r="U122" s="115"/>
      <c r="V122" s="115"/>
      <c r="W122" s="115"/>
      <c r="X122" s="118"/>
      <c r="Y122" s="115"/>
      <c r="Z122" s="115"/>
      <c r="AA122" s="115"/>
      <c r="AB122" s="115"/>
      <c r="AC122" s="115"/>
      <c r="AD122" s="115"/>
      <c r="AE122" s="115"/>
      <c r="AF122" s="102"/>
    </row>
    <row r="123" spans="1:32" x14ac:dyDescent="0.35">
      <c r="A123" s="155"/>
      <c r="B123" s="155"/>
      <c r="C123" s="155"/>
      <c r="D123" s="155"/>
      <c r="E123" s="155"/>
      <c r="F123" s="155"/>
      <c r="G123" s="156"/>
      <c r="H123" s="155"/>
      <c r="I123" s="155"/>
      <c r="J123" s="155"/>
      <c r="K123" s="155"/>
      <c r="L123" s="155"/>
      <c r="M123" s="155"/>
      <c r="N123" s="155"/>
      <c r="O123" s="155"/>
      <c r="P123" s="155"/>
      <c r="Q123" s="155"/>
      <c r="R123" s="155"/>
      <c r="S123" s="155"/>
      <c r="T123" s="155"/>
      <c r="U123" s="155"/>
      <c r="V123" s="155"/>
      <c r="W123" s="155"/>
      <c r="X123" s="104"/>
      <c r="Y123" s="155"/>
      <c r="Z123" s="155"/>
      <c r="AA123" s="155"/>
      <c r="AB123" s="155"/>
      <c r="AC123" s="155"/>
      <c r="AD123" s="155"/>
      <c r="AE123" s="155"/>
      <c r="AF123" s="102"/>
    </row>
  </sheetData>
  <sheetProtection algorithmName="SHA-512" hashValue="ktBWQPtiABsOugzP/qaPSQu3Xzd/GpKQE2kfMOymsKpqbt841sFWA8VIDfj8ZPM9nsHMYiV0vy9p6zCtPqodYA==" saltValue="TsFZEY5sUs6IoGQVde6Mhg==" spinCount="100000" sheet="1" objects="1" scenarios="1" selectLockedCells="1"/>
  <mergeCells count="1">
    <mergeCell ref="P3:R3"/>
  </mergeCells>
  <conditionalFormatting sqref="H59">
    <cfRule type="expression" dxfId="24" priority="41">
      <formula>$H$8&gt;$H$9</formula>
    </cfRule>
    <cfRule type="expression" dxfId="23" priority="42">
      <formula>$H$8&lt;$H$7</formula>
    </cfRule>
  </conditionalFormatting>
  <conditionalFormatting sqref="H14">
    <cfRule type="cellIs" dxfId="22" priority="10" operator="greaterThan">
      <formula>2200</formula>
    </cfRule>
    <cfRule type="cellIs" dxfId="21" priority="11" operator="lessThan">
      <formula>50</formula>
    </cfRule>
  </conditionalFormatting>
  <conditionalFormatting sqref="H7">
    <cfRule type="cellIs" dxfId="20" priority="5" operator="greaterThan">
      <formula>VIN_op_max_56</formula>
    </cfRule>
    <cfRule type="cellIs" dxfId="19" priority="6" operator="greaterThan">
      <formula>VIN_op_max</formula>
    </cfRule>
    <cfRule type="cellIs" dxfId="18" priority="7" operator="lessThan">
      <formula>VIN_op_min</formula>
    </cfRule>
  </conditionalFormatting>
  <conditionalFormatting sqref="H8">
    <cfRule type="cellIs" dxfId="17" priority="43" operator="notBetween">
      <formula>$H$7</formula>
      <formula>$H$9</formula>
    </cfRule>
  </conditionalFormatting>
  <conditionalFormatting sqref="H9">
    <cfRule type="cellIs" dxfId="16" priority="1" operator="greaterThan">
      <formula>VIN_op_max_56</formula>
    </cfRule>
    <cfRule type="cellIs" dxfId="15" priority="3" operator="greaterThan">
      <formula>VIN_op_max</formula>
    </cfRule>
    <cfRule type="cellIs" dxfId="14" priority="4" operator="lessThan">
      <formula>VIN_op_min</formula>
    </cfRule>
  </conditionalFormatting>
  <hyperlinks>
    <hyperlink ref="P3" location="Licenses!A1" display="TERMS OF USE" xr:uid="{520B36B2-99BB-4BBD-B6B0-9F4C403615A4}"/>
  </hyperlinks>
  <pageMargins left="0.2" right="0.2" top="0.25" bottom="0.25" header="0" footer="0"/>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52" r:id="rId4" name="Drop Down 628">
              <controlPr defaultSize="0" autoLine="0" autoPict="0">
                <anchor moveWithCells="1">
                  <from>
                    <xdr:col>20</xdr:col>
                    <xdr:colOff>114300</xdr:colOff>
                    <xdr:row>17</xdr:row>
                    <xdr:rowOff>19050</xdr:rowOff>
                  </from>
                  <to>
                    <xdr:col>25</xdr:col>
                    <xdr:colOff>412750</xdr:colOff>
                    <xdr:row>18</xdr:row>
                    <xdr:rowOff>171450</xdr:rowOff>
                  </to>
                </anchor>
              </controlPr>
            </control>
          </mc:Choice>
        </mc:AlternateContent>
        <mc:AlternateContent xmlns:mc="http://schemas.openxmlformats.org/markup-compatibility/2006">
          <mc:Choice Requires="x14">
            <control shapeId="1060" r:id="rId5" name="Spinner 36">
              <controlPr defaultSize="0" autoPict="0">
                <anchor moveWithCells="1" sizeWithCells="1">
                  <from>
                    <xdr:col>8</xdr:col>
                    <xdr:colOff>12700</xdr:colOff>
                    <xdr:row>58</xdr:row>
                    <xdr:rowOff>12700</xdr:rowOff>
                  </from>
                  <to>
                    <xdr:col>9</xdr:col>
                    <xdr:colOff>0</xdr:colOff>
                    <xdr:row>59</xdr:row>
                    <xdr:rowOff>95250</xdr:rowOff>
                  </to>
                </anchor>
              </controlPr>
            </control>
          </mc:Choice>
        </mc:AlternateContent>
        <mc:AlternateContent xmlns:mc="http://schemas.openxmlformats.org/markup-compatibility/2006">
          <mc:Choice Requires="x14">
            <control shapeId="1064" r:id="rId6" name="Drop Down 40">
              <controlPr defaultSize="0" autoLine="0" autoPict="0">
                <anchor moveWithCells="1">
                  <from>
                    <xdr:col>7</xdr:col>
                    <xdr:colOff>12700</xdr:colOff>
                    <xdr:row>11</xdr:row>
                    <xdr:rowOff>0</xdr:rowOff>
                  </from>
                  <to>
                    <xdr:col>9</xdr:col>
                    <xdr:colOff>12700</xdr:colOff>
                    <xdr:row>12</xdr:row>
                    <xdr:rowOff>107950</xdr:rowOff>
                  </to>
                </anchor>
              </controlPr>
            </control>
          </mc:Choice>
        </mc:AlternateContent>
        <mc:AlternateContent xmlns:mc="http://schemas.openxmlformats.org/markup-compatibility/2006">
          <mc:Choice Requires="x14">
            <control shapeId="1157" r:id="rId7" name="Drop Down 133">
              <controlPr defaultSize="0" autoLine="0" autoPict="0">
                <anchor moveWithCells="1">
                  <from>
                    <xdr:col>7</xdr:col>
                    <xdr:colOff>12700</xdr:colOff>
                    <xdr:row>9</xdr:row>
                    <xdr:rowOff>31750</xdr:rowOff>
                  </from>
                  <to>
                    <xdr:col>9</xdr:col>
                    <xdr:colOff>0</xdr:colOff>
                    <xdr:row>10</xdr:row>
                    <xdr:rowOff>69850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AC968A9C-58F4-4EB9-B20E-EEB4BEC63EEA}">
            <xm:f>Variable_Management!$B$175=2</xm:f>
            <x14:dxf>
              <font>
                <strike/>
              </font>
              <fill>
                <patternFill>
                  <bgColor theme="0" tint="-0.24994659260841701"/>
                </patternFill>
              </fill>
            </x14:dxf>
          </x14:cfRule>
          <xm:sqref>H62</xm:sqref>
        </x14:conditionalFormatting>
        <x14:conditionalFormatting xmlns:xm="http://schemas.microsoft.com/office/excel/2006/main">
          <x14:cfRule type="expression" priority="31" id="{6AEF7AEB-8233-47F6-AF37-19EB8376E645}">
            <xm:f>Variable_Management!$B$175=2</xm:f>
            <x14:dxf>
              <font>
                <strike/>
              </font>
              <fill>
                <patternFill>
                  <bgColor theme="0" tint="-0.24994659260841701"/>
                </patternFill>
              </fill>
            </x14:dxf>
          </x14:cfRule>
          <xm:sqref>H68:H72</xm:sqref>
        </x14:conditionalFormatting>
        <x14:conditionalFormatting xmlns:xm="http://schemas.microsoft.com/office/excel/2006/main">
          <x14:cfRule type="expression" priority="30" id="{81FE1FA5-D030-47BB-8660-B00C315F14DB}">
            <xm:f>Variable_Management!$B$175=2</xm:f>
            <x14:dxf>
              <font>
                <strike/>
              </font>
              <fill>
                <patternFill>
                  <bgColor theme="0" tint="-0.24994659260841701"/>
                </patternFill>
              </fill>
            </x14:dxf>
          </x14:cfRule>
          <xm:sqref>H75:H77</xm:sqref>
        </x14:conditionalFormatting>
        <x14:conditionalFormatting xmlns:xm="http://schemas.microsoft.com/office/excel/2006/main">
          <x14:cfRule type="expression" priority="29" id="{E6F4B62A-2486-4776-951C-54AB970AD7E6}">
            <xm:f>Variable_Management!$B$175=1</xm:f>
            <x14:dxf>
              <font>
                <strike/>
              </font>
              <fill>
                <patternFill>
                  <bgColor theme="0" tint="-0.24994659260841701"/>
                </patternFill>
              </fill>
            </x14:dxf>
          </x14:cfRule>
          <xm:sqref>H88</xm:sqref>
        </x14:conditionalFormatting>
        <x14:conditionalFormatting xmlns:xm="http://schemas.microsoft.com/office/excel/2006/main">
          <x14:cfRule type="expression" priority="28" id="{E825D698-3E97-4429-BCA3-4B674CCA2086}">
            <xm:f>Variable_Management!$B$175=2</xm:f>
            <x14:dxf>
              <font>
                <strike/>
              </font>
              <fill>
                <patternFill>
                  <bgColor theme="0" tint="-0.24994659260841701"/>
                </patternFill>
              </fill>
            </x14:dxf>
          </x14:cfRule>
          <xm:sqref>H78:H79</xm:sqref>
        </x14:conditionalFormatting>
        <x14:conditionalFormatting xmlns:xm="http://schemas.microsoft.com/office/excel/2006/main">
          <x14:cfRule type="expression" priority="27" id="{26B2D2DD-EEF0-4676-9BB3-C4CF725A354D}">
            <xm:f>Variable_Management!$B$23=0</xm:f>
            <x14:dxf>
              <font>
                <strike val="0"/>
                <color theme="0"/>
              </font>
              <fill>
                <patternFill>
                  <bgColor theme="0"/>
                </patternFill>
              </fill>
              <border>
                <left/>
                <right/>
                <top/>
                <bottom/>
                <vertical/>
                <horizontal/>
              </border>
            </x14:dxf>
          </x14:cfRule>
          <xm:sqref>L13:O19 L39:N39</xm:sqref>
        </x14:conditionalFormatting>
        <x14:conditionalFormatting xmlns:xm="http://schemas.microsoft.com/office/excel/2006/main">
          <x14:cfRule type="expression" priority="26" id="{D8EED069-6203-4DCF-8C46-3C5EE8B9DF10}">
            <xm:f>Variable_Management!$B$32=0</xm:f>
            <x14:dxf>
              <font>
                <strike val="0"/>
                <color theme="0"/>
              </font>
              <fill>
                <patternFill>
                  <bgColor theme="0"/>
                </patternFill>
              </fill>
              <border>
                <left/>
                <right/>
                <top/>
                <bottom/>
                <vertical/>
                <horizontal/>
              </border>
            </x14:dxf>
          </x14:cfRule>
          <xm:sqref>L21:O28 R39:V39</xm:sqref>
        </x14:conditionalFormatting>
        <x14:conditionalFormatting xmlns:xm="http://schemas.microsoft.com/office/excel/2006/main">
          <x14:cfRule type="expression" priority="24" id="{A1636F6A-F43A-4AFB-95AC-F82BAB3F9F89}">
            <xm:f>Variable_Management!$B$23=0</xm:f>
            <x14:dxf>
              <font>
                <strike val="0"/>
                <color theme="0"/>
              </font>
              <fill>
                <patternFill>
                  <bgColor theme="0"/>
                </patternFill>
              </fill>
              <border>
                <left/>
                <right/>
                <top/>
                <bottom/>
                <vertical/>
                <horizontal/>
              </border>
            </x14:dxf>
          </x14:cfRule>
          <xm:sqref>N39</xm:sqref>
        </x14:conditionalFormatting>
        <x14:conditionalFormatting xmlns:xm="http://schemas.microsoft.com/office/excel/2006/main">
          <x14:cfRule type="expression" priority="23" id="{BDFF76D6-2BAE-460D-B594-665CE6C8F926}">
            <xm:f>Variable_Management!$B$23=0</xm:f>
            <x14:dxf>
              <font>
                <strike val="0"/>
                <color theme="0"/>
              </font>
              <fill>
                <patternFill>
                  <bgColor theme="0"/>
                </patternFill>
              </fill>
              <border>
                <left/>
                <right/>
                <top/>
                <bottom/>
                <vertical/>
                <horizontal/>
              </border>
            </x14:dxf>
          </x14:cfRule>
          <xm:sqref>K38:O38 K40:O43 O39</xm:sqref>
        </x14:conditionalFormatting>
        <x14:conditionalFormatting xmlns:xm="http://schemas.microsoft.com/office/excel/2006/main">
          <x14:cfRule type="expression" priority="22" id="{0A150974-020D-4E5A-BC65-8908D4CB4565}">
            <xm:f>Variable_Management!$B$32=0</xm:f>
            <x14:dxf>
              <font>
                <strike val="0"/>
                <color theme="0"/>
              </font>
              <fill>
                <patternFill>
                  <bgColor theme="0"/>
                </patternFill>
              </fill>
              <border>
                <left/>
                <right/>
                <top/>
                <bottom/>
                <vertical/>
                <horizontal/>
              </border>
            </x14:dxf>
          </x14:cfRule>
          <xm:sqref>Q38:W38 Q40:W43 W39</xm:sqref>
        </x14:conditionalFormatting>
        <x14:conditionalFormatting xmlns:xm="http://schemas.microsoft.com/office/excel/2006/main">
          <x14:cfRule type="expression" priority="21" id="{76EB9617-E5DB-468F-B8A0-DF3F0F41DE32}">
            <xm:f>Variable_Management!$B$175=1</xm:f>
            <x14:dxf>
              <font>
                <strike/>
              </font>
              <fill>
                <patternFill>
                  <bgColor theme="0" tint="-0.24994659260841701"/>
                </patternFill>
              </fill>
            </x14:dxf>
          </x14:cfRule>
          <xm:sqref>H47:H49</xm:sqref>
        </x14:conditionalFormatting>
        <x14:conditionalFormatting xmlns:xm="http://schemas.microsoft.com/office/excel/2006/main">
          <x14:cfRule type="expression" priority="19" id="{345BC91B-B706-4467-BDC9-AA2F120BCEF3}">
            <xm:f>Variable_Management!$B$23=0</xm:f>
            <x14:dxf>
              <border>
                <left/>
                <right/>
                <top/>
                <bottom/>
                <vertical/>
                <horizontal/>
              </border>
            </x14:dxf>
          </x14:cfRule>
          <xm:sqref>A30:C35</xm:sqref>
        </x14:conditionalFormatting>
        <x14:conditionalFormatting xmlns:xm="http://schemas.microsoft.com/office/excel/2006/main">
          <x14:cfRule type="expression" priority="9" id="{CF5C59F3-9578-4F3D-8CFA-89B0A81DA010}">
            <xm:f>Variable_Management!$B$23=0</xm:f>
            <x14:dxf>
              <font>
                <color theme="0"/>
              </font>
              <fill>
                <patternFill>
                  <bgColor theme="0"/>
                </patternFill>
              </fill>
              <border>
                <left style="thin">
                  <color theme="0"/>
                </left>
                <right style="thin">
                  <color theme="0"/>
                </right>
                <top style="thin">
                  <color theme="0"/>
                </top>
                <bottom style="thin">
                  <color theme="0"/>
                </bottom>
                <vertical/>
                <horizontal/>
              </border>
            </x14:dxf>
          </x14:cfRule>
          <xm:sqref>A105:I107</xm:sqref>
        </x14:conditionalFormatting>
        <x14:conditionalFormatting xmlns:xm="http://schemas.microsoft.com/office/excel/2006/main">
          <x14:cfRule type="expression" priority="8" id="{A0AC3576-B134-405E-A248-7E1B49921D90}">
            <xm:f>Variable_Management!$B$32=0</xm:f>
            <x14:dxf>
              <font>
                <color theme="0"/>
              </font>
              <fill>
                <patternFill>
                  <bgColor theme="0"/>
                </patternFill>
              </fill>
              <border>
                <left style="hair">
                  <color theme="0"/>
                </left>
                <right style="hair">
                  <color theme="0"/>
                </right>
                <top style="hair">
                  <color theme="0"/>
                </top>
                <bottom style="hair">
                  <color theme="0"/>
                </bottom>
                <vertical/>
                <horizontal/>
              </border>
            </x14:dxf>
          </x14:cfRule>
          <xm:sqref>A109:I111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5"/>
  <sheetViews>
    <sheetView topLeftCell="A4" zoomScale="85" zoomScaleNormal="85" workbookViewId="0">
      <selection activeCell="N4" sqref="N4"/>
    </sheetView>
  </sheetViews>
  <sheetFormatPr defaultColWidth="8.81640625" defaultRowHeight="14.5" x14ac:dyDescent="0.35"/>
  <cols>
    <col min="1" max="1" width="8.81640625" style="207"/>
    <col min="2" max="2" width="154.453125" style="207" customWidth="1"/>
    <col min="3" max="16384" width="8.81640625" style="207"/>
  </cols>
  <sheetData>
    <row r="2" spans="1:9" x14ac:dyDescent="0.35">
      <c r="A2" s="207" t="str">
        <f>IF(FB_type=1,"LOOP_ISO","LOOP_nISO")</f>
        <v>LOOP_ISO</v>
      </c>
    </row>
    <row r="3" spans="1:9" ht="377.25" customHeight="1" x14ac:dyDescent="0.35">
      <c r="D3" s="207" t="s">
        <v>652</v>
      </c>
    </row>
    <row r="4" spans="1:9" ht="333" customHeight="1" x14ac:dyDescent="0.35">
      <c r="D4" s="207" t="s">
        <v>651</v>
      </c>
    </row>
    <row r="5" spans="1:9" ht="409.15" customHeight="1" x14ac:dyDescent="0.35">
      <c r="I5" s="207">
        <f>LoopLookup</f>
        <v>0</v>
      </c>
    </row>
  </sheetData>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
  <sheetViews>
    <sheetView zoomScale="70" zoomScaleNormal="70" workbookViewId="0">
      <selection activeCell="F4" sqref="F4"/>
    </sheetView>
  </sheetViews>
  <sheetFormatPr defaultColWidth="9.26953125" defaultRowHeight="14.5" x14ac:dyDescent="0.35"/>
  <cols>
    <col min="1" max="1" width="8.7265625" style="236" customWidth="1"/>
    <col min="2" max="2" width="101.54296875" style="237" customWidth="1"/>
    <col min="3" max="3" width="9.26953125" style="236"/>
    <col min="4" max="4" width="101.453125" style="236" customWidth="1"/>
    <col min="5" max="5" width="9.26953125" style="236"/>
    <col min="6" max="6" width="101.453125" style="236" customWidth="1"/>
    <col min="7" max="16384" width="9.26953125" style="236"/>
  </cols>
  <sheetData>
    <row r="1" spans="1:7" x14ac:dyDescent="0.35">
      <c r="A1" s="244" t="str">
        <f>IF(FB_type=1,CHOOSE(Variable_Management!B13,"sch_ISO_1","sch_ISO_2","sch_ISO_3"),CHOOSE(Variable_Management!B13,"sch_nISO_1","sch_nISO_2","sch_nISO_3"))</f>
        <v>sch_ISO_2</v>
      </c>
      <c r="B1" s="245"/>
      <c r="C1" s="244"/>
      <c r="D1" s="244"/>
      <c r="E1" s="244"/>
      <c r="F1" s="244"/>
      <c r="G1" s="241"/>
    </row>
    <row r="2" spans="1:7" x14ac:dyDescent="0.35">
      <c r="G2" s="241"/>
    </row>
    <row r="3" spans="1:7" ht="15.65" customHeight="1" x14ac:dyDescent="0.35">
      <c r="G3" s="241"/>
    </row>
    <row r="4" spans="1:7" ht="392.25" customHeight="1" x14ac:dyDescent="0.35">
      <c r="G4" s="241"/>
    </row>
    <row r="5" spans="1:7" x14ac:dyDescent="0.35">
      <c r="G5" s="241"/>
    </row>
    <row r="6" spans="1:7" ht="392.25" customHeight="1" x14ac:dyDescent="0.35">
      <c r="G6" s="241"/>
    </row>
    <row r="7" spans="1:7" x14ac:dyDescent="0.35">
      <c r="A7" s="242"/>
      <c r="B7" s="243"/>
      <c r="C7" s="242"/>
      <c r="D7" s="242"/>
      <c r="E7" s="242"/>
      <c r="F7" s="242"/>
    </row>
    <row r="8" spans="1:7" ht="321" customHeight="1" x14ac:dyDescent="0.35"/>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21505" r:id="rId4">
          <objectPr defaultSize="0" r:id="rId5">
            <anchor moveWithCells="1">
              <from>
                <xdr:col>5</xdr:col>
                <xdr:colOff>0</xdr:colOff>
                <xdr:row>5</xdr:row>
                <xdr:rowOff>0</xdr:rowOff>
              </from>
              <to>
                <xdr:col>5</xdr:col>
                <xdr:colOff>6718300</xdr:colOff>
                <xdr:row>5</xdr:row>
                <xdr:rowOff>4737100</xdr:rowOff>
              </to>
            </anchor>
          </objectPr>
        </oleObject>
      </mc:Choice>
      <mc:Fallback>
        <oleObject progId="Visio.Drawing.15" shapeId="21505" r:id="rId4"/>
      </mc:Fallback>
    </mc:AlternateContent>
    <mc:AlternateContent xmlns:mc="http://schemas.openxmlformats.org/markup-compatibility/2006">
      <mc:Choice Requires="x14">
        <oleObject progId="Visio.Drawing.15" shapeId="21506" r:id="rId6">
          <objectPr defaultSize="0" r:id="rId7">
            <anchor moveWithCells="1">
              <from>
                <xdr:col>3</xdr:col>
                <xdr:colOff>0</xdr:colOff>
                <xdr:row>5</xdr:row>
                <xdr:rowOff>0</xdr:rowOff>
              </from>
              <to>
                <xdr:col>3</xdr:col>
                <xdr:colOff>6718300</xdr:colOff>
                <xdr:row>5</xdr:row>
                <xdr:rowOff>4737100</xdr:rowOff>
              </to>
            </anchor>
          </objectPr>
        </oleObject>
      </mc:Choice>
      <mc:Fallback>
        <oleObject progId="Visio.Drawing.15" shapeId="21506" r:id="rId6"/>
      </mc:Fallback>
    </mc:AlternateContent>
    <mc:AlternateContent xmlns:mc="http://schemas.openxmlformats.org/markup-compatibility/2006">
      <mc:Choice Requires="x14">
        <oleObject progId="Visio.Drawing.15" shapeId="21507" r:id="rId8">
          <objectPr defaultSize="0" r:id="rId9">
            <anchor moveWithCells="1">
              <from>
                <xdr:col>1</xdr:col>
                <xdr:colOff>0</xdr:colOff>
                <xdr:row>5</xdr:row>
                <xdr:rowOff>0</xdr:rowOff>
              </from>
              <to>
                <xdr:col>1</xdr:col>
                <xdr:colOff>6718300</xdr:colOff>
                <xdr:row>5</xdr:row>
                <xdr:rowOff>4737100</xdr:rowOff>
              </to>
            </anchor>
          </objectPr>
        </oleObject>
      </mc:Choice>
      <mc:Fallback>
        <oleObject progId="Visio.Drawing.15" shapeId="21507" r:id="rId8"/>
      </mc:Fallback>
    </mc:AlternateContent>
    <mc:AlternateContent xmlns:mc="http://schemas.openxmlformats.org/markup-compatibility/2006">
      <mc:Choice Requires="x14">
        <oleObject progId="Visio.Drawing.15" shapeId="21508" r:id="rId10">
          <objectPr defaultSize="0" r:id="rId11">
            <anchor moveWithCells="1">
              <from>
                <xdr:col>1</xdr:col>
                <xdr:colOff>0</xdr:colOff>
                <xdr:row>3</xdr:row>
                <xdr:rowOff>0</xdr:rowOff>
              </from>
              <to>
                <xdr:col>1</xdr:col>
                <xdr:colOff>6470650</xdr:colOff>
                <xdr:row>3</xdr:row>
                <xdr:rowOff>4438650</xdr:rowOff>
              </to>
            </anchor>
          </objectPr>
        </oleObject>
      </mc:Choice>
      <mc:Fallback>
        <oleObject progId="Visio.Drawing.15" shapeId="21508" r:id="rId10"/>
      </mc:Fallback>
    </mc:AlternateContent>
    <mc:AlternateContent xmlns:mc="http://schemas.openxmlformats.org/markup-compatibility/2006">
      <mc:Choice Requires="x14">
        <oleObject progId="Visio.Drawing.15" shapeId="21509" r:id="rId12">
          <objectPr defaultSize="0" r:id="rId13">
            <anchor moveWithCells="1">
              <from>
                <xdr:col>3</xdr:col>
                <xdr:colOff>0</xdr:colOff>
                <xdr:row>3</xdr:row>
                <xdr:rowOff>0</xdr:rowOff>
              </from>
              <to>
                <xdr:col>3</xdr:col>
                <xdr:colOff>6470650</xdr:colOff>
                <xdr:row>3</xdr:row>
                <xdr:rowOff>4438650</xdr:rowOff>
              </to>
            </anchor>
          </objectPr>
        </oleObject>
      </mc:Choice>
      <mc:Fallback>
        <oleObject progId="Visio.Drawing.15" shapeId="21509" r:id="rId12"/>
      </mc:Fallback>
    </mc:AlternateContent>
    <mc:AlternateContent xmlns:mc="http://schemas.openxmlformats.org/markup-compatibility/2006">
      <mc:Choice Requires="x14">
        <oleObject progId="Visio.Drawing.15" shapeId="21510" r:id="rId14">
          <objectPr defaultSize="0" r:id="rId15">
            <anchor moveWithCells="1">
              <from>
                <xdr:col>5</xdr:col>
                <xdr:colOff>0</xdr:colOff>
                <xdr:row>3</xdr:row>
                <xdr:rowOff>0</xdr:rowOff>
              </from>
              <to>
                <xdr:col>5</xdr:col>
                <xdr:colOff>6470650</xdr:colOff>
                <xdr:row>3</xdr:row>
                <xdr:rowOff>4438650</xdr:rowOff>
              </to>
            </anchor>
          </objectPr>
        </oleObject>
      </mc:Choice>
      <mc:Fallback>
        <oleObject progId="Visio.Drawing.15" shapeId="21510" r:id="rId1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EDD9D-BD85-44F4-BFAD-FB85DFAB2BF5}">
  <dimension ref="A1:AM47"/>
  <sheetViews>
    <sheetView workbookViewId="0">
      <selection activeCell="B44" sqref="B44"/>
    </sheetView>
  </sheetViews>
  <sheetFormatPr defaultColWidth="9.1796875" defaultRowHeight="14" x14ac:dyDescent="0.3"/>
  <cols>
    <col min="1" max="1" width="25.7265625" style="265" bestFit="1" customWidth="1"/>
    <col min="2" max="2" width="56.54296875" style="266" customWidth="1"/>
    <col min="3" max="11" width="9.1796875" style="258"/>
    <col min="12" max="12" width="20.453125" style="258" customWidth="1"/>
    <col min="13" max="16384" width="9.1796875" style="258"/>
  </cols>
  <sheetData>
    <row r="1" spans="1:12" x14ac:dyDescent="0.3">
      <c r="A1" s="275"/>
      <c r="B1" s="275"/>
      <c r="C1" s="275"/>
      <c r="D1" s="275"/>
      <c r="E1" s="275"/>
      <c r="F1" s="275"/>
      <c r="G1" s="275"/>
      <c r="H1" s="275"/>
      <c r="I1" s="275"/>
      <c r="J1" s="275"/>
      <c r="K1" s="275"/>
      <c r="L1" s="275"/>
    </row>
    <row r="2" spans="1:12" x14ac:dyDescent="0.3">
      <c r="A2" s="275"/>
      <c r="B2" s="275"/>
      <c r="C2" s="275"/>
      <c r="D2" s="275"/>
      <c r="E2" s="275"/>
      <c r="F2" s="275"/>
      <c r="G2" s="275"/>
      <c r="H2" s="275"/>
      <c r="I2" s="275"/>
      <c r="J2" s="275"/>
      <c r="K2" s="275"/>
      <c r="L2" s="275"/>
    </row>
    <row r="3" spans="1:12" x14ac:dyDescent="0.3">
      <c r="A3" s="275"/>
      <c r="B3" s="275"/>
      <c r="C3" s="275"/>
      <c r="D3" s="275"/>
      <c r="E3" s="275"/>
      <c r="F3" s="275"/>
      <c r="G3" s="275"/>
      <c r="H3" s="275"/>
      <c r="I3" s="275"/>
      <c r="J3" s="275"/>
      <c r="K3" s="275"/>
      <c r="L3" s="275"/>
    </row>
    <row r="4" spans="1:12" x14ac:dyDescent="0.3">
      <c r="A4" s="276"/>
      <c r="B4" s="276"/>
      <c r="C4" s="276"/>
      <c r="D4" s="276"/>
      <c r="E4" s="276"/>
      <c r="F4" s="276"/>
      <c r="G4" s="276"/>
      <c r="H4" s="276"/>
      <c r="I4" s="276"/>
      <c r="J4" s="276"/>
      <c r="K4" s="276"/>
      <c r="L4" s="276"/>
    </row>
    <row r="5" spans="1:12" x14ac:dyDescent="0.3">
      <c r="A5" s="259" t="s">
        <v>699</v>
      </c>
      <c r="B5" s="260" t="s">
        <v>705</v>
      </c>
      <c r="C5" s="261"/>
      <c r="D5" s="261"/>
      <c r="E5" s="261"/>
      <c r="F5" s="261"/>
      <c r="G5" s="261"/>
      <c r="H5" s="261"/>
      <c r="I5" s="261"/>
      <c r="J5" s="261"/>
      <c r="K5" s="262"/>
      <c r="L5" s="263"/>
    </row>
    <row r="6" spans="1:12" x14ac:dyDescent="0.3">
      <c r="A6" s="259"/>
      <c r="B6" s="264"/>
      <c r="C6" s="261"/>
      <c r="D6" s="261"/>
      <c r="E6" s="261"/>
      <c r="F6" s="261"/>
      <c r="G6" s="261"/>
      <c r="H6" s="261"/>
      <c r="I6" s="261"/>
      <c r="J6" s="263"/>
      <c r="K6" s="263"/>
      <c r="L6" s="263"/>
    </row>
    <row r="35" spans="1:39" x14ac:dyDescent="0.3">
      <c r="A35" s="267" t="s">
        <v>700</v>
      </c>
      <c r="B35" s="268"/>
      <c r="C35" s="261"/>
      <c r="D35" s="261"/>
      <c r="E35" s="261"/>
      <c r="F35" s="261"/>
      <c r="G35" s="261"/>
      <c r="H35" s="261"/>
      <c r="I35" s="261"/>
      <c r="J35" s="261"/>
      <c r="K35" s="261"/>
    </row>
    <row r="36" spans="1:39" x14ac:dyDescent="0.3">
      <c r="A36" s="269" t="s">
        <v>701</v>
      </c>
      <c r="B36" s="277" t="s">
        <v>702</v>
      </c>
      <c r="C36" s="277"/>
      <c r="D36" s="277"/>
      <c r="E36" s="277"/>
      <c r="F36" s="277"/>
      <c r="G36" s="277"/>
      <c r="H36" s="277"/>
      <c r="I36" s="277"/>
      <c r="J36" s="277"/>
      <c r="K36" s="277"/>
    </row>
    <row r="37" spans="1:39" x14ac:dyDescent="0.3">
      <c r="A37" s="267" t="s">
        <v>703</v>
      </c>
      <c r="B37" s="278" t="s">
        <v>704</v>
      </c>
      <c r="C37" s="278"/>
      <c r="D37" s="278"/>
      <c r="E37" s="278"/>
      <c r="F37" s="278"/>
      <c r="G37" s="278"/>
      <c r="H37" s="278"/>
      <c r="I37" s="278"/>
      <c r="J37" s="278"/>
      <c r="K37" s="278"/>
    </row>
    <row r="38" spans="1:39" ht="14.25" customHeight="1" x14ac:dyDescent="0.3">
      <c r="A38" s="270" t="s">
        <v>705</v>
      </c>
      <c r="B38" s="279" t="s">
        <v>709</v>
      </c>
      <c r="C38" s="279"/>
      <c r="D38" s="279"/>
      <c r="E38" s="279"/>
      <c r="F38" s="279"/>
      <c r="G38" s="279"/>
      <c r="H38" s="279"/>
      <c r="I38" s="279"/>
      <c r="J38" s="279"/>
      <c r="K38" s="279"/>
    </row>
    <row r="39" spans="1:39" ht="14.25" customHeight="1" x14ac:dyDescent="0.3">
      <c r="A39" s="270"/>
      <c r="B39" s="271"/>
      <c r="C39" s="271"/>
      <c r="D39" s="271"/>
      <c r="E39" s="271"/>
      <c r="F39" s="271"/>
      <c r="G39" s="271"/>
      <c r="H39" s="271"/>
      <c r="I39" s="271"/>
      <c r="J39" s="271"/>
      <c r="K39" s="271"/>
    </row>
    <row r="40" spans="1:39" ht="14.25" customHeight="1" x14ac:dyDescent="0.3">
      <c r="A40" s="270"/>
      <c r="B40" s="271"/>
      <c r="C40" s="271"/>
      <c r="D40" s="271"/>
      <c r="E40" s="271"/>
      <c r="F40" s="271"/>
      <c r="G40" s="271"/>
      <c r="H40" s="271"/>
      <c r="I40" s="271"/>
      <c r="J40" s="271"/>
      <c r="K40" s="271"/>
    </row>
    <row r="41" spans="1:39" ht="14.25" customHeight="1" x14ac:dyDescent="0.3">
      <c r="A41" s="270"/>
      <c r="B41" s="271"/>
      <c r="C41" s="271"/>
      <c r="D41" s="271"/>
      <c r="E41" s="271"/>
      <c r="F41" s="271"/>
      <c r="G41" s="271"/>
      <c r="H41" s="271"/>
      <c r="I41" s="271"/>
      <c r="J41" s="271"/>
      <c r="K41" s="271"/>
    </row>
    <row r="42" spans="1:39" x14ac:dyDescent="0.3">
      <c r="A42" s="270"/>
      <c r="B42" s="271"/>
      <c r="C42" s="271"/>
      <c r="D42" s="271"/>
      <c r="E42" s="271"/>
      <c r="F42" s="271"/>
      <c r="G42" s="271"/>
      <c r="H42" s="271"/>
      <c r="I42" s="271"/>
      <c r="J42" s="271"/>
      <c r="K42" s="271"/>
    </row>
    <row r="43" spans="1:39" x14ac:dyDescent="0.3">
      <c r="A43" s="270"/>
      <c r="B43" s="271"/>
      <c r="C43" s="271"/>
      <c r="D43" s="271"/>
      <c r="E43" s="271"/>
      <c r="F43" s="271"/>
      <c r="G43" s="271"/>
      <c r="H43" s="271"/>
      <c r="I43" s="271"/>
      <c r="J43" s="271"/>
      <c r="K43" s="271"/>
    </row>
    <row r="44" spans="1:39" x14ac:dyDescent="0.3">
      <c r="A44" s="270"/>
      <c r="B44" s="271"/>
      <c r="C44" s="271"/>
      <c r="D44" s="271"/>
      <c r="E44" s="271"/>
      <c r="F44" s="271"/>
      <c r="G44" s="271"/>
      <c r="H44" s="271"/>
      <c r="I44" s="271"/>
      <c r="J44" s="271"/>
      <c r="K44" s="271"/>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row>
    <row r="45" spans="1:39" x14ac:dyDescent="0.3">
      <c r="A45" s="270"/>
      <c r="B45" s="271"/>
      <c r="C45" s="271"/>
      <c r="D45" s="271"/>
      <c r="E45" s="271"/>
      <c r="F45" s="271"/>
      <c r="G45" s="271"/>
      <c r="H45" s="271"/>
      <c r="I45" s="271"/>
      <c r="J45" s="271"/>
      <c r="K45" s="271"/>
    </row>
    <row r="46" spans="1:39" x14ac:dyDescent="0.3">
      <c r="A46" s="270"/>
      <c r="B46" s="271"/>
      <c r="C46" s="271"/>
      <c r="D46" s="271"/>
      <c r="E46" s="271"/>
      <c r="F46" s="271"/>
      <c r="G46" s="271"/>
      <c r="H46" s="271"/>
      <c r="I46" s="271"/>
      <c r="J46" s="271"/>
      <c r="K46" s="271"/>
    </row>
    <row r="47" spans="1:39" x14ac:dyDescent="0.3">
      <c r="A47" s="270"/>
      <c r="B47" s="271"/>
    </row>
  </sheetData>
  <sheetProtection algorithmName="SHA-512" hashValue="pGdbCThgpWqej0wxCecYapFZLhpYHKMNt9TBkC2sDwQs4AW+aZI2TC6/wMVKyNUhv4RRKKIytOzpWvvQrpNJ+A==" saltValue="mgQPQddrEI3kdVcxrY0Lqg==" spinCount="100000" sheet="1" objects="1" scenarios="1" selectLockedCells="1" selectUnlockedCells="1"/>
  <mergeCells count="5">
    <mergeCell ref="A1:L3"/>
    <mergeCell ref="A4:L4"/>
    <mergeCell ref="B36:K36"/>
    <mergeCell ref="B37:K37"/>
    <mergeCell ref="B38:K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91"/>
  <sheetViews>
    <sheetView zoomScale="85" zoomScaleNormal="85" workbookViewId="0">
      <pane ySplit="5" topLeftCell="A135" activePane="bottomLeft" state="frozen"/>
      <selection pane="bottomLeft" activeCell="B175" sqref="B175"/>
    </sheetView>
  </sheetViews>
  <sheetFormatPr defaultRowHeight="14.5" x14ac:dyDescent="0.35"/>
  <cols>
    <col min="1" max="1" width="28.81640625" customWidth="1"/>
    <col min="2" max="2" width="19.54296875" customWidth="1"/>
    <col min="3" max="3" width="10.81640625" customWidth="1"/>
    <col min="4" max="4" width="10" bestFit="1" customWidth="1"/>
    <col min="5" max="5" width="18.7265625" customWidth="1"/>
    <col min="6" max="6" width="14.7265625" customWidth="1"/>
    <col min="7" max="7" width="15.1796875" customWidth="1"/>
    <col min="8" max="8" width="12.54296875" customWidth="1"/>
    <col min="9" max="9" width="12.54296875" style="4" customWidth="1"/>
    <col min="12" max="12" width="10.26953125" bestFit="1" customWidth="1"/>
  </cols>
  <sheetData>
    <row r="1" spans="1:17" ht="28" x14ac:dyDescent="0.6">
      <c r="A1" s="280" t="s">
        <v>16</v>
      </c>
      <c r="B1" s="280"/>
      <c r="C1" s="280"/>
      <c r="D1" s="280"/>
      <c r="E1" s="280"/>
      <c r="F1" s="280"/>
      <c r="G1" s="280"/>
      <c r="H1" s="280"/>
      <c r="I1" s="280"/>
      <c r="J1" s="280"/>
    </row>
    <row r="2" spans="1:17" x14ac:dyDescent="0.35">
      <c r="A2" s="6"/>
      <c r="B2" s="6" t="s">
        <v>17</v>
      </c>
      <c r="C2" s="7"/>
      <c r="D2" s="5"/>
      <c r="E2" s="6"/>
      <c r="F2" s="6"/>
      <c r="G2" s="6"/>
      <c r="H2" s="6"/>
      <c r="I2" s="11"/>
      <c r="J2" s="6"/>
    </row>
    <row r="3" spans="1:17" x14ac:dyDescent="0.35">
      <c r="A3" s="6"/>
      <c r="B3" s="6" t="s">
        <v>18</v>
      </c>
      <c r="C3" s="182"/>
      <c r="D3" s="5"/>
      <c r="E3" s="6"/>
      <c r="F3" s="23" t="s">
        <v>657</v>
      </c>
      <c r="G3" s="24" t="s">
        <v>56</v>
      </c>
      <c r="H3" s="38" t="s">
        <v>59</v>
      </c>
      <c r="I3" s="11"/>
      <c r="J3" s="6"/>
    </row>
    <row r="4" spans="1:17" x14ac:dyDescent="0.35">
      <c r="A4" s="6"/>
      <c r="B4" s="6" t="s">
        <v>19</v>
      </c>
      <c r="C4" s="8"/>
      <c r="D4" s="5"/>
      <c r="E4" s="6"/>
      <c r="F4" s="23" t="s">
        <v>655</v>
      </c>
      <c r="G4" s="6" t="s">
        <v>656</v>
      </c>
      <c r="H4" s="6"/>
      <c r="I4" s="11"/>
      <c r="J4" s="6"/>
      <c r="O4" t="s">
        <v>654</v>
      </c>
    </row>
    <row r="5" spans="1:17" x14ac:dyDescent="0.35">
      <c r="A5" s="10" t="s">
        <v>20</v>
      </c>
      <c r="B5" s="10" t="s">
        <v>21</v>
      </c>
      <c r="C5" s="10" t="s">
        <v>22</v>
      </c>
      <c r="D5" s="9"/>
      <c r="E5" s="281" t="s">
        <v>23</v>
      </c>
      <c r="F5" s="281"/>
      <c r="G5" s="281"/>
      <c r="H5" s="281"/>
      <c r="I5" s="19"/>
      <c r="J5" s="25" t="s">
        <v>24</v>
      </c>
      <c r="K5" s="10" t="s">
        <v>63</v>
      </c>
      <c r="L5" s="9"/>
      <c r="M5" s="9"/>
      <c r="N5" s="9"/>
      <c r="O5" s="9">
        <v>20200226</v>
      </c>
      <c r="P5" s="9"/>
      <c r="Q5" s="9"/>
    </row>
    <row r="6" spans="1:17" ht="15.5" x14ac:dyDescent="0.35">
      <c r="A6" s="18" t="s">
        <v>25</v>
      </c>
      <c r="B6" s="15"/>
      <c r="C6" s="15"/>
      <c r="D6" s="15"/>
      <c r="E6" s="16"/>
      <c r="F6" s="16"/>
      <c r="G6" s="16"/>
      <c r="H6" s="16"/>
      <c r="I6" s="16"/>
      <c r="J6" s="15"/>
      <c r="K6" s="9"/>
      <c r="L6" s="9"/>
      <c r="M6" s="9"/>
      <c r="N6" s="9"/>
      <c r="O6" s="9"/>
      <c r="P6" s="9"/>
      <c r="Q6" s="9"/>
    </row>
    <row r="7" spans="1:17" x14ac:dyDescent="0.35">
      <c r="A7" t="s">
        <v>26</v>
      </c>
      <c r="B7" s="3">
        <f>'Design Converter'!H7</f>
        <v>10</v>
      </c>
      <c r="C7" t="s">
        <v>11</v>
      </c>
      <c r="E7" t="s">
        <v>29</v>
      </c>
    </row>
    <row r="8" spans="1:17" x14ac:dyDescent="0.35">
      <c r="A8" t="s">
        <v>27</v>
      </c>
      <c r="B8" s="3">
        <f>'Design Converter'!H8</f>
        <v>12</v>
      </c>
      <c r="C8" t="s">
        <v>11</v>
      </c>
      <c r="E8" t="s">
        <v>30</v>
      </c>
      <c r="K8">
        <f>IF(VIN_min&lt;VIN_min,1,IF(VIN_nom&gt;VIN_max,1,0))</f>
        <v>0</v>
      </c>
    </row>
    <row r="9" spans="1:17" x14ac:dyDescent="0.35">
      <c r="A9" t="s">
        <v>28</v>
      </c>
      <c r="B9" s="3">
        <f>'Design Converter'!H9</f>
        <v>16</v>
      </c>
      <c r="C9" t="s">
        <v>11</v>
      </c>
      <c r="E9" t="s">
        <v>31</v>
      </c>
    </row>
    <row r="10" spans="1:17" s="4" customFormat="1" x14ac:dyDescent="0.35">
      <c r="A10" s="4" t="s">
        <v>60</v>
      </c>
      <c r="B10" s="3">
        <f>'Design Converter'!H14*1000</f>
        <v>110000</v>
      </c>
      <c r="C10" s="4" t="s">
        <v>61</v>
      </c>
      <c r="E10" s="4" t="s">
        <v>62</v>
      </c>
    </row>
    <row r="11" spans="1:17" s="4" customFormat="1" x14ac:dyDescent="0.35">
      <c r="A11" s="4" t="s">
        <v>65</v>
      </c>
      <c r="B11" s="29">
        <f>((2.21*10^10)/Fsw)-955</f>
        <v>199954.09090909091</v>
      </c>
      <c r="C11" s="2" t="s">
        <v>35</v>
      </c>
      <c r="E11" s="4" t="s">
        <v>66</v>
      </c>
    </row>
    <row r="13" spans="1:17" s="31" customFormat="1" x14ac:dyDescent="0.35">
      <c r="A13" s="31" t="s">
        <v>634</v>
      </c>
      <c r="B13" s="31">
        <v>2</v>
      </c>
    </row>
    <row r="14" spans="1:17" s="31" customFormat="1" x14ac:dyDescent="0.35"/>
    <row r="15" spans="1:17" x14ac:dyDescent="0.35">
      <c r="A15" t="s">
        <v>419</v>
      </c>
      <c r="B15" s="3">
        <f>ABS('Design Converter'!N7)</f>
        <v>48</v>
      </c>
      <c r="C15" t="s">
        <v>11</v>
      </c>
      <c r="E15" t="s">
        <v>437</v>
      </c>
    </row>
    <row r="16" spans="1:17" x14ac:dyDescent="0.35">
      <c r="A16" t="s">
        <v>420</v>
      </c>
      <c r="B16" s="3">
        <f>ABS('Design Converter'!N8)</f>
        <v>0.5</v>
      </c>
      <c r="C16" t="s">
        <v>12</v>
      </c>
      <c r="E16" t="s">
        <v>34</v>
      </c>
    </row>
    <row r="17" spans="1:5" x14ac:dyDescent="0.35">
      <c r="A17" t="s">
        <v>421</v>
      </c>
      <c r="B17" s="1">
        <f>VOUT1/IOUT1</f>
        <v>96</v>
      </c>
      <c r="C17" s="2" t="s">
        <v>35</v>
      </c>
      <c r="E17" t="s">
        <v>39</v>
      </c>
    </row>
    <row r="18" spans="1:5" x14ac:dyDescent="0.35">
      <c r="A18" t="s">
        <v>422</v>
      </c>
      <c r="B18" s="1">
        <f>VOUT1*IOUT1</f>
        <v>24</v>
      </c>
      <c r="C18" s="2" t="s">
        <v>36</v>
      </c>
      <c r="E18" t="s">
        <v>38</v>
      </c>
    </row>
    <row r="19" spans="1:5" x14ac:dyDescent="0.35">
      <c r="A19" t="s">
        <v>620</v>
      </c>
      <c r="B19" s="3">
        <f>'Design Converter'!H102/1000</f>
        <v>0.3</v>
      </c>
      <c r="C19" s="2" t="s">
        <v>11</v>
      </c>
    </row>
    <row r="20" spans="1:5" s="31" customFormat="1" x14ac:dyDescent="0.35">
      <c r="A20" s="31" t="s">
        <v>621</v>
      </c>
      <c r="B20" s="3">
        <f>'Design Converter'!H103/(10^9)</f>
        <v>1E-8</v>
      </c>
      <c r="C20" s="2" t="s">
        <v>352</v>
      </c>
    </row>
    <row r="21" spans="1:5" s="31" customFormat="1" x14ac:dyDescent="0.35"/>
    <row r="22" spans="1:5" s="31" customFormat="1" x14ac:dyDescent="0.35">
      <c r="B22" s="31" t="b">
        <v>0</v>
      </c>
    </row>
    <row r="23" spans="1:5" s="31" customFormat="1" x14ac:dyDescent="0.35">
      <c r="A23" s="31" t="s">
        <v>434</v>
      </c>
      <c r="B23" s="31">
        <f>CHOOSE(B13,0,1,1)</f>
        <v>1</v>
      </c>
      <c r="E23" s="31" t="s">
        <v>435</v>
      </c>
    </row>
    <row r="24" spans="1:5" s="31" customFormat="1" x14ac:dyDescent="0.35">
      <c r="A24" s="31" t="s">
        <v>423</v>
      </c>
      <c r="B24" s="3">
        <f>IF($B$23=1,ABS('Design Converter'!N14),0)</f>
        <v>6.5</v>
      </c>
      <c r="C24" s="31" t="s">
        <v>11</v>
      </c>
      <c r="E24" s="31" t="s">
        <v>459</v>
      </c>
    </row>
    <row r="25" spans="1:5" s="31" customFormat="1" x14ac:dyDescent="0.35">
      <c r="A25" s="31" t="s">
        <v>424</v>
      </c>
      <c r="B25" s="3">
        <f>IF($B$23=1,ABS('Design Converter'!N15),0)</f>
        <v>0.05</v>
      </c>
      <c r="C25" s="31" t="s">
        <v>12</v>
      </c>
      <c r="E25" s="31" t="s">
        <v>34</v>
      </c>
    </row>
    <row r="26" spans="1:5" s="31" customFormat="1" x14ac:dyDescent="0.35">
      <c r="A26" s="31" t="s">
        <v>425</v>
      </c>
      <c r="B26" s="1">
        <f>IF($B$23=1,VOUT2/IOUT2,0)</f>
        <v>130</v>
      </c>
      <c r="C26" s="2" t="s">
        <v>35</v>
      </c>
      <c r="E26" s="31" t="s">
        <v>39</v>
      </c>
    </row>
    <row r="27" spans="1:5" s="31" customFormat="1" x14ac:dyDescent="0.35">
      <c r="A27" s="31" t="s">
        <v>426</v>
      </c>
      <c r="B27" s="1">
        <f>VOUT2*IOUT2</f>
        <v>0.32500000000000001</v>
      </c>
      <c r="C27" s="2" t="s">
        <v>36</v>
      </c>
      <c r="E27" s="31" t="s">
        <v>38</v>
      </c>
    </row>
    <row r="28" spans="1:5" s="31" customFormat="1" x14ac:dyDescent="0.35">
      <c r="A28" s="31" t="s">
        <v>624</v>
      </c>
      <c r="B28" s="20">
        <f>IF($B$23=1,ABS('Design Converter'!H106/1000),0)</f>
        <v>0.3</v>
      </c>
      <c r="C28" s="2" t="s">
        <v>11</v>
      </c>
    </row>
    <row r="29" spans="1:5" s="31" customFormat="1" x14ac:dyDescent="0.35">
      <c r="A29" s="31" t="s">
        <v>625</v>
      </c>
      <c r="B29" s="201">
        <f>IF($B$23=1,ABS('Design Converter'!H107*10^-9),0)</f>
        <v>1E-8</v>
      </c>
      <c r="C29" s="31" t="s">
        <v>352</v>
      </c>
    </row>
    <row r="30" spans="1:5" s="31" customFormat="1" x14ac:dyDescent="0.35">
      <c r="B30" s="175"/>
    </row>
    <row r="31" spans="1:5" s="31" customFormat="1" x14ac:dyDescent="0.35">
      <c r="B31" s="175" t="b">
        <v>1</v>
      </c>
    </row>
    <row r="32" spans="1:5" s="31" customFormat="1" x14ac:dyDescent="0.35">
      <c r="A32" s="31" t="s">
        <v>433</v>
      </c>
      <c r="B32" s="177">
        <f>CHOOSE(B13,0,0,1)</f>
        <v>0</v>
      </c>
      <c r="E32" s="31" t="s">
        <v>436</v>
      </c>
    </row>
    <row r="33" spans="1:5" s="31" customFormat="1" x14ac:dyDescent="0.35">
      <c r="A33" s="31" t="s">
        <v>427</v>
      </c>
      <c r="B33" s="3">
        <f>IF($B$32=1,ABS('Design Converter'!N22),0)</f>
        <v>0</v>
      </c>
      <c r="C33" s="31" t="s">
        <v>11</v>
      </c>
      <c r="E33" s="31" t="s">
        <v>460</v>
      </c>
    </row>
    <row r="34" spans="1:5" s="31" customFormat="1" x14ac:dyDescent="0.35">
      <c r="A34" s="31" t="s">
        <v>428</v>
      </c>
      <c r="B34" s="3">
        <f>IF($B$32=1,ABS('Design Converter'!N23),0)</f>
        <v>0</v>
      </c>
      <c r="C34" s="31" t="s">
        <v>12</v>
      </c>
      <c r="E34" s="31" t="s">
        <v>34</v>
      </c>
    </row>
    <row r="35" spans="1:5" s="31" customFormat="1" x14ac:dyDescent="0.35">
      <c r="A35" s="31" t="s">
        <v>429</v>
      </c>
      <c r="B35" s="1">
        <f>IF(B32=1,VOUT3/IOUT3,0)</f>
        <v>0</v>
      </c>
      <c r="C35" s="2" t="s">
        <v>35</v>
      </c>
      <c r="E35" s="31" t="s">
        <v>39</v>
      </c>
    </row>
    <row r="36" spans="1:5" s="31" customFormat="1" x14ac:dyDescent="0.35">
      <c r="A36" s="31" t="s">
        <v>430</v>
      </c>
      <c r="B36" s="1">
        <f>VOUT3*IOUT3</f>
        <v>0</v>
      </c>
      <c r="C36" s="2" t="s">
        <v>36</v>
      </c>
      <c r="E36" s="31" t="s">
        <v>38</v>
      </c>
    </row>
    <row r="37" spans="1:5" s="31" customFormat="1" x14ac:dyDescent="0.35">
      <c r="A37" s="31" t="s">
        <v>622</v>
      </c>
      <c r="B37" s="3">
        <f>IF($B$32=1,ABS('Design Converter'!H110/1000),0)</f>
        <v>0</v>
      </c>
      <c r="C37" s="2" t="s">
        <v>11</v>
      </c>
    </row>
    <row r="38" spans="1:5" s="31" customFormat="1" x14ac:dyDescent="0.35">
      <c r="A38" s="31" t="s">
        <v>623</v>
      </c>
      <c r="B38" s="212">
        <f>IF($B$32=1,ABS('Design Converter'!H111*10^-9),0)</f>
        <v>0</v>
      </c>
      <c r="C38" s="2" t="s">
        <v>352</v>
      </c>
    </row>
    <row r="39" spans="1:5" s="31" customFormat="1" x14ac:dyDescent="0.35">
      <c r="B39" s="175"/>
    </row>
    <row r="40" spans="1:5" s="31" customFormat="1" x14ac:dyDescent="0.35">
      <c r="A40" s="31" t="s">
        <v>431</v>
      </c>
      <c r="B40" s="175">
        <f>SUM(POUT1,POUT2,POUT3)</f>
        <v>24.324999999999999</v>
      </c>
    </row>
    <row r="41" spans="1:5" s="31" customFormat="1" x14ac:dyDescent="0.35">
      <c r="A41" t="s">
        <v>37</v>
      </c>
      <c r="B41" s="179">
        <v>1</v>
      </c>
      <c r="E41" s="31" t="s">
        <v>476</v>
      </c>
    </row>
    <row r="42" spans="1:5" s="31" customFormat="1" x14ac:dyDescent="0.35">
      <c r="B42" s="175"/>
    </row>
    <row r="43" spans="1:5" s="31" customFormat="1" x14ac:dyDescent="0.35">
      <c r="A43" s="31" t="s">
        <v>683</v>
      </c>
      <c r="B43" s="175"/>
      <c r="E43" s="31" t="s">
        <v>684</v>
      </c>
    </row>
    <row r="44" spans="1:5" s="31" customFormat="1" x14ac:dyDescent="0.35">
      <c r="A44" s="31" t="s">
        <v>685</v>
      </c>
      <c r="B44" s="175"/>
      <c r="E44" s="31" t="s">
        <v>687</v>
      </c>
    </row>
    <row r="45" spans="1:5" s="31" customFormat="1" x14ac:dyDescent="0.35">
      <c r="A45" s="31" t="s">
        <v>686</v>
      </c>
      <c r="B45" s="175"/>
      <c r="E45" s="31" t="s">
        <v>688</v>
      </c>
    </row>
    <row r="46" spans="1:5" s="31" customFormat="1" x14ac:dyDescent="0.35">
      <c r="B46" s="175"/>
    </row>
    <row r="47" spans="1:5" s="31" customFormat="1" x14ac:dyDescent="0.35">
      <c r="B47" s="175"/>
    </row>
    <row r="48" spans="1:5" s="31" customFormat="1" x14ac:dyDescent="0.35">
      <c r="B48" s="175"/>
    </row>
    <row r="49" spans="1:5" s="31" customFormat="1" ht="15.5" x14ac:dyDescent="0.35">
      <c r="A49" s="18" t="s">
        <v>442</v>
      </c>
      <c r="B49" s="175"/>
    </row>
    <row r="50" spans="1:5" s="31" customFormat="1" x14ac:dyDescent="0.35">
      <c r="B50" s="175"/>
    </row>
    <row r="51" spans="1:5" s="31" customFormat="1" x14ac:dyDescent="0.35">
      <c r="A51" s="31" t="s">
        <v>441</v>
      </c>
      <c r="B51" s="179">
        <v>1</v>
      </c>
      <c r="E51" s="31" t="s">
        <v>443</v>
      </c>
    </row>
    <row r="52" spans="1:5" s="31" customFormat="1" x14ac:dyDescent="0.35">
      <c r="A52" s="31" t="s">
        <v>449</v>
      </c>
      <c r="B52" s="20">
        <f>'Design Converter'!H17/100</f>
        <v>0.3</v>
      </c>
      <c r="E52" s="31" t="s">
        <v>444</v>
      </c>
    </row>
    <row r="53" spans="1:5" s="31" customFormat="1" x14ac:dyDescent="0.35">
      <c r="A53" s="31" t="s">
        <v>456</v>
      </c>
      <c r="B53" s="28">
        <f>((VOUT1+VD)*(1-Dmax_limit)*Np)/(Dmax_limit*VIN_min)</f>
        <v>11.199999999999998</v>
      </c>
      <c r="C53" s="31" t="s">
        <v>458</v>
      </c>
      <c r="E53" s="31" t="s">
        <v>450</v>
      </c>
    </row>
    <row r="54" spans="1:5" s="31" customFormat="1" x14ac:dyDescent="0.35">
      <c r="A54" s="31" t="s">
        <v>457</v>
      </c>
      <c r="B54" s="20">
        <f>'Design Converter'!N10</f>
        <v>4.29</v>
      </c>
      <c r="C54" s="31" t="s">
        <v>458</v>
      </c>
      <c r="E54" s="31" t="s">
        <v>451</v>
      </c>
    </row>
    <row r="55" spans="1:5" s="31" customFormat="1" x14ac:dyDescent="0.35">
      <c r="A55" s="31" t="s">
        <v>604</v>
      </c>
      <c r="B55" s="28">
        <f>'Design Converter'!N11/1000</f>
        <v>1.2E-2</v>
      </c>
      <c r="C55" s="2" t="s">
        <v>35</v>
      </c>
      <c r="E55" s="31" t="s">
        <v>605</v>
      </c>
    </row>
    <row r="56" spans="1:5" s="31" customFormat="1" x14ac:dyDescent="0.35">
      <c r="B56" s="175"/>
      <c r="C56" s="2"/>
    </row>
    <row r="57" spans="1:5" s="31" customFormat="1" ht="15" customHeight="1" x14ac:dyDescent="0.35">
      <c r="A57" s="31" t="s">
        <v>471</v>
      </c>
      <c r="B57" s="27">
        <f>((Np/NS1_)*(VOUT1+VD))/((VIN_min+(Np/NS1_)*(VOUT1+VD)))</f>
        <v>0.52805280528052811</v>
      </c>
      <c r="E57" s="31" t="s">
        <v>473</v>
      </c>
    </row>
    <row r="58" spans="1:5" s="31" customFormat="1" ht="15" customHeight="1" x14ac:dyDescent="0.35">
      <c r="B58" s="39">
        <f>((Np/NS1_)*(VOUT1+VD))/((VIN_nom+(Np/NS1_)*(VOUT1+VD)))</f>
        <v>0.4825090470446321</v>
      </c>
      <c r="E58" s="31" t="s">
        <v>474</v>
      </c>
    </row>
    <row r="59" spans="1:5" s="31" customFormat="1" ht="15" customHeight="1" x14ac:dyDescent="0.35">
      <c r="B59" s="28">
        <f>((Np/NS1_)*(VOUT1+VD))/((VIN_max+(Np/NS1_)*(VOUT1+VD)))</f>
        <v>0.41152263374485598</v>
      </c>
      <c r="E59" s="31" t="s">
        <v>475</v>
      </c>
    </row>
    <row r="60" spans="1:5" s="31" customFormat="1" ht="15" customHeight="1" x14ac:dyDescent="0.35">
      <c r="A60" s="31" t="s">
        <v>477</v>
      </c>
      <c r="B60" s="28">
        <f>(Np/NS1_)*VOUT1+VD</f>
        <v>11.188811188811188</v>
      </c>
      <c r="E60" s="31" t="s">
        <v>663</v>
      </c>
    </row>
    <row r="61" spans="1:5" s="31" customFormat="1" ht="15" customHeight="1" x14ac:dyDescent="0.35">
      <c r="B61" s="175"/>
    </row>
    <row r="62" spans="1:5" s="31" customFormat="1" ht="15" customHeight="1" x14ac:dyDescent="0.35">
      <c r="B62" s="175"/>
    </row>
    <row r="63" spans="1:5" s="31" customFormat="1" ht="15" customHeight="1" x14ac:dyDescent="0.35">
      <c r="A63" s="31" t="s">
        <v>452</v>
      </c>
      <c r="B63" s="28">
        <f>IF(EN_OUT_2=1,(NS1_*((VOUT2+VD)/(VOUT1+VD))),0)</f>
        <v>0.5809375</v>
      </c>
      <c r="C63" s="31" t="s">
        <v>458</v>
      </c>
      <c r="E63" s="31" t="s">
        <v>454</v>
      </c>
    </row>
    <row r="64" spans="1:5" s="31" customFormat="1" ht="15" customHeight="1" x14ac:dyDescent="0.35">
      <c r="A64" s="31" t="s">
        <v>453</v>
      </c>
      <c r="B64" s="20">
        <f>IF(EN_OUT_2=1,'Design Converter'!N17,0)</f>
        <v>0.57199999999999995</v>
      </c>
      <c r="C64" s="31" t="s">
        <v>458</v>
      </c>
      <c r="E64" s="31" t="s">
        <v>455</v>
      </c>
    </row>
    <row r="65" spans="1:5" s="31" customFormat="1" ht="15" customHeight="1" x14ac:dyDescent="0.35">
      <c r="A65" s="31" t="s">
        <v>468</v>
      </c>
      <c r="B65" s="28">
        <f>IF(EN_OUT_2=1,((NS2_*VD)-(NS1_*VD)+(NS2_*VOUT1))/NS1_,0)</f>
        <v>6.3999999999999986</v>
      </c>
      <c r="C65" s="31" t="s">
        <v>11</v>
      </c>
      <c r="E65" s="31" t="s">
        <v>469</v>
      </c>
    </row>
    <row r="66" spans="1:5" s="31" customFormat="1" ht="15" customHeight="1" x14ac:dyDescent="0.35">
      <c r="A66" s="31" t="s">
        <v>606</v>
      </c>
      <c r="B66" s="28">
        <f>IF(EN_OUT_2=1,'Design Converter'!N18/1000,0)</f>
        <v>1.2E-2</v>
      </c>
    </row>
    <row r="67" spans="1:5" s="31" customFormat="1" ht="15" customHeight="1" x14ac:dyDescent="0.35"/>
    <row r="68" spans="1:5" s="31" customFormat="1" ht="15" customHeight="1" x14ac:dyDescent="0.35">
      <c r="A68" s="31" t="s">
        <v>463</v>
      </c>
      <c r="B68" s="28">
        <f>IF(EN_OUT_3=1,(NS1_*((VOUT3+VD)/(VOUT1+VD))),0)</f>
        <v>0</v>
      </c>
      <c r="C68" s="31" t="s">
        <v>458</v>
      </c>
      <c r="E68" s="31" t="s">
        <v>465</v>
      </c>
    </row>
    <row r="69" spans="1:5" s="31" customFormat="1" ht="15" customHeight="1" x14ac:dyDescent="0.35">
      <c r="A69" s="31" t="s">
        <v>464</v>
      </c>
      <c r="B69" s="20">
        <f>'Design Converter'!N25</f>
        <v>1</v>
      </c>
      <c r="C69" s="31" t="s">
        <v>458</v>
      </c>
      <c r="E69" s="31" t="s">
        <v>466</v>
      </c>
    </row>
    <row r="70" spans="1:5" s="31" customFormat="1" ht="15" customHeight="1" x14ac:dyDescent="0.35">
      <c r="A70" s="31" t="s">
        <v>470</v>
      </c>
      <c r="B70" s="28">
        <f>IF(EN_OUT_3=1,((NS3_*VD)-(NS1_*VD)+(NS3_*VOUT1))/NS1_,0)</f>
        <v>0</v>
      </c>
      <c r="C70" s="31" t="s">
        <v>11</v>
      </c>
      <c r="E70" s="31" t="s">
        <v>469</v>
      </c>
    </row>
    <row r="71" spans="1:5" s="31" customFormat="1" ht="15" customHeight="1" x14ac:dyDescent="0.35">
      <c r="A71" s="31" t="s">
        <v>607</v>
      </c>
      <c r="B71" s="28">
        <f>IF(EN_OUT_3=1,'Design Converter'!N26/1000,0)</f>
        <v>0</v>
      </c>
    </row>
    <row r="72" spans="1:5" s="31" customFormat="1" ht="15" customHeight="1" x14ac:dyDescent="0.35"/>
    <row r="74" spans="1:5" x14ac:dyDescent="0.35">
      <c r="A74" t="s">
        <v>76</v>
      </c>
      <c r="B74" s="3">
        <f>'Design Converter'!H22/100</f>
        <v>0.6</v>
      </c>
      <c r="E74" t="s">
        <v>92</v>
      </c>
    </row>
    <row r="75" spans="1:5" x14ac:dyDescent="0.35">
      <c r="A75" t="s">
        <v>74</v>
      </c>
      <c r="B75" s="37">
        <f>((Np^2)*(VIN_max^2)*((VOUT1+VD)^2))/(ILrip*POUT_Total*Fsw*((Np*VD)+(NS1_*VIN_max)+(Np*VOUT1))^2)</f>
        <v>2.7004157581725711E-5</v>
      </c>
      <c r="C75" t="s">
        <v>75</v>
      </c>
      <c r="E75" t="s">
        <v>478</v>
      </c>
    </row>
    <row r="76" spans="1:5" x14ac:dyDescent="0.35">
      <c r="A76" t="s">
        <v>77</v>
      </c>
      <c r="B76" s="33">
        <f>'Design Converter'!H24*10^-6</f>
        <v>1.8E-5</v>
      </c>
      <c r="C76" t="s">
        <v>75</v>
      </c>
      <c r="E76" t="s">
        <v>78</v>
      </c>
    </row>
    <row r="77" spans="1:5" x14ac:dyDescent="0.35">
      <c r="A77" t="s">
        <v>80</v>
      </c>
      <c r="B77" s="3">
        <f>'Design Converter'!H25*(10^-3)</f>
        <v>0.03</v>
      </c>
      <c r="C77" s="2" t="s">
        <v>35</v>
      </c>
      <c r="E77" t="s">
        <v>102</v>
      </c>
    </row>
    <row r="78" spans="1:5" s="31" customFormat="1" x14ac:dyDescent="0.35">
      <c r="A78" s="31" t="s">
        <v>103</v>
      </c>
      <c r="B78" s="21">
        <v>0.2</v>
      </c>
      <c r="C78" s="2"/>
      <c r="E78" s="31" t="s">
        <v>104</v>
      </c>
    </row>
    <row r="79" spans="1:5" x14ac:dyDescent="0.35">
      <c r="B79" t="s">
        <v>82</v>
      </c>
    </row>
    <row r="80" spans="1:5" s="31" customFormat="1" x14ac:dyDescent="0.35">
      <c r="A80" s="31" t="s">
        <v>479</v>
      </c>
      <c r="B80" s="27">
        <f>POUT_Total/(VIN_min*EFF_est*Dc_VIN_min)</f>
        <v>4.6065468749999994</v>
      </c>
      <c r="C80" s="31" t="s">
        <v>12</v>
      </c>
    </row>
    <row r="81" spans="1:5" s="31" customFormat="1" x14ac:dyDescent="0.35">
      <c r="A81" s="31" t="s">
        <v>85</v>
      </c>
      <c r="B81" s="27">
        <f>(VIN_min*Dc_VIN_min)/(Lm*Fsw)</f>
        <v>2.6669333600026675</v>
      </c>
      <c r="C81" s="31" t="s">
        <v>12</v>
      </c>
      <c r="E81" s="31" t="s">
        <v>86</v>
      </c>
    </row>
    <row r="82" spans="1:5" x14ac:dyDescent="0.35">
      <c r="A82" t="s">
        <v>83</v>
      </c>
      <c r="B82" s="27">
        <f>(IL_avg_VIN_min/EFF_est)+(ILrip_VINmin/2)</f>
        <v>5.9400135550013333</v>
      </c>
      <c r="C82" t="s">
        <v>12</v>
      </c>
      <c r="E82" t="s">
        <v>84</v>
      </c>
    </row>
    <row r="84" spans="1:5" s="31" customFormat="1" x14ac:dyDescent="0.35">
      <c r="A84" s="31" t="s">
        <v>479</v>
      </c>
      <c r="B84" s="27">
        <f>POUT_Total/(VIN_nom*EFF_est*Dc_VIN_nom)</f>
        <v>4.2011302083333328</v>
      </c>
    </row>
    <row r="85" spans="1:5" x14ac:dyDescent="0.35">
      <c r="A85" s="31" t="s">
        <v>87</v>
      </c>
      <c r="B85" s="27">
        <f>(VIN_nom*Dc_VIN_nom)/(Lm*Fsw)</f>
        <v>2.924297254815952</v>
      </c>
      <c r="C85" s="31" t="s">
        <v>12</v>
      </c>
      <c r="E85" s="31" t="s">
        <v>93</v>
      </c>
    </row>
    <row r="86" spans="1:5" x14ac:dyDescent="0.35">
      <c r="A86" s="31" t="s">
        <v>88</v>
      </c>
      <c r="B86" s="27">
        <f>(IL_avg_VIN_nom/EFF_est)+(ILrip_VINnom/2)</f>
        <v>5.6632788357413091</v>
      </c>
      <c r="C86" s="31" t="s">
        <v>12</v>
      </c>
      <c r="E86" s="31" t="s">
        <v>94</v>
      </c>
    </row>
    <row r="88" spans="1:5" s="31" customFormat="1" x14ac:dyDescent="0.35">
      <c r="A88" s="31" t="s">
        <v>479</v>
      </c>
      <c r="B88" s="27">
        <f>POUT_Total/(VIN_max*EFF_est*Dc_VIN_max)</f>
        <v>3.6943593749999999</v>
      </c>
      <c r="E88" s="31" t="s">
        <v>480</v>
      </c>
    </row>
    <row r="89" spans="1:5" x14ac:dyDescent="0.35">
      <c r="A89" s="31" t="s">
        <v>89</v>
      </c>
      <c r="B89" s="27">
        <f>(VIN_max*Dc_VIN_max)/(Lm*Fsw)</f>
        <v>3.3254354242008564</v>
      </c>
      <c r="C89" s="31" t="s">
        <v>12</v>
      </c>
      <c r="E89" s="31" t="s">
        <v>95</v>
      </c>
    </row>
    <row r="90" spans="1:5" x14ac:dyDescent="0.35">
      <c r="A90" s="31" t="s">
        <v>90</v>
      </c>
      <c r="B90" s="27">
        <f>(IL_avg_VIN_max/EFF_est)+(ILrip_VINmax/2)</f>
        <v>5.3570770871004285</v>
      </c>
      <c r="C90" s="31" t="s">
        <v>12</v>
      </c>
      <c r="E90" s="31" t="s">
        <v>96</v>
      </c>
    </row>
    <row r="92" spans="1:5" x14ac:dyDescent="0.35">
      <c r="A92" s="30" t="s">
        <v>91</v>
      </c>
    </row>
    <row r="93" spans="1:5" x14ac:dyDescent="0.35">
      <c r="A93" t="s">
        <v>98</v>
      </c>
      <c r="B93" s="3">
        <f>'Design Converter'!H30/100</f>
        <v>0.3</v>
      </c>
      <c r="E93" t="s">
        <v>99</v>
      </c>
    </row>
    <row r="94" spans="1:5" x14ac:dyDescent="0.35">
      <c r="A94" t="s">
        <v>100</v>
      </c>
      <c r="B94" s="28">
        <f>(1+Ipk_margin)*ILp_VINmin</f>
        <v>7.7220176215017338</v>
      </c>
      <c r="C94" t="s">
        <v>12</v>
      </c>
      <c r="E94" t="s">
        <v>101</v>
      </c>
    </row>
    <row r="95" spans="1:5" s="31" customFormat="1" x14ac:dyDescent="0.35">
      <c r="B95" s="185"/>
    </row>
    <row r="96" spans="1:5" s="31" customFormat="1" x14ac:dyDescent="0.35">
      <c r="A96" s="31" t="s">
        <v>107</v>
      </c>
      <c r="B96" s="21">
        <v>0.83299999999999996</v>
      </c>
      <c r="E96" s="31" t="s">
        <v>108</v>
      </c>
    </row>
    <row r="97" spans="1:11" s="31" customFormat="1" x14ac:dyDescent="0.35">
      <c r="B97" s="26"/>
    </row>
    <row r="98" spans="1:11" x14ac:dyDescent="0.35">
      <c r="A98" t="s">
        <v>105</v>
      </c>
      <c r="B98" s="186">
        <f>(1/B96)*((Fsw*Isl*Rsl_int*Lm)/((Np/NS1_)*ABS(VOUT1)))</f>
        <v>8.4954746398559437E-3</v>
      </c>
      <c r="C98" s="2" t="s">
        <v>35</v>
      </c>
      <c r="E98" t="s">
        <v>106</v>
      </c>
    </row>
    <row r="99" spans="1:11" x14ac:dyDescent="0.35">
      <c r="A99" t="s">
        <v>113</v>
      </c>
      <c r="B99" s="37">
        <f>Vcl/Ipk_selected</f>
        <v>1.2949983398322339E-2</v>
      </c>
      <c r="C99" s="2" t="s">
        <v>35</v>
      </c>
      <c r="E99" t="s">
        <v>114</v>
      </c>
    </row>
    <row r="100" spans="1:11" s="31" customFormat="1" x14ac:dyDescent="0.35">
      <c r="B100" s="26"/>
    </row>
    <row r="101" spans="1:11" s="31" customFormat="1" x14ac:dyDescent="0.35">
      <c r="A101" s="31" t="s">
        <v>119</v>
      </c>
      <c r="B101" s="21">
        <v>0.83299999999999996</v>
      </c>
      <c r="E101" s="31" t="s">
        <v>120</v>
      </c>
    </row>
    <row r="102" spans="1:11" x14ac:dyDescent="0.35">
      <c r="A102" t="s">
        <v>118</v>
      </c>
      <c r="B102" s="36">
        <f>(Lm*NS1_*Fsw*(Vcl+(Dc_VIN_min*Isl*Rsl_int)))/((Dc_VIN_min*Kslope*VOUT1*Np)+(Ipk_selected*Lm*NS1_*Fsw))</f>
        <v>1.1865272181265577E-2</v>
      </c>
      <c r="C102" s="2" t="s">
        <v>35</v>
      </c>
      <c r="E102" t="s">
        <v>129</v>
      </c>
    </row>
    <row r="103" spans="1:11" x14ac:dyDescent="0.35">
      <c r="A103" t="s">
        <v>121</v>
      </c>
      <c r="B103" s="27">
        <f>(Vcl-(Ipk_selected*Rcs_w_sl))/(Isl*Dc_VIN_min)</f>
        <v>528.7450452297777</v>
      </c>
      <c r="C103" s="2" t="s">
        <v>35</v>
      </c>
      <c r="E103" s="31" t="s">
        <v>128</v>
      </c>
    </row>
    <row r="105" spans="1:11" x14ac:dyDescent="0.35">
      <c r="A105" t="s">
        <v>117</v>
      </c>
      <c r="B105" s="1">
        <f>IF(Rcs_wo_sl&gt;Rcs_max,1,0)</f>
        <v>1</v>
      </c>
      <c r="E105" t="s">
        <v>664</v>
      </c>
    </row>
    <row r="106" spans="1:11" x14ac:dyDescent="0.35">
      <c r="A106" t="s">
        <v>122</v>
      </c>
      <c r="B106" s="39">
        <f>IF(B105=0,Rcs_wo_sl,Rcs_w_sl)</f>
        <v>1.1865272181265577E-2</v>
      </c>
      <c r="C106" s="2" t="s">
        <v>35</v>
      </c>
      <c r="E106" t="s">
        <v>126</v>
      </c>
    </row>
    <row r="107" spans="1:11" x14ac:dyDescent="0.35">
      <c r="A107" t="s">
        <v>123</v>
      </c>
      <c r="B107" s="1">
        <f>IF(B105=0,0,B103)</f>
        <v>528.7450452297777</v>
      </c>
      <c r="C107" s="2" t="s">
        <v>35</v>
      </c>
      <c r="E107" t="s">
        <v>127</v>
      </c>
    </row>
    <row r="109" spans="1:11" x14ac:dyDescent="0.35">
      <c r="A109" t="s">
        <v>124</v>
      </c>
      <c r="B109" s="40">
        <f>'Design Converter'!H34/1000</f>
        <v>2E-3</v>
      </c>
      <c r="C109" s="2" t="s">
        <v>35</v>
      </c>
      <c r="E109" t="s">
        <v>131</v>
      </c>
    </row>
    <row r="110" spans="1:11" x14ac:dyDescent="0.35">
      <c r="A110" t="s">
        <v>125</v>
      </c>
      <c r="B110" s="3">
        <f>'Design Converter'!H35</f>
        <v>0</v>
      </c>
      <c r="C110" s="2" t="s">
        <v>35</v>
      </c>
      <c r="E110" t="s">
        <v>132</v>
      </c>
    </row>
    <row r="112" spans="1:11" x14ac:dyDescent="0.35">
      <c r="A112" t="s">
        <v>136</v>
      </c>
      <c r="B112" s="28">
        <f>(Isl*(Rsl_int+R_sl)*Fsw)/(((VOUT1*(Np/NS1_))/Lm)*R_cs)</f>
        <v>3.5383651874999997</v>
      </c>
      <c r="C112" t="s">
        <v>144</v>
      </c>
      <c r="E112" t="s">
        <v>134</v>
      </c>
      <c r="K112">
        <f>IF(B112&lt;0.5,1,0)</f>
        <v>0</v>
      </c>
    </row>
    <row r="113" spans="1:16" s="31" customFormat="1" x14ac:dyDescent="0.35">
      <c r="A113" s="31" t="s">
        <v>138</v>
      </c>
      <c r="B113" s="28">
        <f>(Vcl-(Isl*R_sl*Dc_VIN_min))/R_cs</f>
        <v>50</v>
      </c>
      <c r="C113" s="31" t="s">
        <v>12</v>
      </c>
      <c r="E113" s="31" t="s">
        <v>140</v>
      </c>
      <c r="K113">
        <f>IF(IL_pk&lt;Ipk_selected,1,0)</f>
        <v>0</v>
      </c>
    </row>
    <row r="114" spans="1:16" x14ac:dyDescent="0.35">
      <c r="A114" t="s">
        <v>139</v>
      </c>
      <c r="B114" s="28">
        <f>(Vcl-(Isl*R_sl*Dc_VIN_max))/R_cs</f>
        <v>50</v>
      </c>
      <c r="C114" t="s">
        <v>12</v>
      </c>
      <c r="E114" t="s">
        <v>141</v>
      </c>
    </row>
    <row r="115" spans="1:16" x14ac:dyDescent="0.35">
      <c r="A115" t="s">
        <v>142</v>
      </c>
      <c r="B115" s="1">
        <f>0.15</f>
        <v>0.15</v>
      </c>
      <c r="E115" t="s">
        <v>143</v>
      </c>
    </row>
    <row r="117" spans="1:16" x14ac:dyDescent="0.35">
      <c r="A117" s="34" t="s">
        <v>145</v>
      </c>
    </row>
    <row r="118" spans="1:16" x14ac:dyDescent="0.35">
      <c r="A118" t="s">
        <v>653</v>
      </c>
    </row>
    <row r="120" spans="1:16" x14ac:dyDescent="0.35">
      <c r="A120" s="42" t="s">
        <v>146</v>
      </c>
      <c r="E120">
        <f>VIN_min</f>
        <v>10</v>
      </c>
    </row>
    <row r="121" spans="1:16" s="31" customFormat="1" x14ac:dyDescent="0.35">
      <c r="A121" s="42"/>
    </row>
    <row r="122" spans="1:16" s="31" customFormat="1" x14ac:dyDescent="0.35">
      <c r="A122" s="195" t="s">
        <v>646</v>
      </c>
      <c r="B122" s="1">
        <f>fz_rhp/5</f>
        <v>3838.8587038455225</v>
      </c>
      <c r="C122" s="31" t="s">
        <v>61</v>
      </c>
      <c r="E122" s="31" t="s">
        <v>647</v>
      </c>
      <c r="O122" s="187"/>
      <c r="P122" s="31" t="s">
        <v>660</v>
      </c>
    </row>
    <row r="123" spans="1:16" s="31" customFormat="1" x14ac:dyDescent="0.35">
      <c r="A123" s="42"/>
    </row>
    <row r="124" spans="1:16" s="31" customFormat="1" x14ac:dyDescent="0.35">
      <c r="A124" s="42"/>
    </row>
    <row r="125" spans="1:16" x14ac:dyDescent="0.35">
      <c r="B125" s="46" t="s">
        <v>489</v>
      </c>
    </row>
    <row r="126" spans="1:16" x14ac:dyDescent="0.35">
      <c r="A126" t="s">
        <v>481</v>
      </c>
      <c r="B126" s="43">
        <f>'Design Converter'!H40/1000</f>
        <v>0.1</v>
      </c>
      <c r="C126" t="s">
        <v>11</v>
      </c>
      <c r="E126" t="s">
        <v>150</v>
      </c>
    </row>
    <row r="127" spans="1:16" s="31" customFormat="1" x14ac:dyDescent="0.35">
      <c r="A127" s="31" t="s">
        <v>648</v>
      </c>
      <c r="B127" s="43">
        <f>IOUT1-(IOUT1/2)</f>
        <v>0.25</v>
      </c>
      <c r="C127" s="31" t="s">
        <v>12</v>
      </c>
      <c r="E127" s="31" t="s">
        <v>649</v>
      </c>
    </row>
    <row r="128" spans="1:16" x14ac:dyDescent="0.35">
      <c r="A128" t="s">
        <v>482</v>
      </c>
      <c r="B128" s="1">
        <f>B127/(2*PI()*Vout1_rip_sel*B122)</f>
        <v>1.0364730468750005E-4</v>
      </c>
      <c r="C128" t="s">
        <v>151</v>
      </c>
      <c r="E128" t="s">
        <v>152</v>
      </c>
    </row>
    <row r="129" spans="1:16" x14ac:dyDescent="0.35">
      <c r="A129" t="s">
        <v>153</v>
      </c>
      <c r="B129" s="27"/>
      <c r="C129" t="s">
        <v>12</v>
      </c>
      <c r="D129" s="187"/>
      <c r="E129" t="s">
        <v>154</v>
      </c>
    </row>
    <row r="130" spans="1:16" x14ac:dyDescent="0.35">
      <c r="A130" t="s">
        <v>482</v>
      </c>
      <c r="B130" s="3">
        <f>'Design Converter'!H42*(10^-6)</f>
        <v>2.9999999999999997E-4</v>
      </c>
      <c r="C130" t="s">
        <v>151</v>
      </c>
      <c r="E130" t="s">
        <v>156</v>
      </c>
    </row>
    <row r="131" spans="1:16" x14ac:dyDescent="0.35">
      <c r="A131" t="s">
        <v>483</v>
      </c>
      <c r="B131" s="3">
        <f>'Design Converter'!H43/1000</f>
        <v>2E-3</v>
      </c>
      <c r="C131" s="2" t="s">
        <v>35</v>
      </c>
      <c r="E131" t="s">
        <v>157</v>
      </c>
    </row>
    <row r="132" spans="1:16" x14ac:dyDescent="0.35">
      <c r="A132" t="s">
        <v>284</v>
      </c>
      <c r="D132" s="187"/>
      <c r="E132" s="94" t="s">
        <v>285</v>
      </c>
    </row>
    <row r="133" spans="1:16" s="31" customFormat="1" x14ac:dyDescent="0.35">
      <c r="B133" s="46" t="s">
        <v>487</v>
      </c>
    </row>
    <row r="134" spans="1:16" s="31" customFormat="1" x14ac:dyDescent="0.35">
      <c r="A134" s="31" t="s">
        <v>492</v>
      </c>
      <c r="B134" s="43">
        <f>'Design Converter'!N40*(10^-3)</f>
        <v>0.1</v>
      </c>
      <c r="C134" s="31" t="s">
        <v>11</v>
      </c>
      <c r="E134" s="31" t="s">
        <v>150</v>
      </c>
    </row>
    <row r="135" spans="1:16" s="31" customFormat="1" x14ac:dyDescent="0.35">
      <c r="B135" s="43">
        <f>IOUT2-(IOUT2/2)</f>
        <v>2.5000000000000001E-2</v>
      </c>
      <c r="E135" s="31" t="s">
        <v>661</v>
      </c>
    </row>
    <row r="136" spans="1:16" s="31" customFormat="1" x14ac:dyDescent="0.35">
      <c r="A136" s="31" t="s">
        <v>493</v>
      </c>
      <c r="B136" s="1">
        <f>IF(EN_OUT_2=1,B135/(2*PI()*Vout2_rip_sel*B122),0)</f>
        <v>1.0364730468750006E-5</v>
      </c>
      <c r="C136" s="31" t="s">
        <v>151</v>
      </c>
      <c r="E136" s="31" t="s">
        <v>152</v>
      </c>
      <c r="O136" s="187"/>
      <c r="P136" s="31" t="s">
        <v>658</v>
      </c>
    </row>
    <row r="137" spans="1:16" s="31" customFormat="1" x14ac:dyDescent="0.35">
      <c r="A137" s="31" t="s">
        <v>153</v>
      </c>
      <c r="B137" s="27"/>
      <c r="C137" s="31" t="s">
        <v>12</v>
      </c>
      <c r="E137" s="31" t="s">
        <v>154</v>
      </c>
    </row>
    <row r="138" spans="1:16" s="31" customFormat="1" x14ac:dyDescent="0.35">
      <c r="A138" s="31" t="s">
        <v>494</v>
      </c>
      <c r="B138" s="3">
        <f>IF(EN_OUT_2=1,'Design Converter'!N42*(10^-6),0)</f>
        <v>9.9999999999999991E-6</v>
      </c>
      <c r="C138" s="31" t="s">
        <v>151</v>
      </c>
      <c r="E138" s="31" t="s">
        <v>156</v>
      </c>
    </row>
    <row r="139" spans="1:16" s="31" customFormat="1" x14ac:dyDescent="0.35">
      <c r="A139" s="31" t="s">
        <v>495</v>
      </c>
      <c r="B139" s="3">
        <f>IF(EN_OUT_2=1,'Design Converter'!N43*(10^-3),0)</f>
        <v>1E-3</v>
      </c>
      <c r="C139" s="2" t="s">
        <v>35</v>
      </c>
      <c r="E139" s="31" t="s">
        <v>157</v>
      </c>
    </row>
    <row r="140" spans="1:16" s="31" customFormat="1" x14ac:dyDescent="0.35">
      <c r="A140" s="31" t="s">
        <v>496</v>
      </c>
      <c r="B140" s="3">
        <f>IF(EN_OUT_2=1,1/(((Np^2)/(NS2_^2))*Resr2),0)</f>
        <v>327.18399999999997</v>
      </c>
      <c r="C140" s="2" t="s">
        <v>35</v>
      </c>
      <c r="E140" s="31" t="s">
        <v>497</v>
      </c>
      <c r="O140" s="31" t="s">
        <v>662</v>
      </c>
    </row>
    <row r="141" spans="1:16" s="31" customFormat="1" x14ac:dyDescent="0.35">
      <c r="B141" s="46" t="s">
        <v>488</v>
      </c>
      <c r="E141" s="188"/>
    </row>
    <row r="142" spans="1:16" s="31" customFormat="1" x14ac:dyDescent="0.35">
      <c r="A142" s="31" t="s">
        <v>484</v>
      </c>
      <c r="B142" s="43">
        <f>'Design Converter'!V40*(10^-3)</f>
        <v>0.70000000000000007</v>
      </c>
      <c r="C142" s="31" t="s">
        <v>11</v>
      </c>
      <c r="E142" s="31" t="s">
        <v>150</v>
      </c>
    </row>
    <row r="143" spans="1:16" s="31" customFormat="1" x14ac:dyDescent="0.35">
      <c r="B143" s="43">
        <f>IOUT3-(IOUT3/2)</f>
        <v>0</v>
      </c>
    </row>
    <row r="144" spans="1:16" s="31" customFormat="1" x14ac:dyDescent="0.35">
      <c r="A144" s="31" t="s">
        <v>485</v>
      </c>
      <c r="B144" s="1">
        <f>IF(EN_OUT_3=1,B143/(2*PI()*Vout3_rip_sel*B122),0)</f>
        <v>0</v>
      </c>
      <c r="C144" s="31" t="s">
        <v>151</v>
      </c>
      <c r="E144" s="31" t="s">
        <v>152</v>
      </c>
      <c r="O144" s="187"/>
      <c r="P144" s="31" t="s">
        <v>659</v>
      </c>
    </row>
    <row r="145" spans="1:11" s="31" customFormat="1" x14ac:dyDescent="0.35">
      <c r="A145" s="31" t="s">
        <v>153</v>
      </c>
      <c r="B145" s="27"/>
      <c r="C145" s="31" t="s">
        <v>12</v>
      </c>
      <c r="E145" s="31" t="s">
        <v>154</v>
      </c>
    </row>
    <row r="146" spans="1:11" s="31" customFormat="1" x14ac:dyDescent="0.35">
      <c r="A146" s="31" t="s">
        <v>485</v>
      </c>
      <c r="B146" s="3">
        <f>IF(EN_OUT_3=1,'Design Converter'!V42*(10^-6),0)</f>
        <v>0</v>
      </c>
      <c r="C146" s="31" t="s">
        <v>151</v>
      </c>
      <c r="E146" s="31" t="s">
        <v>156</v>
      </c>
    </row>
    <row r="147" spans="1:11" s="31" customFormat="1" x14ac:dyDescent="0.35">
      <c r="A147" s="31" t="s">
        <v>486</v>
      </c>
      <c r="B147" s="3">
        <f>IF(EN_OUT_3=1,'Design Converter'!V43*(10^-3),0)</f>
        <v>0</v>
      </c>
      <c r="C147" s="2" t="s">
        <v>35</v>
      </c>
      <c r="E147" s="31" t="s">
        <v>157</v>
      </c>
    </row>
    <row r="148" spans="1:11" s="31" customFormat="1" x14ac:dyDescent="0.35">
      <c r="B148" s="3">
        <f>IF(EN_OUT_3=1,1/(((Np^2)/(NS3_^2))*Resr3),0)</f>
        <v>0</v>
      </c>
      <c r="C148" s="2" t="s">
        <v>35</v>
      </c>
      <c r="E148" s="31" t="s">
        <v>497</v>
      </c>
    </row>
    <row r="149" spans="1:11" s="31" customFormat="1" x14ac:dyDescent="0.35"/>
    <row r="150" spans="1:11" s="31" customFormat="1" x14ac:dyDescent="0.35">
      <c r="A150" s="31" t="s">
        <v>490</v>
      </c>
      <c r="B150" s="201">
        <f>Cout1+(((NS2_^2)/(NS1_^2))*Cout2)+(((NS3_^2)/(NS1_^2))*Cout3)</f>
        <v>3.0017777777777773E-4</v>
      </c>
      <c r="C150" s="31" t="s">
        <v>151</v>
      </c>
      <c r="E150" s="31" t="s">
        <v>499</v>
      </c>
      <c r="K150" s="31">
        <f>(((NS2_^2)/(NS1_^2))*Cout2)</f>
        <v>1.7777777777777774E-7</v>
      </c>
    </row>
    <row r="151" spans="1:11" s="31" customFormat="1" x14ac:dyDescent="0.35">
      <c r="A151" s="31" t="s">
        <v>491</v>
      </c>
      <c r="B151" s="3">
        <f>1/((1/Resr1)+Resr2_Trans+Resr3_Trans)</f>
        <v>1.2089208688756069E-3</v>
      </c>
      <c r="C151" s="2" t="s">
        <v>35</v>
      </c>
      <c r="E151" s="31" t="s">
        <v>498</v>
      </c>
    </row>
    <row r="152" spans="1:11" s="31" customFormat="1" x14ac:dyDescent="0.35"/>
    <row r="153" spans="1:11" s="26" customFormat="1" x14ac:dyDescent="0.35">
      <c r="E153" s="26" t="s">
        <v>500</v>
      </c>
    </row>
    <row r="154" spans="1:11" s="31" customFormat="1" x14ac:dyDescent="0.35">
      <c r="A154" s="42" t="s">
        <v>303</v>
      </c>
    </row>
    <row r="155" spans="1:11" s="31" customFormat="1" x14ac:dyDescent="0.35">
      <c r="A155" s="31" t="s">
        <v>287</v>
      </c>
      <c r="B155" s="21">
        <f>Iss</f>
        <v>9.9999999999999991E-6</v>
      </c>
      <c r="C155" s="31" t="s">
        <v>12</v>
      </c>
      <c r="E155" s="31" t="s">
        <v>289</v>
      </c>
      <c r="J155" s="31" t="s">
        <v>665</v>
      </c>
    </row>
    <row r="156" spans="1:11" s="31" customFormat="1" x14ac:dyDescent="0.35">
      <c r="A156" s="31" t="s">
        <v>290</v>
      </c>
      <c r="B156" s="1">
        <f>Iss*VOUT1*Cout1/(Vref*IOUT1)</f>
        <v>2.8799999999999993E-7</v>
      </c>
      <c r="C156" s="31" t="s">
        <v>151</v>
      </c>
      <c r="E156" s="31" t="s">
        <v>291</v>
      </c>
    </row>
    <row r="157" spans="1:11" s="31" customFormat="1" x14ac:dyDescent="0.35">
      <c r="A157" s="31" t="s">
        <v>292</v>
      </c>
      <c r="B157" s="3">
        <f>'Design Converter'!H48*(10^-3)</f>
        <v>0.02</v>
      </c>
      <c r="C157" s="31" t="s">
        <v>47</v>
      </c>
      <c r="E157" s="31" t="s">
        <v>293</v>
      </c>
    </row>
    <row r="158" spans="1:11" s="31" customFormat="1" x14ac:dyDescent="0.35">
      <c r="A158" s="31" t="s">
        <v>296</v>
      </c>
      <c r="B158" s="1">
        <f>(tss*Iss)/(Vref)</f>
        <v>1.9999999999999999E-7</v>
      </c>
      <c r="C158" s="31" t="s">
        <v>151</v>
      </c>
      <c r="E158" s="31" t="s">
        <v>297</v>
      </c>
    </row>
    <row r="159" spans="1:11" s="31" customFormat="1" x14ac:dyDescent="0.35"/>
    <row r="160" spans="1:11" s="31" customFormat="1" x14ac:dyDescent="0.35">
      <c r="A160" s="42" t="s">
        <v>302</v>
      </c>
    </row>
    <row r="161" spans="1:5" s="31" customFormat="1" x14ac:dyDescent="0.35">
      <c r="A161" s="31" t="s">
        <v>304</v>
      </c>
      <c r="B161" s="3">
        <f>'Design Converter'!H52</f>
        <v>5.8</v>
      </c>
      <c r="C161" s="31" t="s">
        <v>11</v>
      </c>
      <c r="E161" s="31" t="s">
        <v>306</v>
      </c>
    </row>
    <row r="162" spans="1:5" s="31" customFormat="1" x14ac:dyDescent="0.35">
      <c r="A162" s="31" t="s">
        <v>305</v>
      </c>
      <c r="B162" s="3">
        <f>'Design Converter'!H53</f>
        <v>5.4</v>
      </c>
      <c r="C162" s="31" t="s">
        <v>11</v>
      </c>
      <c r="E162" s="31" t="s">
        <v>307</v>
      </c>
    </row>
    <row r="163" spans="1:5" s="31" customFormat="1" x14ac:dyDescent="0.35">
      <c r="A163" s="31" t="s">
        <v>309</v>
      </c>
      <c r="B163" s="21">
        <f>UV_rise</f>
        <v>1.5</v>
      </c>
      <c r="C163" s="31" t="s">
        <v>11</v>
      </c>
      <c r="E163" s="31" t="s">
        <v>314</v>
      </c>
    </row>
    <row r="164" spans="1:5" s="31" customFormat="1" x14ac:dyDescent="0.35">
      <c r="A164" s="31" t="s">
        <v>310</v>
      </c>
      <c r="B164" s="21">
        <f>UV_fall</f>
        <v>1.45</v>
      </c>
      <c r="C164" s="31" t="s">
        <v>11</v>
      </c>
      <c r="E164" s="31" t="s">
        <v>313</v>
      </c>
    </row>
    <row r="165" spans="1:5" s="31" customFormat="1" x14ac:dyDescent="0.35">
      <c r="A165" s="31" t="s">
        <v>315</v>
      </c>
      <c r="B165" s="21">
        <f>UV_I_hyst</f>
        <v>4.9999999999999996E-6</v>
      </c>
      <c r="C165" s="31" t="s">
        <v>12</v>
      </c>
      <c r="E165" s="31" t="s">
        <v>317</v>
      </c>
    </row>
    <row r="166" spans="1:5" s="31" customFormat="1" x14ac:dyDescent="0.35">
      <c r="A166" s="31" t="s">
        <v>318</v>
      </c>
      <c r="B166" s="29">
        <f>((Vuvlo_on*0.967)-Vuvlo_off)/(UV_I_hyst)</f>
        <v>41719.999999999942</v>
      </c>
      <c r="C166" s="2" t="s">
        <v>35</v>
      </c>
      <c r="E166" s="31" t="s">
        <v>392</v>
      </c>
    </row>
    <row r="167" spans="1:5" s="31" customFormat="1" x14ac:dyDescent="0.35">
      <c r="A167" s="31" t="s">
        <v>318</v>
      </c>
      <c r="B167" s="3">
        <f>'Design Converter'!H55*1000</f>
        <v>41720</v>
      </c>
      <c r="C167" s="2" t="s">
        <v>35</v>
      </c>
      <c r="E167" s="31" t="s">
        <v>393</v>
      </c>
    </row>
    <row r="168" spans="1:5" s="31" customFormat="1" x14ac:dyDescent="0.35">
      <c r="A168" s="31" t="s">
        <v>319</v>
      </c>
      <c r="B168" s="29">
        <f>UV_rise*Ruvlo_top/(Vuvlo_on-UV_rise)</f>
        <v>14553.488372093025</v>
      </c>
      <c r="C168" s="2" t="s">
        <v>35</v>
      </c>
      <c r="E168" s="31" t="s">
        <v>394</v>
      </c>
    </row>
    <row r="169" spans="1:5" s="31" customFormat="1" x14ac:dyDescent="0.35">
      <c r="A169" s="31" t="s">
        <v>320</v>
      </c>
      <c r="B169" s="28">
        <f>UV_rise*(Ruvlo_top+Ruvlo_bottom_calc)/Ruvlo_bottom_calc</f>
        <v>5.8</v>
      </c>
      <c r="E169" s="31" t="s">
        <v>322</v>
      </c>
    </row>
    <row r="170" spans="1:5" s="31" customFormat="1" x14ac:dyDescent="0.35">
      <c r="A170" s="31" t="s">
        <v>321</v>
      </c>
      <c r="B170" s="28">
        <f>Ruvlo_top*((UV_fall/Ruvlo_top)-(UV_I_hyst)+(UV_fall/Ruvlo_bottom_calc))</f>
        <v>5.3980666666666659</v>
      </c>
      <c r="E170" s="31" t="s">
        <v>323</v>
      </c>
    </row>
    <row r="171" spans="1:5" s="31" customFormat="1" x14ac:dyDescent="0.35"/>
    <row r="172" spans="1:5" s="31" customFormat="1" x14ac:dyDescent="0.35"/>
    <row r="173" spans="1:5" x14ac:dyDescent="0.35">
      <c r="A173" s="42" t="s">
        <v>557</v>
      </c>
    </row>
    <row r="174" spans="1:5" s="31" customFormat="1" x14ac:dyDescent="0.35">
      <c r="A174" s="47" t="s">
        <v>186</v>
      </c>
      <c r="B174" s="3">
        <f>'Design Converter'!H59</f>
        <v>12</v>
      </c>
      <c r="C174" s="31" t="s">
        <v>11</v>
      </c>
      <c r="E174" s="31" t="s">
        <v>650</v>
      </c>
    </row>
    <row r="175" spans="1:5" s="31" customFormat="1" x14ac:dyDescent="0.35">
      <c r="A175" s="47" t="s">
        <v>517</v>
      </c>
      <c r="B175" s="26">
        <v>1</v>
      </c>
      <c r="E175" s="31" t="s">
        <v>518</v>
      </c>
    </row>
    <row r="176" spans="1:5" s="31" customFormat="1" x14ac:dyDescent="0.35">
      <c r="A176" s="47"/>
      <c r="B176" s="26"/>
    </row>
    <row r="177" spans="1:5" s="31" customFormat="1" x14ac:dyDescent="0.35">
      <c r="A177" s="47" t="s">
        <v>556</v>
      </c>
      <c r="B177" s="26"/>
    </row>
    <row r="178" spans="1:5" s="31" customFormat="1" x14ac:dyDescent="0.35">
      <c r="A178" s="31" t="s">
        <v>396</v>
      </c>
      <c r="B178" s="32">
        <f>Gcomp*((VOUT1^2)/(POUT_Total))*((1-Dc_VIN_min)/((1+Dc_VIN_min)*((Acs*R_cs)/(Np/NS1_))))</f>
        <v>484.1564576169979</v>
      </c>
      <c r="E178" s="31" t="s">
        <v>559</v>
      </c>
    </row>
    <row r="179" spans="1:5" s="31" customFormat="1" x14ac:dyDescent="0.35"/>
    <row r="180" spans="1:5" s="31" customFormat="1" x14ac:dyDescent="0.35">
      <c r="A180" s="31" t="s">
        <v>397</v>
      </c>
      <c r="B180" s="21">
        <f>(1+Dc_VIN_min)/(Cout_total*((VOUT1^2)/POUT_Total))</f>
        <v>53.744026237416101</v>
      </c>
      <c r="C180" s="31" t="s">
        <v>383</v>
      </c>
      <c r="E180" s="31" t="s">
        <v>382</v>
      </c>
    </row>
    <row r="181" spans="1:5" s="31" customFormat="1" x14ac:dyDescent="0.35">
      <c r="A181" s="31" t="s">
        <v>398</v>
      </c>
      <c r="B181" s="29">
        <f>B180/(2*PI())</f>
        <v>8.5536274373452894</v>
      </c>
      <c r="C181" s="31" t="s">
        <v>61</v>
      </c>
      <c r="E181" s="31" t="s">
        <v>240</v>
      </c>
    </row>
    <row r="182" spans="1:5" s="31" customFormat="1" x14ac:dyDescent="0.35">
      <c r="B182" s="26"/>
    </row>
    <row r="183" spans="1:5" s="31" customFormat="1" x14ac:dyDescent="0.35">
      <c r="A183" s="31" t="s">
        <v>399</v>
      </c>
      <c r="B183" s="21">
        <f>1/(Cout_total*Resr_total)</f>
        <v>2755647.0239857868</v>
      </c>
      <c r="C183" s="31" t="s">
        <v>384</v>
      </c>
      <c r="E183" s="31" t="s">
        <v>385</v>
      </c>
    </row>
    <row r="184" spans="1:5" s="31" customFormat="1" x14ac:dyDescent="0.35">
      <c r="A184" s="31" t="s">
        <v>400</v>
      </c>
      <c r="B184" s="1">
        <f>B183/(2*PI())</f>
        <v>438574.84528380865</v>
      </c>
      <c r="C184" s="31" t="s">
        <v>61</v>
      </c>
      <c r="E184" s="31" t="s">
        <v>242</v>
      </c>
    </row>
    <row r="185" spans="1:5" s="31" customFormat="1" x14ac:dyDescent="0.35">
      <c r="B185" s="26"/>
    </row>
    <row r="186" spans="1:5" s="31" customFormat="1" x14ac:dyDescent="0.35">
      <c r="A186" s="31" t="s">
        <v>401</v>
      </c>
      <c r="B186" s="21">
        <f>(((VOUT1^2)/POUT_Total)*((1-Dc_VIN_min)^2))/((Lm/((Np/NS1_)^2))*Dc_VIN_min)</f>
        <v>120601.30302170329</v>
      </c>
      <c r="E186" s="31" t="s">
        <v>381</v>
      </c>
    </row>
    <row r="187" spans="1:5" s="31" customFormat="1" x14ac:dyDescent="0.35">
      <c r="A187" s="31" t="s">
        <v>402</v>
      </c>
      <c r="B187" s="29">
        <f>B186/(2*PI())</f>
        <v>19194.293519227613</v>
      </c>
      <c r="C187" s="31" t="s">
        <v>61</v>
      </c>
      <c r="E187" s="31" t="s">
        <v>241</v>
      </c>
    </row>
    <row r="188" spans="1:5" s="31" customFormat="1" x14ac:dyDescent="0.35">
      <c r="B188" s="26">
        <f>Fsw/10</f>
        <v>11000</v>
      </c>
      <c r="C188" s="31" t="s">
        <v>61</v>
      </c>
      <c r="E188" s="31" t="s">
        <v>249</v>
      </c>
    </row>
    <row r="189" spans="1:5" s="31" customFormat="1" x14ac:dyDescent="0.35">
      <c r="B189" s="31">
        <f>IF((B187/5)&lt;(B188),0,1)</f>
        <v>0</v>
      </c>
      <c r="E189" s="31" t="s">
        <v>251</v>
      </c>
    </row>
    <row r="190" spans="1:5" s="31" customFormat="1" x14ac:dyDescent="0.35"/>
    <row r="191" spans="1:5" s="31" customFormat="1" x14ac:dyDescent="0.35">
      <c r="A191" s="31" t="s">
        <v>403</v>
      </c>
      <c r="B191" s="1">
        <f>(Isl*(Rsl_int+R_sl)*Fsw)</f>
        <v>4398.8999999999996</v>
      </c>
      <c r="C191" s="31" t="s">
        <v>144</v>
      </c>
      <c r="E191" s="31" t="s">
        <v>202</v>
      </c>
    </row>
    <row r="192" spans="1:5" s="31" customFormat="1" x14ac:dyDescent="0.35">
      <c r="A192" s="31" t="s">
        <v>404</v>
      </c>
      <c r="B192" s="1">
        <f>(R_cs*VIN_min*Acs)/Lm</f>
        <v>1111.1111111111111</v>
      </c>
      <c r="C192" s="31" t="s">
        <v>144</v>
      </c>
      <c r="E192" s="31" t="s">
        <v>203</v>
      </c>
    </row>
    <row r="193" spans="1:7" s="31" customFormat="1" x14ac:dyDescent="0.35">
      <c r="B193" s="1"/>
    </row>
    <row r="194" spans="1:7" s="31" customFormat="1" x14ac:dyDescent="0.35">
      <c r="A194" s="31" t="s">
        <v>405</v>
      </c>
      <c r="B194" s="1">
        <f>2*PI()*Fsw</f>
        <v>691150.38378975447</v>
      </c>
      <c r="C194" s="31" t="s">
        <v>205</v>
      </c>
    </row>
    <row r="195" spans="1:7" s="31" customFormat="1" x14ac:dyDescent="0.35">
      <c r="A195" s="31" t="s">
        <v>406</v>
      </c>
      <c r="B195" s="1">
        <f>1/(PI()*(((VIN_min/VOUT1)*(1+(B191/B192)))-0.5))</f>
        <v>0.59706193163848353</v>
      </c>
    </row>
    <row r="196" spans="1:7" s="31" customFormat="1" x14ac:dyDescent="0.35">
      <c r="A196" s="47"/>
      <c r="B196" s="26"/>
      <c r="G196" s="31">
        <f>Dc_VIN_min</f>
        <v>0.52805280528052811</v>
      </c>
    </row>
    <row r="197" spans="1:7" s="31" customFormat="1" x14ac:dyDescent="0.35">
      <c r="A197" s="47"/>
      <c r="B197" s="26"/>
    </row>
    <row r="198" spans="1:7" s="31" customFormat="1" x14ac:dyDescent="0.35">
      <c r="A198" s="47"/>
      <c r="B198" s="26"/>
    </row>
    <row r="199" spans="1:7" s="31" customFormat="1" x14ac:dyDescent="0.35">
      <c r="A199" s="47"/>
      <c r="B199" s="26"/>
    </row>
    <row r="200" spans="1:7" s="31" customFormat="1" x14ac:dyDescent="0.35">
      <c r="A200" s="47"/>
      <c r="B200" s="26"/>
    </row>
    <row r="201" spans="1:7" s="31" customFormat="1" x14ac:dyDescent="0.35">
      <c r="A201" s="47"/>
      <c r="B201" s="26"/>
    </row>
    <row r="202" spans="1:7" s="31" customFormat="1" x14ac:dyDescent="0.35">
      <c r="A202" s="194" t="s">
        <v>519</v>
      </c>
      <c r="B202" s="26"/>
    </row>
    <row r="203" spans="1:7" s="31" customFormat="1" x14ac:dyDescent="0.35">
      <c r="A203" s="196" t="s">
        <v>530</v>
      </c>
      <c r="B203" s="26"/>
    </row>
    <row r="204" spans="1:7" s="31" customFormat="1" x14ac:dyDescent="0.35">
      <c r="A204" s="47" t="s">
        <v>520</v>
      </c>
      <c r="B204" s="3">
        <f>'Design Converter'!H62</f>
        <v>2.5</v>
      </c>
      <c r="C204" s="31" t="s">
        <v>11</v>
      </c>
      <c r="E204" s="31" t="s">
        <v>521</v>
      </c>
    </row>
    <row r="205" spans="1:7" s="31" customFormat="1" x14ac:dyDescent="0.35">
      <c r="A205" s="47" t="s">
        <v>522</v>
      </c>
      <c r="B205" s="3">
        <f>'Design Converter'!H63*1000</f>
        <v>28700</v>
      </c>
      <c r="C205" s="2" t="s">
        <v>35</v>
      </c>
      <c r="E205" s="31" t="s">
        <v>526</v>
      </c>
    </row>
    <row r="206" spans="1:7" s="31" customFormat="1" x14ac:dyDescent="0.35">
      <c r="A206" s="47" t="s">
        <v>523</v>
      </c>
      <c r="B206" s="1">
        <f>(RFBT_iso*Vref_iso)/(VOUT1-Vref_iso)</f>
        <v>1576.9230769230769</v>
      </c>
      <c r="C206" s="2" t="s">
        <v>35</v>
      </c>
      <c r="E206" s="31" t="s">
        <v>525</v>
      </c>
    </row>
    <row r="207" spans="1:7" s="31" customFormat="1" x14ac:dyDescent="0.35">
      <c r="A207" s="47" t="s">
        <v>524</v>
      </c>
      <c r="B207" s="3">
        <f>'Design Converter'!H65*1000</f>
        <v>1620</v>
      </c>
      <c r="C207" s="2" t="s">
        <v>35</v>
      </c>
      <c r="E207" s="31" t="s">
        <v>527</v>
      </c>
    </row>
    <row r="208" spans="1:7" s="31" customFormat="1" x14ac:dyDescent="0.35">
      <c r="A208" s="47"/>
      <c r="B208" s="26"/>
    </row>
    <row r="209" spans="1:13" s="31" customFormat="1" x14ac:dyDescent="0.35">
      <c r="A209" s="196" t="s">
        <v>531</v>
      </c>
      <c r="B209" s="26"/>
    </row>
    <row r="210" spans="1:13" s="31" customFormat="1" x14ac:dyDescent="0.35">
      <c r="A210" s="47" t="s">
        <v>533</v>
      </c>
      <c r="B210" s="3">
        <f>'Design Converter'!H68</f>
        <v>1.6</v>
      </c>
      <c r="C210" s="31" t="s">
        <v>528</v>
      </c>
      <c r="E210" s="31" t="s">
        <v>535</v>
      </c>
    </row>
    <row r="211" spans="1:13" s="31" customFormat="1" x14ac:dyDescent="0.35">
      <c r="A211" s="47" t="s">
        <v>534</v>
      </c>
      <c r="B211" s="3">
        <f>'Design Converter'!H69</f>
        <v>3.2</v>
      </c>
      <c r="C211" s="31" t="s">
        <v>528</v>
      </c>
      <c r="E211" s="31" t="s">
        <v>536</v>
      </c>
    </row>
    <row r="212" spans="1:13" s="31" customFormat="1" x14ac:dyDescent="0.35">
      <c r="A212" s="47" t="s">
        <v>537</v>
      </c>
      <c r="B212" s="3">
        <f>'Design Converter'!H70</f>
        <v>1.65</v>
      </c>
      <c r="C212" s="31" t="s">
        <v>11</v>
      </c>
      <c r="E212" s="31" t="s">
        <v>538</v>
      </c>
    </row>
    <row r="213" spans="1:13" s="31" customFormat="1" x14ac:dyDescent="0.35">
      <c r="A213" s="47" t="s">
        <v>539</v>
      </c>
      <c r="B213" s="3">
        <f>'Design Converter'!H71/(10^9)</f>
        <v>5.0000000000000002E-11</v>
      </c>
      <c r="C213" s="31" t="s">
        <v>151</v>
      </c>
      <c r="E213" s="31" t="s">
        <v>546</v>
      </c>
    </row>
    <row r="214" spans="1:13" s="31" customFormat="1" x14ac:dyDescent="0.35">
      <c r="A214" s="47"/>
      <c r="B214" s="3">
        <f>'Design Converter'!H72/1000</f>
        <v>0.2</v>
      </c>
    </row>
    <row r="215" spans="1:13" s="31" customFormat="1" x14ac:dyDescent="0.35">
      <c r="A215" s="47" t="s">
        <v>547</v>
      </c>
      <c r="B215" s="3">
        <f>'Design Converter'!H75</f>
        <v>6.8</v>
      </c>
      <c r="C215" s="31" t="s">
        <v>11</v>
      </c>
      <c r="E215" s="31" t="s">
        <v>548</v>
      </c>
      <c r="M215" s="31" t="s">
        <v>666</v>
      </c>
    </row>
    <row r="216" spans="1:13" s="31" customFormat="1" x14ac:dyDescent="0.35">
      <c r="A216" s="47" t="s">
        <v>544</v>
      </c>
      <c r="B216" s="1">
        <f>(Vpullup-Vcomp_max)/Icomp_sink_max</f>
        <v>2687.4999999999995</v>
      </c>
      <c r="C216" s="2" t="s">
        <v>35</v>
      </c>
      <c r="E216" s="31" t="s">
        <v>551</v>
      </c>
    </row>
    <row r="217" spans="1:13" s="31" customFormat="1" x14ac:dyDescent="0.35">
      <c r="A217" s="47" t="s">
        <v>550</v>
      </c>
      <c r="B217" s="3">
        <f>'Design Converter'!H77*1000</f>
        <v>5100</v>
      </c>
      <c r="C217" s="2" t="s">
        <v>35</v>
      </c>
      <c r="E217" s="31" t="s">
        <v>552</v>
      </c>
    </row>
    <row r="218" spans="1:13" s="31" customFormat="1" x14ac:dyDescent="0.35">
      <c r="A218" s="47" t="s">
        <v>561</v>
      </c>
      <c r="B218" s="29">
        <f>1/(2*PI()*Copto*Rpullup)</f>
        <v>624137.03173292277</v>
      </c>
      <c r="C218" s="2" t="s">
        <v>61</v>
      </c>
      <c r="E218" s="31" t="s">
        <v>563</v>
      </c>
      <c r="M218" s="31" t="s">
        <v>667</v>
      </c>
    </row>
    <row r="219" spans="1:13" s="31" customFormat="1" x14ac:dyDescent="0.35">
      <c r="A219" s="47" t="s">
        <v>567</v>
      </c>
      <c r="B219" s="29">
        <f>((VOUT1-Vref_iso-Vd_opto)/(Vpullup-VCE_sat))*(kopto_min*Rpullup)</f>
        <v>54214.545454545456</v>
      </c>
      <c r="C219" s="2" t="s">
        <v>35</v>
      </c>
      <c r="E219" s="31" t="s">
        <v>568</v>
      </c>
    </row>
    <row r="220" spans="1:13" s="31" customFormat="1" x14ac:dyDescent="0.35">
      <c r="A220" s="47" t="s">
        <v>558</v>
      </c>
      <c r="B220" s="3">
        <f>'Design Converter'!H79*1000</f>
        <v>22000</v>
      </c>
      <c r="C220" s="2" t="s">
        <v>35</v>
      </c>
      <c r="E220" s="31" t="s">
        <v>571</v>
      </c>
    </row>
    <row r="221" spans="1:13" s="31" customFormat="1" x14ac:dyDescent="0.35">
      <c r="A221" s="47"/>
      <c r="B221" s="26"/>
    </row>
    <row r="222" spans="1:13" s="31" customFormat="1" x14ac:dyDescent="0.35">
      <c r="A222" s="47" t="s">
        <v>554</v>
      </c>
      <c r="B222" s="26"/>
      <c r="E222" s="31">
        <f>NS1_</f>
        <v>4.29</v>
      </c>
      <c r="F222" s="31">
        <f>Np</f>
        <v>1</v>
      </c>
      <c r="G222" s="31">
        <f>Gcomp</f>
        <v>0.14199999999999999</v>
      </c>
      <c r="K222" s="31">
        <f>fcross_iso</f>
        <v>3000</v>
      </c>
    </row>
    <row r="223" spans="1:13" s="31" customFormat="1" x14ac:dyDescent="0.35">
      <c r="A223" s="47" t="s">
        <v>560</v>
      </c>
      <c r="B223" s="26">
        <f>fz_rhp/5</f>
        <v>3838.8587038455225</v>
      </c>
      <c r="C223" s="31" t="s">
        <v>61</v>
      </c>
    </row>
    <row r="224" spans="1:13" s="31" customFormat="1" x14ac:dyDescent="0.35">
      <c r="A224" s="47" t="s">
        <v>561</v>
      </c>
      <c r="B224" s="26">
        <f>fopto</f>
        <v>624137.03173292277</v>
      </c>
      <c r="C224" s="31" t="s">
        <v>61</v>
      </c>
      <c r="E224" s="31" t="s">
        <v>562</v>
      </c>
    </row>
    <row r="225" spans="1:11" s="31" customFormat="1" x14ac:dyDescent="0.35">
      <c r="A225" s="47" t="s">
        <v>565</v>
      </c>
      <c r="B225" s="1">
        <f>IF(B223&lt;B224,B223,B224)</f>
        <v>3838.8587038455225</v>
      </c>
      <c r="C225" s="31" t="s">
        <v>61</v>
      </c>
      <c r="E225" s="31" t="s">
        <v>555</v>
      </c>
    </row>
    <row r="226" spans="1:11" s="31" customFormat="1" x14ac:dyDescent="0.35">
      <c r="A226" s="47" t="s">
        <v>564</v>
      </c>
      <c r="B226" s="3">
        <f>'Design Converter'!H83*1000</f>
        <v>3000</v>
      </c>
      <c r="C226" s="31" t="s">
        <v>61</v>
      </c>
      <c r="E226" s="31" t="s">
        <v>566</v>
      </c>
    </row>
    <row r="227" spans="1:11" s="31" customFormat="1" x14ac:dyDescent="0.35">
      <c r="A227" s="47"/>
      <c r="B227" s="26"/>
    </row>
    <row r="228" spans="1:11" s="31" customFormat="1" x14ac:dyDescent="0.35">
      <c r="A228" s="47" t="s">
        <v>572</v>
      </c>
      <c r="B228" s="29">
        <f>(NS1_/Np)*(2*PI()*Acs*Cout_total*RLED*R_cs*fcross_iso)/(Gcomp*(1-Dc_VIN_min)*kopto_max)</f>
        <v>4980.3274532082705</v>
      </c>
      <c r="C228" s="2" t="s">
        <v>35</v>
      </c>
      <c r="E228" s="31" t="s">
        <v>576</v>
      </c>
    </row>
    <row r="229" spans="1:11" s="31" customFormat="1" x14ac:dyDescent="0.35">
      <c r="A229" s="47" t="s">
        <v>573</v>
      </c>
      <c r="B229" s="3">
        <f>'Design Converter'!H86*1000</f>
        <v>120000</v>
      </c>
      <c r="C229" s="2" t="s">
        <v>35</v>
      </c>
      <c r="E229" s="31" t="s">
        <v>574</v>
      </c>
      <c r="K229" s="31">
        <f>Gcomp</f>
        <v>0.14199999999999999</v>
      </c>
    </row>
    <row r="230" spans="1:11" s="31" customFormat="1" x14ac:dyDescent="0.35">
      <c r="A230" s="47" t="s">
        <v>575</v>
      </c>
      <c r="B230" s="1">
        <f>SQRT(((VOUT1^2)*Cout_total)/(2*PI()*(Rcomp_iso^2)*POUT_Total*fcross_iso*(1+Dc_VIN_max)))</f>
        <v>8.6144658005606132E-9</v>
      </c>
      <c r="C230" s="2" t="s">
        <v>151</v>
      </c>
      <c r="E230" s="31">
        <f>(2*PI()*(Rcomp_iso^2)*POUT_Total*fcross_iso*(1+Dc_VIN_max))</f>
        <v>9319751027701368</v>
      </c>
      <c r="H230" s="31">
        <f>Acs</f>
        <v>1</v>
      </c>
    </row>
    <row r="231" spans="1:11" s="31" customFormat="1" x14ac:dyDescent="0.35">
      <c r="A231" s="47" t="s">
        <v>577</v>
      </c>
      <c r="B231" s="3">
        <f>'Design Converter'!$H$87*(10^-9)</f>
        <v>3.9000000000000002E-9</v>
      </c>
      <c r="C231" s="2" t="s">
        <v>151</v>
      </c>
      <c r="E231" s="31">
        <f>(1+Dc_VIN_max)</f>
        <v>1.4115226337448559</v>
      </c>
      <c r="H231" s="31">
        <f>(NS1_/Np)</f>
        <v>4.29</v>
      </c>
      <c r="I231" s="31">
        <f>R_cs</f>
        <v>2E-3</v>
      </c>
    </row>
    <row r="232" spans="1:11" s="31" customFormat="1" x14ac:dyDescent="0.35">
      <c r="A232" s="47"/>
      <c r="B232" s="26"/>
      <c r="E232" s="31">
        <f>fcross_iso</f>
        <v>3000</v>
      </c>
      <c r="F232" s="31">
        <f>POUT_Total</f>
        <v>24.324999999999999</v>
      </c>
    </row>
    <row r="233" spans="1:11" s="31" customFormat="1" x14ac:dyDescent="0.35">
      <c r="A233" s="47"/>
      <c r="B233" s="26"/>
    </row>
    <row r="234" spans="1:11" s="31" customFormat="1" x14ac:dyDescent="0.35">
      <c r="A234" s="47"/>
      <c r="B234" s="26"/>
    </row>
    <row r="235" spans="1:11" s="31" customFormat="1" x14ac:dyDescent="0.35">
      <c r="A235" s="47"/>
      <c r="B235" s="26"/>
    </row>
    <row r="236" spans="1:11" s="31" customFormat="1" x14ac:dyDescent="0.35">
      <c r="A236" s="194" t="s">
        <v>532</v>
      </c>
      <c r="B236" s="26"/>
    </row>
    <row r="237" spans="1:11" x14ac:dyDescent="0.35">
      <c r="A237" s="195" t="s">
        <v>243</v>
      </c>
    </row>
    <row r="238" spans="1:11" s="31" customFormat="1" x14ac:dyDescent="0.35">
      <c r="A238" s="31" t="s">
        <v>178</v>
      </c>
      <c r="B238" s="3">
        <f>'Design Converter'!H63*(10^3)</f>
        <v>28700</v>
      </c>
      <c r="C238" s="2" t="s">
        <v>35</v>
      </c>
      <c r="E238" s="31" t="s">
        <v>229</v>
      </c>
    </row>
    <row r="239" spans="1:11" s="31" customFormat="1" x14ac:dyDescent="0.35">
      <c r="A239" s="31" t="s">
        <v>233</v>
      </c>
      <c r="B239" s="29">
        <f>(RFBT*Vref)/(VOUT1-Vref)</f>
        <v>610.63829787234044</v>
      </c>
      <c r="C239" s="2" t="s">
        <v>35</v>
      </c>
      <c r="E239" s="31" t="s">
        <v>236</v>
      </c>
    </row>
    <row r="240" spans="1:11" x14ac:dyDescent="0.35">
      <c r="A240" t="s">
        <v>179</v>
      </c>
      <c r="B240" s="3">
        <f>'Design Converter'!H65*(10^3)</f>
        <v>1620</v>
      </c>
      <c r="C240" s="2" t="s">
        <v>35</v>
      </c>
      <c r="E240" t="s">
        <v>237</v>
      </c>
    </row>
    <row r="241" spans="1:5" x14ac:dyDescent="0.35">
      <c r="A241" t="s">
        <v>238</v>
      </c>
      <c r="B241" s="1">
        <f>VOUT1/(RFBB+RFBT)</f>
        <v>1.5831134564643799E-3</v>
      </c>
      <c r="C241" s="2" t="s">
        <v>12</v>
      </c>
      <c r="E241" t="s">
        <v>239</v>
      </c>
    </row>
    <row r="242" spans="1:5" s="31" customFormat="1" x14ac:dyDescent="0.35">
      <c r="B242" s="26"/>
      <c r="C242" s="2"/>
    </row>
    <row r="243" spans="1:5" s="31" customFormat="1" x14ac:dyDescent="0.35">
      <c r="A243" s="46" t="s">
        <v>244</v>
      </c>
      <c r="E243" s="31" t="s">
        <v>386</v>
      </c>
    </row>
    <row r="244" spans="1:5" s="31" customFormat="1" x14ac:dyDescent="0.35"/>
    <row r="249" spans="1:5" x14ac:dyDescent="0.35">
      <c r="A249" s="42" t="s">
        <v>557</v>
      </c>
    </row>
    <row r="251" spans="1:5" s="31" customFormat="1" x14ac:dyDescent="0.35">
      <c r="B251" s="26"/>
    </row>
    <row r="252" spans="1:5" s="31" customFormat="1" x14ac:dyDescent="0.35">
      <c r="A252" s="31" t="s">
        <v>245</v>
      </c>
      <c r="B252" s="28">
        <f>IF(B189=0,fz_rhp/5,Fsw/10)</f>
        <v>3838.8587038455225</v>
      </c>
      <c r="C252" s="31" t="s">
        <v>61</v>
      </c>
      <c r="E252" s="31" t="s">
        <v>250</v>
      </c>
    </row>
    <row r="253" spans="1:5" s="31" customFormat="1" x14ac:dyDescent="0.35">
      <c r="A253" s="31" t="s">
        <v>247</v>
      </c>
      <c r="B253" s="3">
        <f>'Design Converter'!H83*1000</f>
        <v>3000</v>
      </c>
      <c r="C253" s="31" t="s">
        <v>61</v>
      </c>
      <c r="E253" s="31" t="s">
        <v>248</v>
      </c>
    </row>
    <row r="254" spans="1:5" s="31" customFormat="1" x14ac:dyDescent="0.35"/>
    <row r="255" spans="1:5" s="31" customFormat="1" x14ac:dyDescent="0.35">
      <c r="A255" s="31" t="s">
        <v>256</v>
      </c>
      <c r="B255" s="32">
        <f>Gplant_fc_dB</f>
        <v>2.8948510392915665</v>
      </c>
      <c r="C255" s="31" t="s">
        <v>228</v>
      </c>
      <c r="E255" s="31" t="s">
        <v>257</v>
      </c>
    </row>
    <row r="256" spans="1:5" s="31" customFormat="1" x14ac:dyDescent="0.35">
      <c r="A256" s="31" t="s">
        <v>252</v>
      </c>
      <c r="B256" s="32">
        <f>10^(B255/20)</f>
        <v>1.3955408447634032</v>
      </c>
      <c r="C256" s="31" t="s">
        <v>144</v>
      </c>
      <c r="E256" s="31" t="s">
        <v>253</v>
      </c>
    </row>
    <row r="257" spans="1:5" s="31" customFormat="1" x14ac:dyDescent="0.35">
      <c r="A257" s="31" t="s">
        <v>258</v>
      </c>
      <c r="B257" s="32">
        <f>1/B256</f>
        <v>0.71656806302185849</v>
      </c>
      <c r="C257" s="31" t="s">
        <v>144</v>
      </c>
      <c r="E257" s="31" t="s">
        <v>259</v>
      </c>
    </row>
    <row r="258" spans="1:5" s="31" customFormat="1" x14ac:dyDescent="0.35"/>
    <row r="259" spans="1:5" s="31" customFormat="1" x14ac:dyDescent="0.35">
      <c r="A259" s="31" t="s">
        <v>265</v>
      </c>
      <c r="B259" s="31">
        <f>fcross/10</f>
        <v>300</v>
      </c>
      <c r="C259" s="31" t="s">
        <v>61</v>
      </c>
      <c r="E259" s="31" t="s">
        <v>263</v>
      </c>
    </row>
    <row r="260" spans="1:5" s="31" customFormat="1" x14ac:dyDescent="0.35">
      <c r="A260" s="31" t="s">
        <v>266</v>
      </c>
      <c r="B260" s="70">
        <f>SQRT(B181*fcross)</f>
        <v>160.19014424126058</v>
      </c>
      <c r="C260" s="31" t="s">
        <v>61</v>
      </c>
      <c r="E260" s="31" t="s">
        <v>264</v>
      </c>
    </row>
    <row r="261" spans="1:5" s="31" customFormat="1" x14ac:dyDescent="0.35">
      <c r="A261" s="31" t="s">
        <v>262</v>
      </c>
      <c r="B261" s="70">
        <f>B260</f>
        <v>160.19014424126058</v>
      </c>
      <c r="C261" s="31" t="s">
        <v>61</v>
      </c>
    </row>
    <row r="262" spans="1:5" s="31" customFormat="1" x14ac:dyDescent="0.35"/>
    <row r="263" spans="1:5" s="31" customFormat="1" x14ac:dyDescent="0.35">
      <c r="A263" s="31" t="s">
        <v>269</v>
      </c>
      <c r="B263" s="44">
        <f>fz_rhp</f>
        <v>19194.293519227613</v>
      </c>
      <c r="C263" s="31" t="s">
        <v>61</v>
      </c>
      <c r="E263" s="31" t="s">
        <v>415</v>
      </c>
    </row>
    <row r="264" spans="1:5" s="31" customFormat="1" x14ac:dyDescent="0.35">
      <c r="E264" s="31" t="s">
        <v>416</v>
      </c>
    </row>
    <row r="265" spans="1:5" s="31" customFormat="1" x14ac:dyDescent="0.35"/>
    <row r="266" spans="1:5" s="31" customFormat="1" x14ac:dyDescent="0.35"/>
    <row r="267" spans="1:5" s="31" customFormat="1" x14ac:dyDescent="0.35">
      <c r="A267" s="31" t="s">
        <v>260</v>
      </c>
      <c r="B267" s="28">
        <f>(2*PI()*Acs*Cout_total*NS1_*R_cs*VOUT1*fcross)/(Gcomp*Np*gm_ea*(1-Dc_VIN_min))</f>
        <v>17385.870382108871</v>
      </c>
      <c r="C267" s="2" t="s">
        <v>35</v>
      </c>
      <c r="E267" s="31" t="s">
        <v>261</v>
      </c>
    </row>
    <row r="268" spans="1:5" x14ac:dyDescent="0.35">
      <c r="A268" t="s">
        <v>168</v>
      </c>
      <c r="B268" s="3">
        <f>'Design Converter'!H86*1000</f>
        <v>120000</v>
      </c>
      <c r="C268" s="2" t="s">
        <v>35</v>
      </c>
      <c r="E268" t="s">
        <v>175</v>
      </c>
    </row>
    <row r="269" spans="1:5" s="31" customFormat="1" x14ac:dyDescent="0.35">
      <c r="A269" s="31" t="s">
        <v>267</v>
      </c>
      <c r="B269" s="22">
        <f>SQRT((Cout_total*(VOUT1^2))/(2*PI()*(RCOMP^2)*fcross*POUT_Total*(1+Dc_VIN_min)))</f>
        <v>8.2794806054668931E-9</v>
      </c>
      <c r="C269" s="2" t="s">
        <v>151</v>
      </c>
    </row>
    <row r="270" spans="1:5" x14ac:dyDescent="0.35">
      <c r="A270" t="s">
        <v>173</v>
      </c>
      <c r="B270" s="3">
        <f>'Design Converter'!H87*(10^-9)</f>
        <v>3.9000000000000002E-9</v>
      </c>
      <c r="C270" t="s">
        <v>151</v>
      </c>
      <c r="E270" t="s">
        <v>176</v>
      </c>
    </row>
    <row r="271" spans="1:5" s="31" customFormat="1" x14ac:dyDescent="0.35">
      <c r="A271" s="31" t="s">
        <v>268</v>
      </c>
      <c r="B271" s="22">
        <f>(Dc_VIN_min*Lm*(NS1_^2)*POUT_Total)/((Np^2)*RCOMP*(VOUT1^2)*(1-Dc_VIN_min)^2)</f>
        <v>6.9098203125000034E-11</v>
      </c>
      <c r="C271" s="31" t="s">
        <v>151</v>
      </c>
    </row>
    <row r="272" spans="1:5" x14ac:dyDescent="0.35">
      <c r="A272" t="s">
        <v>174</v>
      </c>
      <c r="B272" s="3">
        <f>'Design Converter'!H88*(10^-12)</f>
        <v>7.2E-10</v>
      </c>
      <c r="C272" t="s">
        <v>151</v>
      </c>
      <c r="E272" t="s">
        <v>177</v>
      </c>
    </row>
    <row r="275" spans="1:8" x14ac:dyDescent="0.35">
      <c r="A275" s="42" t="s">
        <v>330</v>
      </c>
    </row>
    <row r="276" spans="1:8" s="31" customFormat="1" x14ac:dyDescent="0.35"/>
    <row r="277" spans="1:8" x14ac:dyDescent="0.35">
      <c r="A277" s="42" t="s">
        <v>345</v>
      </c>
    </row>
    <row r="278" spans="1:8" ht="15.5" x14ac:dyDescent="0.4">
      <c r="A278" t="s">
        <v>353</v>
      </c>
      <c r="B278" s="3">
        <f>'Design Converter'!H93*(10^-3)</f>
        <v>8.6999999999999994E-3</v>
      </c>
      <c r="C278" s="2" t="s">
        <v>35</v>
      </c>
      <c r="E278" s="95" t="s">
        <v>333</v>
      </c>
    </row>
    <row r="279" spans="1:8" ht="15.5" x14ac:dyDescent="0.4">
      <c r="A279" t="s">
        <v>346</v>
      </c>
      <c r="B279" s="3">
        <f>'Design Converter'!H94*(10^-9)</f>
        <v>3.5000000000000002E-8</v>
      </c>
      <c r="C279" t="s">
        <v>151</v>
      </c>
      <c r="E279" s="95" t="s">
        <v>334</v>
      </c>
    </row>
    <row r="280" spans="1:8" ht="15.5" x14ac:dyDescent="0.4">
      <c r="A280" t="s">
        <v>348</v>
      </c>
      <c r="B280" s="3">
        <f>'Design Converter'!H95*(10^-9)</f>
        <v>4.9000000000000009E-9</v>
      </c>
      <c r="C280" t="s">
        <v>151</v>
      </c>
      <c r="E280" s="95" t="s">
        <v>335</v>
      </c>
    </row>
    <row r="281" spans="1:8" ht="15.5" x14ac:dyDescent="0.4">
      <c r="A281" t="s">
        <v>347</v>
      </c>
      <c r="B281" s="3">
        <f>'Design Converter'!H96*(10^-9)</f>
        <v>7.9000000000000013E-9</v>
      </c>
      <c r="C281" t="s">
        <v>151</v>
      </c>
      <c r="E281" s="95" t="s">
        <v>336</v>
      </c>
    </row>
    <row r="282" spans="1:8" ht="15.5" x14ac:dyDescent="0.4">
      <c r="A282" t="s">
        <v>349</v>
      </c>
      <c r="B282" s="3">
        <f>'Design Converter'!H97</f>
        <v>1.5</v>
      </c>
      <c r="C282" s="2" t="s">
        <v>35</v>
      </c>
      <c r="E282" s="95" t="s">
        <v>337</v>
      </c>
    </row>
    <row r="283" spans="1:8" s="31" customFormat="1" x14ac:dyDescent="0.35">
      <c r="A283" s="31" t="s">
        <v>354</v>
      </c>
      <c r="B283" s="21">
        <v>1.5</v>
      </c>
      <c r="C283" s="2"/>
      <c r="E283" s="95" t="s">
        <v>355</v>
      </c>
      <c r="H283" s="31" t="s">
        <v>364</v>
      </c>
    </row>
    <row r="284" spans="1:8" ht="15.5" x14ac:dyDescent="0.4">
      <c r="A284" t="s">
        <v>350</v>
      </c>
      <c r="B284" s="21">
        <v>50</v>
      </c>
      <c r="C284" s="2" t="s">
        <v>342</v>
      </c>
      <c r="E284" s="247" t="s">
        <v>669</v>
      </c>
    </row>
    <row r="285" spans="1:8" ht="15.5" x14ac:dyDescent="0.4">
      <c r="A285" t="s">
        <v>351</v>
      </c>
      <c r="B285" s="3">
        <f>'Design Converter'!H98</f>
        <v>1.7</v>
      </c>
      <c r="C285" s="2" t="s">
        <v>11</v>
      </c>
      <c r="E285" s="95" t="s">
        <v>338</v>
      </c>
    </row>
    <row r="286" spans="1:8" s="31" customFormat="1" x14ac:dyDescent="0.35">
      <c r="A286" s="31" t="s">
        <v>360</v>
      </c>
      <c r="B286" s="21">
        <f>Vcc</f>
        <v>6.75</v>
      </c>
      <c r="C286" s="2" t="s">
        <v>11</v>
      </c>
      <c r="E286" s="95" t="s">
        <v>365</v>
      </c>
    </row>
    <row r="287" spans="1:8" s="31" customFormat="1" x14ac:dyDescent="0.35">
      <c r="B287" s="26"/>
      <c r="C287" s="2"/>
      <c r="E287" s="95"/>
    </row>
    <row r="288" spans="1:8" s="31" customFormat="1" x14ac:dyDescent="0.35">
      <c r="B288" s="26"/>
      <c r="C288" s="2"/>
      <c r="E288" s="95"/>
    </row>
    <row r="289" spans="1:5" x14ac:dyDescent="0.35">
      <c r="A289" t="s">
        <v>356</v>
      </c>
      <c r="B289" s="39">
        <f>Vth+(((VOUT1*IOUT1)/VIN_min)/gfs)</f>
        <v>1.748</v>
      </c>
      <c r="C289" s="2" t="s">
        <v>11</v>
      </c>
      <c r="E289" s="95" t="s">
        <v>357</v>
      </c>
    </row>
    <row r="290" spans="1:5" x14ac:dyDescent="0.35">
      <c r="A290" t="s">
        <v>366</v>
      </c>
      <c r="B290" s="1">
        <f>(Qgd+(Qgs/2))*((Rgate+B283)/(Vcc-B289))</f>
        <v>5.3078768492602969E-9</v>
      </c>
      <c r="C290" s="2" t="s">
        <v>47</v>
      </c>
      <c r="E290" s="95" t="s">
        <v>358</v>
      </c>
    </row>
    <row r="291" spans="1:5" ht="15" thickBot="1" x14ac:dyDescent="0.4">
      <c r="A291" t="s">
        <v>367</v>
      </c>
      <c r="B291" s="1">
        <f>(Qgd+(Qgs/2))*((B283+Rgate)/B289)</f>
        <v>1.5188787185354694E-8</v>
      </c>
      <c r="C291" t="s">
        <v>47</v>
      </c>
      <c r="E291" s="96" t="s">
        <v>359</v>
      </c>
    </row>
  </sheetData>
  <mergeCells count="2">
    <mergeCell ref="A1:J1"/>
    <mergeCell ref="E5:H5"/>
  </mergeCells>
  <conditionalFormatting sqref="Q11:U17">
    <cfRule type="expression" priority="1">
      <formula>$B$23=0</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Mathcad" shapeId="2053" r:id="rId4">
          <objectPr defaultSize="0" autoPict="0" r:id="rId5">
            <anchor moveWithCells="1">
              <from>
                <xdr:col>8</xdr:col>
                <xdr:colOff>57150</xdr:colOff>
                <xdr:row>129</xdr:row>
                <xdr:rowOff>133350</xdr:rowOff>
              </from>
              <to>
                <xdr:col>13</xdr:col>
                <xdr:colOff>165100</xdr:colOff>
                <xdr:row>132</xdr:row>
                <xdr:rowOff>19050</xdr:rowOff>
              </to>
            </anchor>
          </objectPr>
        </oleObject>
      </mc:Choice>
      <mc:Fallback>
        <oleObject progId="Mathcad" shapeId="205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708"/>
  <sheetViews>
    <sheetView topLeftCell="A37" zoomScale="55" zoomScaleNormal="55" workbookViewId="0">
      <selection activeCell="H35" sqref="H35"/>
    </sheetView>
  </sheetViews>
  <sheetFormatPr defaultColWidth="8.81640625" defaultRowHeight="14.5" x14ac:dyDescent="0.35"/>
  <cols>
    <col min="1" max="1" width="13.1796875" style="31" customWidth="1"/>
    <col min="2" max="2" width="25" style="31" customWidth="1"/>
    <col min="3" max="14" width="8.81640625" style="31"/>
    <col min="15" max="15" width="16.7265625" style="50" bestFit="1" customWidth="1"/>
    <col min="16" max="16" width="16.7265625" style="31" customWidth="1"/>
    <col min="17" max="32" width="8.81640625" style="31"/>
    <col min="33" max="33" width="10.1796875" style="31" customWidth="1"/>
    <col min="34" max="34" width="12" style="31" bestFit="1" customWidth="1"/>
    <col min="35" max="44" width="8.81640625" style="31"/>
    <col min="45" max="45" width="9.1796875" style="31" customWidth="1"/>
    <col min="46" max="16384" width="8.81640625" style="31"/>
  </cols>
  <sheetData>
    <row r="1" spans="1:50" ht="28" x14ac:dyDescent="0.6">
      <c r="A1" s="280" t="s">
        <v>16</v>
      </c>
      <c r="B1" s="280"/>
      <c r="C1" s="280"/>
      <c r="D1" s="280"/>
      <c r="E1" s="280"/>
      <c r="F1" s="280"/>
      <c r="G1" s="280"/>
      <c r="H1" s="280"/>
      <c r="I1" s="280"/>
      <c r="J1" s="280"/>
      <c r="K1" s="280"/>
      <c r="L1" s="280"/>
      <c r="M1" s="280"/>
      <c r="N1" s="280" t="s">
        <v>183</v>
      </c>
      <c r="O1" s="280"/>
      <c r="P1" s="280"/>
      <c r="Q1" s="280"/>
      <c r="R1" s="280"/>
      <c r="S1" s="280"/>
      <c r="T1" s="280"/>
      <c r="U1" s="280"/>
      <c r="V1" s="280"/>
      <c r="W1" s="280"/>
      <c r="X1" s="280"/>
    </row>
    <row r="2" spans="1:50" x14ac:dyDescent="0.35">
      <c r="A2" s="11"/>
      <c r="B2" s="11" t="s">
        <v>17</v>
      </c>
      <c r="C2" s="12"/>
      <c r="D2" s="17"/>
      <c r="E2" s="11"/>
      <c r="F2" s="11"/>
      <c r="G2" s="11"/>
      <c r="H2" s="11"/>
      <c r="I2" s="11"/>
      <c r="J2" s="11"/>
      <c r="K2" s="11"/>
      <c r="L2" s="11"/>
      <c r="M2" s="11"/>
      <c r="O2" s="31"/>
    </row>
    <row r="3" spans="1:50" ht="15" thickBot="1" x14ac:dyDescent="0.4">
      <c r="A3" s="11"/>
      <c r="B3" s="11" t="s">
        <v>18</v>
      </c>
      <c r="C3" s="13"/>
      <c r="D3" s="17"/>
      <c r="E3" s="11"/>
      <c r="F3" s="23"/>
      <c r="G3" s="24"/>
      <c r="H3" s="24"/>
      <c r="I3" s="24"/>
      <c r="J3" s="24"/>
      <c r="K3" s="38"/>
      <c r="L3" s="11"/>
      <c r="M3" s="11"/>
      <c r="O3" s="31"/>
    </row>
    <row r="4" spans="1:50" ht="15" thickBot="1" x14ac:dyDescent="0.4">
      <c r="A4" s="11"/>
      <c r="B4" s="11" t="s">
        <v>19</v>
      </c>
      <c r="C4" s="14"/>
      <c r="D4" s="17"/>
      <c r="E4" s="11"/>
      <c r="F4" s="23"/>
      <c r="G4" s="24"/>
      <c r="H4" s="24"/>
      <c r="I4" s="24"/>
      <c r="J4" s="24"/>
      <c r="K4" s="38"/>
      <c r="L4" s="11"/>
      <c r="M4" s="11"/>
      <c r="N4" s="84"/>
      <c r="O4" s="90"/>
      <c r="P4" s="282" t="s">
        <v>214</v>
      </c>
      <c r="Q4" s="282"/>
      <c r="R4" s="282"/>
      <c r="S4" s="282"/>
      <c r="T4" s="282"/>
      <c r="U4" s="282"/>
      <c r="V4" s="282"/>
      <c r="W4" s="282"/>
      <c r="X4" s="282"/>
      <c r="Y4" s="282"/>
      <c r="Z4" s="282"/>
      <c r="AA4" s="282"/>
      <c r="AB4" s="282"/>
      <c r="AC4" s="282"/>
      <c r="AD4" s="282"/>
      <c r="AE4" s="283"/>
      <c r="AF4" s="284" t="s">
        <v>215</v>
      </c>
      <c r="AG4" s="282"/>
      <c r="AH4" s="282"/>
      <c r="AI4" s="282"/>
      <c r="AJ4" s="282"/>
      <c r="AK4" s="282"/>
      <c r="AL4" s="282"/>
      <c r="AM4" s="282"/>
      <c r="AN4" s="282"/>
      <c r="AO4" s="282"/>
      <c r="AP4" s="282"/>
      <c r="AQ4" s="282"/>
      <c r="AR4" s="282"/>
      <c r="AS4" s="282"/>
      <c r="AT4" s="282"/>
      <c r="AU4" s="283"/>
      <c r="AV4" s="284" t="s">
        <v>226</v>
      </c>
      <c r="AW4" s="282"/>
      <c r="AX4" s="283"/>
    </row>
    <row r="5" spans="1:50" x14ac:dyDescent="0.35">
      <c r="A5" s="11"/>
      <c r="D5" s="17"/>
      <c r="E5" s="11"/>
      <c r="F5" s="11"/>
      <c r="G5" s="11"/>
      <c r="H5" s="11"/>
      <c r="I5" s="11"/>
      <c r="J5" s="11"/>
      <c r="K5" s="11"/>
      <c r="L5" s="11"/>
      <c r="M5" s="11"/>
      <c r="N5" s="58"/>
      <c r="O5" s="61"/>
      <c r="P5" s="49"/>
      <c r="Q5" s="285" t="s">
        <v>206</v>
      </c>
      <c r="R5" s="285"/>
      <c r="S5" s="285"/>
      <c r="T5" s="286" t="s">
        <v>208</v>
      </c>
      <c r="U5" s="286"/>
      <c r="V5" s="286"/>
      <c r="W5" s="286" t="s">
        <v>208</v>
      </c>
      <c r="X5" s="286"/>
      <c r="Y5" s="286"/>
      <c r="Z5" s="286" t="s">
        <v>211</v>
      </c>
      <c r="AA5" s="286"/>
      <c r="AB5" s="286"/>
      <c r="AC5" s="287" t="s">
        <v>213</v>
      </c>
      <c r="AD5" s="286"/>
      <c r="AE5" s="288"/>
      <c r="AF5" s="49"/>
      <c r="AG5" s="286" t="s">
        <v>222</v>
      </c>
      <c r="AH5" s="286"/>
      <c r="AI5" s="286"/>
      <c r="AJ5" s="289" t="s">
        <v>223</v>
      </c>
      <c r="AK5" s="289"/>
      <c r="AL5" s="289"/>
      <c r="AM5" s="289" t="s">
        <v>578</v>
      </c>
      <c r="AN5" s="289"/>
      <c r="AO5" s="289"/>
      <c r="AP5" s="286" t="s">
        <v>579</v>
      </c>
      <c r="AQ5" s="286"/>
      <c r="AR5" s="286"/>
      <c r="AS5" s="287" t="s">
        <v>213</v>
      </c>
      <c r="AT5" s="286"/>
      <c r="AU5" s="288"/>
      <c r="AV5" s="287" t="s">
        <v>213</v>
      </c>
      <c r="AW5" s="286"/>
      <c r="AX5" s="288"/>
    </row>
    <row r="6" spans="1:50" ht="15" thickBot="1" x14ac:dyDescent="0.4">
      <c r="A6" s="10" t="s">
        <v>20</v>
      </c>
      <c r="B6" s="10" t="s">
        <v>21</v>
      </c>
      <c r="C6" s="10" t="s">
        <v>22</v>
      </c>
      <c r="D6" s="17"/>
      <c r="E6" s="281" t="s">
        <v>23</v>
      </c>
      <c r="F6" s="281"/>
      <c r="G6" s="281"/>
      <c r="H6" s="281"/>
      <c r="I6" s="281"/>
      <c r="J6" s="281"/>
      <c r="K6" s="281"/>
      <c r="L6" s="189"/>
      <c r="M6" s="25"/>
      <c r="N6" s="58"/>
      <c r="O6" s="61"/>
      <c r="P6" s="79" t="s">
        <v>189</v>
      </c>
      <c r="Q6" s="49" t="s">
        <v>212</v>
      </c>
      <c r="R6" s="79" t="s">
        <v>209</v>
      </c>
      <c r="S6" s="79" t="s">
        <v>210</v>
      </c>
      <c r="T6" s="79" t="s">
        <v>212</v>
      </c>
      <c r="U6" s="79" t="s">
        <v>209</v>
      </c>
      <c r="V6" s="79" t="s">
        <v>210</v>
      </c>
      <c r="W6" s="81" t="s">
        <v>212</v>
      </c>
      <c r="X6" s="79" t="s">
        <v>209</v>
      </c>
      <c r="Y6" s="79" t="s">
        <v>210</v>
      </c>
      <c r="Z6" s="81" t="s">
        <v>212</v>
      </c>
      <c r="AA6" s="81" t="s">
        <v>209</v>
      </c>
      <c r="AB6" s="81" t="s">
        <v>210</v>
      </c>
      <c r="AC6" s="82" t="s">
        <v>227</v>
      </c>
      <c r="AD6" s="81" t="s">
        <v>209</v>
      </c>
      <c r="AE6" s="83" t="s">
        <v>210</v>
      </c>
      <c r="AF6" s="79" t="s">
        <v>224</v>
      </c>
      <c r="AG6" s="81" t="s">
        <v>212</v>
      </c>
      <c r="AH6" s="81" t="s">
        <v>225</v>
      </c>
      <c r="AI6" s="81" t="s">
        <v>210</v>
      </c>
      <c r="AJ6" s="81" t="s">
        <v>212</v>
      </c>
      <c r="AK6" s="81" t="s">
        <v>225</v>
      </c>
      <c r="AL6" s="81" t="s">
        <v>210</v>
      </c>
      <c r="AM6" s="81" t="s">
        <v>212</v>
      </c>
      <c r="AN6" s="81" t="s">
        <v>225</v>
      </c>
      <c r="AO6" s="81" t="s">
        <v>210</v>
      </c>
      <c r="AP6" s="81" t="s">
        <v>212</v>
      </c>
      <c r="AQ6" s="81" t="s">
        <v>225</v>
      </c>
      <c r="AR6" s="81" t="s">
        <v>210</v>
      </c>
      <c r="AS6" s="82" t="s">
        <v>227</v>
      </c>
      <c r="AT6" s="81" t="s">
        <v>209</v>
      </c>
      <c r="AU6" s="83" t="s">
        <v>210</v>
      </c>
      <c r="AV6" s="82" t="s">
        <v>227</v>
      </c>
      <c r="AW6" s="81" t="s">
        <v>209</v>
      </c>
      <c r="AX6" s="83" t="s">
        <v>210</v>
      </c>
    </row>
    <row r="7" spans="1:50" ht="15" thickBot="1" x14ac:dyDescent="0.4">
      <c r="A7" s="10"/>
      <c r="B7" s="10"/>
      <c r="C7" s="10"/>
      <c r="D7" s="17"/>
      <c r="E7" s="189"/>
      <c r="F7" s="189"/>
      <c r="G7" s="189"/>
      <c r="H7" s="189"/>
      <c r="I7" s="189"/>
      <c r="J7" s="189"/>
      <c r="K7" s="189"/>
      <c r="L7" s="189"/>
      <c r="M7" s="25"/>
      <c r="N7" s="31" t="s">
        <v>395</v>
      </c>
      <c r="O7" s="90">
        <f>fcross</f>
        <v>3000</v>
      </c>
      <c r="P7" s="48" t="str">
        <f t="shared" ref="P7:P13" si="0">COMPLEX(Adc,0)</f>
        <v>547.187404092767</v>
      </c>
      <c r="Q7" s="17" t="str">
        <f t="shared" ref="Q7" si="1">IMSUM(COMPLEX(1,0),IMDIV(COMPLEX(0,2*PI()*O7),COMPLEX(wp_lf,0)))</f>
        <v>1+361.503024157027i</v>
      </c>
      <c r="R7" s="17">
        <f t="shared" ref="R7" si="2">IMABS(Q7)</f>
        <v>361.50440726867504</v>
      </c>
      <c r="S7" s="17">
        <f t="shared" ref="S7" si="3">IMARGUMENT(Q7)</f>
        <v>1.5680301052628085</v>
      </c>
      <c r="T7" s="17" t="str">
        <f t="shared" ref="T7" si="4">IMSUM(COMPLEX(1,0),IMDIV(COMPLEX(0,2*PI()*O7),COMPLEX(wz_esr,0)))</f>
        <v>1+0.00684033758949092i</v>
      </c>
      <c r="U7" s="17">
        <f t="shared" ref="U7" si="5">IMABS(T7)</f>
        <v>1.0000233948355099</v>
      </c>
      <c r="V7" s="17">
        <f t="shared" ref="V7" si="6">IMARGUMENT(T7)</f>
        <v>6.8402309055228573E-3</v>
      </c>
      <c r="W7" s="31" t="str">
        <f t="shared" ref="W7" si="7">IMSUB(COMPLEX(1,0),IMDIV(COMPLEX(0,2*PI()*O7),COMPLEX(wz_rhp,0)))</f>
        <v>1-0.118784158193468i</v>
      </c>
      <c r="X7" s="17">
        <f t="shared" ref="X7" si="8">IMABS(W7)</f>
        <v>1.0070301267776107</v>
      </c>
      <c r="Y7" s="17">
        <f t="shared" ref="Y7" si="9">IMARGUMENT(W7)</f>
        <v>-0.11823017195329893</v>
      </c>
      <c r="Z7" s="31" t="str">
        <f t="shared" ref="Z7" si="10">IMSUM(COMPLEX(1,0),IMDIV(COMPLEX(0,2*PI()*O7),COMPLEX(Q*(wsl/2),0)),IMDIV(IMPOWER(COMPLEX(0,2*PI()*O7),2),IMPOWER(COMPLEX(wsl/2,0),2)))</f>
        <v>0.99702479338843+0.568342548666328i</v>
      </c>
      <c r="AA7" s="17">
        <f t="shared" ref="AA7" si="11">IMABS(Z7)</f>
        <v>1.1476374389395714</v>
      </c>
      <c r="AB7" s="17">
        <f t="shared" ref="AB7" si="12">IMARGUMENT(Z7)</f>
        <v>0.5180976102244772</v>
      </c>
      <c r="AC7" s="66" t="str">
        <f t="shared" ref="AC7" si="13">(IMDIV(IMPRODUCT(P7,T7,W7),IMPRODUCT(Q7,Z7)))</f>
        <v>-0.778991566001298-1.07579910897214i</v>
      </c>
      <c r="AD7" s="64">
        <f t="shared" ref="AD7" si="14">20*LOG(IMABS(AC7))</f>
        <v>2.4654082219305171</v>
      </c>
      <c r="AE7" s="61">
        <f t="shared" ref="AE7" si="15">(180/PI())*IMARGUMENT(AC7)</f>
        <v>-125.90848712493809</v>
      </c>
      <c r="AF7" s="31" t="str">
        <f t="shared" ref="AF7:AF13" si="16">COMPLEX(Adc_ea_iso,0)</f>
        <v>-6627.51882264077</v>
      </c>
      <c r="AG7" s="31" t="str">
        <f t="shared" ref="AG7" si="17">COMPLEX(0,1*2*PI()*O7)</f>
        <v>18849.5559215388i</v>
      </c>
      <c r="AH7" s="31">
        <f t="shared" ref="AH7" si="18">IMABS(AG7)</f>
        <v>18849.555921538798</v>
      </c>
      <c r="AI7" s="31">
        <f t="shared" ref="AI7" si="19">IMARGUMENT(AG7)</f>
        <v>1.5707963267948966</v>
      </c>
      <c r="AJ7" s="31" t="str">
        <f t="shared" ref="AJ7:AJ13" si="20">IMSUM(IMPRODUCT(COMPLEX(wpA_ea_iso,0),IMPOWER(COMPLEX(0,2*PI()*O7),2)),COMPLEX(0,wpB_ea_iso*2*PI()*O7),COMPLEX(1,0))</f>
        <v>0.957597810787864+9.20131647531954i</v>
      </c>
      <c r="AK7" s="31">
        <f t="shared" ref="AK7" si="21">IMABS(AJ7)</f>
        <v>9.2510117525713103</v>
      </c>
      <c r="AL7" s="31">
        <f t="shared" ref="AL7" si="22">IMARGUMENT(AJ7)</f>
        <v>1.4670978094937688</v>
      </c>
      <c r="AM7" s="31" t="str">
        <f t="shared" ref="AM7:AM13" si="23">IMSUM(COMPLEX(1,0),IMDIV(COMPLEX(0,2*PI()*O7),COMPLEX(wz1_ea_iso,0)))</f>
        <v>1+10.931422965578i</v>
      </c>
      <c r="AN7" s="31">
        <f t="shared" ref="AN7:AN13" si="24">IMABS(AM7)</f>
        <v>10.977067370311895</v>
      </c>
      <c r="AO7" s="31">
        <f t="shared" ref="AO7" si="25">IMARGUMENT(AM7)</f>
        <v>1.479570835585871</v>
      </c>
      <c r="AP7" s="31" t="str">
        <f t="shared" ref="AP7:AP13" si="26">IMSUM(COMPLEX(1,0),IMDIV(COMPLEX(0,2*PI()*O7),COMPLEX(wz2_ea_iso,0)))</f>
        <v>1+8.82159217128014i</v>
      </c>
      <c r="AQ7" s="31">
        <f t="shared" ref="AQ7" si="27">IMABS(AP7)</f>
        <v>8.8780903597784491</v>
      </c>
      <c r="AR7" s="31">
        <f t="shared" ref="AR7" si="28">IMARGUMENT(AP7)</f>
        <v>1.4579199499060183</v>
      </c>
      <c r="AS7" s="58" t="str">
        <f t="shared" ref="AS7" si="29">IMDIV(IMPRODUCT(AF7,AM7,AP7),IMPRODUCT(AG7,AJ7))</f>
        <v>-3.6853080157716+0.371265668449842i</v>
      </c>
      <c r="AT7" s="49">
        <f t="shared" ref="AT7" si="30">20*LOG(IMABS(AS7))</f>
        <v>11.37333009200775</v>
      </c>
      <c r="AU7" s="61">
        <f t="shared" ref="AU7" si="31">(180/PI())*IMARGUMENT(AS7)</f>
        <v>174.24731175037331</v>
      </c>
      <c r="AV7" s="58" t="str">
        <f>IMPRODUCT(AC7,AS7)</f>
        <v>3.27023113771334+3.67543825518671i</v>
      </c>
      <c r="AW7" s="64">
        <f t="shared" ref="AW7" si="32">20*LOG(IMABS(AV7))</f>
        <v>13.838738313938263</v>
      </c>
      <c r="AX7" s="61">
        <f t="shared" ref="AX7" si="33">(180/PI())*IMARGUMENT(AV7)</f>
        <v>48.338824625435194</v>
      </c>
    </row>
    <row r="8" spans="1:50" ht="15" thickBot="1" x14ac:dyDescent="0.4">
      <c r="A8" s="10"/>
      <c r="B8" s="10"/>
      <c r="C8" s="10"/>
      <c r="D8" s="17"/>
      <c r="E8" s="189"/>
      <c r="F8" s="189"/>
      <c r="G8" s="189"/>
      <c r="H8" s="189"/>
      <c r="I8" s="189"/>
      <c r="J8" s="189"/>
      <c r="K8" s="189"/>
      <c r="L8" s="189"/>
      <c r="M8" s="25"/>
      <c r="N8" s="84" t="s">
        <v>254</v>
      </c>
      <c r="O8" s="90">
        <f>fcross</f>
        <v>3000</v>
      </c>
      <c r="P8" s="48" t="str">
        <f t="shared" si="0"/>
        <v>547.187404092767</v>
      </c>
      <c r="Q8" s="17" t="str">
        <f t="shared" ref="Q8:Q13" si="34">IMSUM(COMPLEX(1,0),IMDIV(COMPLEX(0,2*PI()*O8),COMPLEX(wp_lf,0)))</f>
        <v>1+361.503024157027i</v>
      </c>
      <c r="R8" s="17">
        <f t="shared" ref="R8:R13" si="35">IMABS(Q8)</f>
        <v>361.50440726867504</v>
      </c>
      <c r="S8" s="17">
        <f t="shared" ref="S8:S13" si="36">IMARGUMENT(Q8)</f>
        <v>1.5680301052628085</v>
      </c>
      <c r="T8" s="17" t="str">
        <f t="shared" ref="T8:T13" si="37">IMSUM(COMPLEX(1,0),IMDIV(COMPLEX(0,2*PI()*O8),COMPLEX(wz_esr,0)))</f>
        <v>1+0.00684033758949092i</v>
      </c>
      <c r="U8" s="17">
        <f t="shared" ref="U8:U13" si="38">IMABS(T8)</f>
        <v>1.0000233948355099</v>
      </c>
      <c r="V8" s="17">
        <f t="shared" ref="V8:V13" si="39">IMARGUMENT(T8)</f>
        <v>6.8402309055228573E-3</v>
      </c>
      <c r="W8" s="31" t="str">
        <f t="shared" ref="W8:W13" si="40">IMSUB(COMPLEX(1,0),IMDIV(COMPLEX(0,2*PI()*O8),COMPLEX(wz_rhp,0)))</f>
        <v>1-0.118784158193468i</v>
      </c>
      <c r="X8" s="17">
        <f t="shared" ref="X8:X13" si="41">IMABS(W8)</f>
        <v>1.0070301267776107</v>
      </c>
      <c r="Y8" s="17">
        <f t="shared" ref="Y8:Y13" si="42">IMARGUMENT(W8)</f>
        <v>-0.11823017195329893</v>
      </c>
      <c r="Z8" s="31" t="str">
        <f t="shared" ref="Z8:Z13" si="43">IMSUM(COMPLEX(1,0),IMDIV(COMPLEX(0,2*PI()*O8),COMPLEX(Q*(wsl/2),0)),IMDIV(IMPOWER(COMPLEX(0,2*PI()*O8),2),IMPOWER(COMPLEX(wsl/2,0),2)))</f>
        <v>0.99702479338843+0.568342548666328i</v>
      </c>
      <c r="AA8" s="17">
        <f t="shared" ref="AA8:AA13" si="44">IMABS(Z8)</f>
        <v>1.1476374389395714</v>
      </c>
      <c r="AB8" s="17">
        <f t="shared" ref="AB8:AB13" si="45">IMARGUMENT(Z8)</f>
        <v>0.5180976102244772</v>
      </c>
      <c r="AC8" s="66" t="str">
        <f t="shared" ref="AC8:AC13" si="46">(IMDIV(IMPRODUCT(P8,T8,W8),IMPRODUCT(Q8,Z8)))</f>
        <v>-0.778991566001298-1.07579910897214i</v>
      </c>
      <c r="AD8" s="64">
        <f t="shared" ref="AD8:AD13" si="47">20*LOG(IMABS(AC8))</f>
        <v>2.4654082219305171</v>
      </c>
      <c r="AE8" s="61">
        <f t="shared" ref="AE8:AE13" si="48">(180/PI())*IMARGUMENT(AC8)</f>
        <v>-125.90848712493809</v>
      </c>
      <c r="AF8" s="31" t="str">
        <f t="shared" si="16"/>
        <v>-6627.51882264077</v>
      </c>
      <c r="AG8" s="31" t="str">
        <f t="shared" ref="AG8:AG13" si="49">COMPLEX(0,1*2*PI()*O8)</f>
        <v>18849.5559215388i</v>
      </c>
      <c r="AH8" s="31">
        <f t="shared" ref="AH8:AH13" si="50">IMABS(AG8)</f>
        <v>18849.555921538798</v>
      </c>
      <c r="AI8" s="31">
        <f t="shared" ref="AI8:AI13" si="51">IMARGUMENT(AG8)</f>
        <v>1.5707963267948966</v>
      </c>
      <c r="AJ8" s="31" t="str">
        <f t="shared" si="20"/>
        <v>0.957597810787864+9.20131647531954i</v>
      </c>
      <c r="AK8" s="31">
        <f t="shared" ref="AK8:AK13" si="52">IMABS(AJ8)</f>
        <v>9.2510117525713103</v>
      </c>
      <c r="AL8" s="31">
        <f t="shared" ref="AL8:AL13" si="53">IMARGUMENT(AJ8)</f>
        <v>1.4670978094937688</v>
      </c>
      <c r="AM8" s="31" t="str">
        <f t="shared" si="23"/>
        <v>1+10.931422965578i</v>
      </c>
      <c r="AN8" s="31">
        <f t="shared" si="24"/>
        <v>10.977067370311895</v>
      </c>
      <c r="AO8" s="31">
        <f t="shared" ref="AO8:AO13" si="54">IMARGUMENT(AM8)</f>
        <v>1.479570835585871</v>
      </c>
      <c r="AP8" s="31" t="str">
        <f t="shared" si="26"/>
        <v>1+8.82159217128014i</v>
      </c>
      <c r="AQ8" s="31">
        <f t="shared" ref="AQ8:AQ13" si="55">IMABS(AP8)</f>
        <v>8.8780903597784491</v>
      </c>
      <c r="AR8" s="31">
        <f t="shared" ref="AR8:AR13" si="56">IMARGUMENT(AP8)</f>
        <v>1.4579199499060183</v>
      </c>
      <c r="AS8" s="58" t="str">
        <f t="shared" ref="AS8:AS13" si="57">IMDIV(IMPRODUCT(AF8,AM8,AP8),IMPRODUCT(AG8,AJ8))</f>
        <v>-3.6853080157716+0.371265668449842i</v>
      </c>
      <c r="AT8" s="49">
        <f t="shared" ref="AT8:AT13" si="58">20*LOG(IMABS(AS8))</f>
        <v>11.37333009200775</v>
      </c>
      <c r="AU8" s="61">
        <f t="shared" ref="AU8:AU13" si="59">(180/PI())*IMARGUMENT(AS8)</f>
        <v>174.24731175037331</v>
      </c>
      <c r="AV8" s="58" t="str">
        <f t="shared" ref="AV8:AV13" si="60">IMPRODUCT(AC8,AS8)</f>
        <v>3.27023113771334+3.67543825518671i</v>
      </c>
      <c r="AW8" s="64">
        <f t="shared" ref="AW8:AW13" si="61">20*LOG(IMABS(AV8))</f>
        <v>13.838738313938263</v>
      </c>
      <c r="AX8" s="61">
        <f t="shared" ref="AX8:AX13" si="62">(180/PI())*IMARGUMENT(AV8)</f>
        <v>48.338824625435194</v>
      </c>
    </row>
    <row r="9" spans="1:50" x14ac:dyDescent="0.35">
      <c r="A9" s="69" t="s">
        <v>159</v>
      </c>
      <c r="B9" s="10"/>
      <c r="C9" s="10"/>
      <c r="D9" s="17"/>
      <c r="E9" s="189"/>
      <c r="F9" s="189"/>
      <c r="G9" s="189"/>
      <c r="H9" s="189"/>
      <c r="I9" s="189"/>
      <c r="J9" s="189"/>
      <c r="K9" s="189"/>
      <c r="L9" s="189"/>
      <c r="M9" s="25"/>
      <c r="N9" s="71" t="s">
        <v>255</v>
      </c>
      <c r="O9" s="91">
        <f>wz_rhp/(2*PI())</f>
        <v>25255.893088990939</v>
      </c>
      <c r="P9" s="48" t="str">
        <f t="shared" si="0"/>
        <v>547.187404092767</v>
      </c>
      <c r="Q9" s="17" t="str">
        <f t="shared" si="34"/>
        <v>1+3043.36057648558i</v>
      </c>
      <c r="R9" s="17">
        <f t="shared" si="35"/>
        <v>3043.3607407776426</v>
      </c>
      <c r="S9" s="17">
        <f t="shared" si="36"/>
        <v>1.5704677426725493</v>
      </c>
      <c r="T9" s="17" t="str">
        <f t="shared" si="37"/>
        <v>1+0.0575862782842627i</v>
      </c>
      <c r="U9" s="17">
        <f t="shared" si="38"/>
        <v>1.0016567173670989</v>
      </c>
      <c r="V9" s="17">
        <f t="shared" si="39"/>
        <v>5.7522749163331763E-2</v>
      </c>
      <c r="W9" s="31" t="str">
        <f t="shared" si="40"/>
        <v>1-i</v>
      </c>
      <c r="X9" s="17">
        <f t="shared" si="41"/>
        <v>1.4142135623730951</v>
      </c>
      <c r="Y9" s="17">
        <f t="shared" si="42"/>
        <v>-0.78539816339744828</v>
      </c>
      <c r="Z9" s="31" t="str">
        <f t="shared" si="43"/>
        <v>0.789137145215689+4.78466621568045i</v>
      </c>
      <c r="AA9" s="17">
        <f t="shared" si="44"/>
        <v>4.8493059533744667</v>
      </c>
      <c r="AB9" s="17">
        <f t="shared" si="45"/>
        <v>1.4073374168066417</v>
      </c>
      <c r="AC9" s="66" t="str">
        <f t="shared" si="46"/>
        <v>-0.0443846755515471+0.0280803618307527i</v>
      </c>
      <c r="AD9" s="64">
        <f t="shared" si="47"/>
        <v>-25.593260443473209</v>
      </c>
      <c r="AE9" s="61">
        <f t="shared" si="48"/>
        <v>147.68014290260987</v>
      </c>
      <c r="AF9" s="31" t="str">
        <f t="shared" si="16"/>
        <v>-6627.51882264077</v>
      </c>
      <c r="AG9" s="31" t="str">
        <f t="shared" si="49"/>
        <v>158687.456376446i</v>
      </c>
      <c r="AH9" s="31">
        <f t="shared" si="50"/>
        <v>158687.456376446</v>
      </c>
      <c r="AI9" s="31">
        <f t="shared" si="51"/>
        <v>1.5707963267948966</v>
      </c>
      <c r="AJ9" s="31" t="str">
        <f t="shared" si="20"/>
        <v>-2.00518512953177+77.4624883928804i</v>
      </c>
      <c r="AK9" s="31">
        <f t="shared" si="52"/>
        <v>77.488437043347474</v>
      </c>
      <c r="AL9" s="31">
        <f t="shared" si="53"/>
        <v>1.5966764330704304</v>
      </c>
      <c r="AM9" s="31" t="str">
        <f t="shared" si="23"/>
        <v>1+92.0276165763924i</v>
      </c>
      <c r="AN9" s="31">
        <f t="shared" si="24"/>
        <v>92.033049567704168</v>
      </c>
      <c r="AO9" s="31">
        <f t="shared" si="54"/>
        <v>1.5599304510812897</v>
      </c>
      <c r="AP9" s="31" t="str">
        <f t="shared" si="26"/>
        <v>1+74.2657295841766i</v>
      </c>
      <c r="AQ9" s="31">
        <f t="shared" si="55"/>
        <v>74.272461859494356</v>
      </c>
      <c r="AR9" s="31">
        <f t="shared" si="56"/>
        <v>1.5573319795741833</v>
      </c>
      <c r="AS9" s="58" t="str">
        <f t="shared" si="57"/>
        <v>-3.67955608508519+0.184907136887399i</v>
      </c>
      <c r="AT9" s="49">
        <f t="shared" si="58"/>
        <v>11.326862042214575</v>
      </c>
      <c r="AU9" s="61">
        <f t="shared" si="59"/>
        <v>177.12316004831294</v>
      </c>
      <c r="AV9" s="58" t="str">
        <f t="shared" si="60"/>
        <v>0.15812364370134-0.111530309523653i</v>
      </c>
      <c r="AW9" s="64">
        <f t="shared" si="61"/>
        <v>-14.266398401258639</v>
      </c>
      <c r="AX9" s="61">
        <f t="shared" si="62"/>
        <v>-35.196697049077329</v>
      </c>
    </row>
    <row r="10" spans="1:50" x14ac:dyDescent="0.35">
      <c r="A10" s="31" t="s">
        <v>26</v>
      </c>
      <c r="B10" s="3">
        <f>VIN_min</f>
        <v>10</v>
      </c>
      <c r="C10" s="31" t="s">
        <v>11</v>
      </c>
      <c r="E10" s="31" t="s">
        <v>29</v>
      </c>
      <c r="N10" s="58" t="s">
        <v>208</v>
      </c>
      <c r="O10" s="92">
        <f>wz_esr/(2*PI())</f>
        <v>438574.84528380865</v>
      </c>
      <c r="P10" s="48" t="str">
        <f t="shared" si="0"/>
        <v>547.187404092767</v>
      </c>
      <c r="Q10" s="17" t="str">
        <f t="shared" si="34"/>
        <v>1+52848.7109630989i</v>
      </c>
      <c r="R10" s="17">
        <f t="shared" si="35"/>
        <v>52848.710972559871</v>
      </c>
      <c r="S10" s="17">
        <f t="shared" si="36"/>
        <v>1.5707774048575087</v>
      </c>
      <c r="T10" s="17" t="str">
        <f t="shared" si="37"/>
        <v>1+i</v>
      </c>
      <c r="U10" s="17">
        <f t="shared" si="38"/>
        <v>1.4142135623730951</v>
      </c>
      <c r="V10" s="17">
        <f t="shared" si="39"/>
        <v>0.78539816339744828</v>
      </c>
      <c r="W10" s="31" t="str">
        <f t="shared" si="40"/>
        <v>1-17.3652479339559i</v>
      </c>
      <c r="X10" s="17">
        <f t="shared" si="41"/>
        <v>17.394017241792064</v>
      </c>
      <c r="Y10" s="17">
        <f t="shared" si="42"/>
        <v>-1.5132735776315649</v>
      </c>
      <c r="Z10" s="31" t="str">
        <f t="shared" si="43"/>
        <v>-62.5860809638735+83.0869151165133i</v>
      </c>
      <c r="AA10" s="17">
        <f t="shared" si="44"/>
        <v>104.0214064219246</v>
      </c>
      <c r="AB10" s="17">
        <f t="shared" si="45"/>
        <v>2.2163808130911367</v>
      </c>
      <c r="AC10" s="66" t="str">
        <f t="shared" si="46"/>
        <v>-0.00048008690901162+0.00240093657822634i</v>
      </c>
      <c r="AD10" s="64">
        <f t="shared" si="47"/>
        <v>-52.222122691840568</v>
      </c>
      <c r="AE10" s="61">
        <f t="shared" si="48"/>
        <v>101.30762851630527</v>
      </c>
      <c r="AF10" s="31" t="str">
        <f t="shared" si="16"/>
        <v>-6627.51882264077</v>
      </c>
      <c r="AG10" s="31" t="str">
        <f t="shared" si="49"/>
        <v>2755647.02398579i</v>
      </c>
      <c r="AH10" s="31">
        <f t="shared" si="50"/>
        <v>2755647.0239857901</v>
      </c>
      <c r="AI10" s="31">
        <f t="shared" si="51"/>
        <v>1.5707963267948966</v>
      </c>
      <c r="AJ10" s="31" t="str">
        <f t="shared" si="20"/>
        <v>-905.21909275248+1345.15531652354i</v>
      </c>
      <c r="AK10" s="31">
        <f t="shared" si="52"/>
        <v>1621.3773254412952</v>
      </c>
      <c r="AL10" s="31">
        <f t="shared" si="53"/>
        <v>2.1631346987360138</v>
      </c>
      <c r="AM10" s="31" t="str">
        <f t="shared" si="23"/>
        <v>1+1598.08237862008i</v>
      </c>
      <c r="AN10" s="31">
        <f t="shared" si="24"/>
        <v>1598.0826914950344</v>
      </c>
      <c r="AO10" s="31">
        <f t="shared" si="54"/>
        <v>1.5701705769068699</v>
      </c>
      <c r="AP10" s="31" t="str">
        <f t="shared" si="26"/>
        <v>1+1289.64280722535i</v>
      </c>
      <c r="AQ10" s="31">
        <f t="shared" si="55"/>
        <v>1289.6431949295438</v>
      </c>
      <c r="AR10" s="31">
        <f t="shared" si="56"/>
        <v>1.5700209184461833</v>
      </c>
      <c r="AS10" s="58" t="str">
        <f t="shared" si="57"/>
        <v>-2.53390497712698+1.71034847207209i</v>
      </c>
      <c r="AT10" s="49">
        <f t="shared" si="58"/>
        <v>9.7062421204635267</v>
      </c>
      <c r="AU10" s="61">
        <f t="shared" si="59"/>
        <v>145.98123079072843</v>
      </c>
      <c r="AV10" s="58" t="str">
        <f t="shared" si="60"/>
        <v>-0.00288994359991336-0.00690486105662378i</v>
      </c>
      <c r="AW10" s="64">
        <f t="shared" si="61"/>
        <v>-42.515880571377039</v>
      </c>
      <c r="AX10" s="61">
        <f t="shared" si="62"/>
        <v>-112.71114069296628</v>
      </c>
    </row>
    <row r="11" spans="1:50" ht="15" thickBot="1" x14ac:dyDescent="0.4">
      <c r="A11" s="31" t="s">
        <v>27</v>
      </c>
      <c r="B11" s="3">
        <f>VIN_nom</f>
        <v>12</v>
      </c>
      <c r="C11" s="31" t="s">
        <v>11</v>
      </c>
      <c r="E11" s="31" t="s">
        <v>30</v>
      </c>
      <c r="N11" s="62" t="s">
        <v>206</v>
      </c>
      <c r="O11" s="93">
        <f>wp_lf/(2*PI())</f>
        <v>8.2986857634056488</v>
      </c>
      <c r="P11" s="48" t="str">
        <f t="shared" si="0"/>
        <v>547.187404092767</v>
      </c>
      <c r="Q11" s="17" t="str">
        <f t="shared" si="34"/>
        <v>1+i</v>
      </c>
      <c r="R11" s="17">
        <f t="shared" si="35"/>
        <v>1.4142135623730951</v>
      </c>
      <c r="S11" s="17">
        <f t="shared" si="36"/>
        <v>0.78539816339744828</v>
      </c>
      <c r="T11" s="17" t="str">
        <f t="shared" si="37"/>
        <v>1+0.0000189219373902656i</v>
      </c>
      <c r="U11" s="17">
        <f t="shared" si="38"/>
        <v>1.0000000001790199</v>
      </c>
      <c r="V11" s="17">
        <f t="shared" si="39"/>
        <v>1.8921937388007332E-5</v>
      </c>
      <c r="W11" s="31" t="str">
        <f t="shared" si="40"/>
        <v>1-0.000328584134172752i</v>
      </c>
      <c r="X11" s="17">
        <f t="shared" si="41"/>
        <v>1.000000053983765</v>
      </c>
      <c r="Y11" s="17">
        <f t="shared" si="42"/>
        <v>-3.2858412234727997E-4</v>
      </c>
      <c r="Z11" s="31" t="str">
        <f t="shared" si="43"/>
        <v>0.999999977233658+0.00157216540578498i</v>
      </c>
      <c r="AA11" s="17">
        <f t="shared" si="44"/>
        <v>1.000001213084954</v>
      </c>
      <c r="AB11" s="17">
        <f t="shared" si="45"/>
        <v>1.5721641462700616E-3</v>
      </c>
      <c r="AC11" s="66" t="str">
        <f t="shared" si="46"/>
        <v>273.078045607017-274.107755471053i</v>
      </c>
      <c r="AD11" s="64">
        <f t="shared" si="47"/>
        <v>51.752411809964649</v>
      </c>
      <c r="AE11" s="61">
        <f t="shared" si="48"/>
        <v>-45.107820706555877</v>
      </c>
      <c r="AF11" s="31" t="str">
        <f t="shared" si="16"/>
        <v>-6627.51882264077</v>
      </c>
      <c r="AG11" s="31" t="str">
        <f t="shared" si="49"/>
        <v>52.1421804575308i</v>
      </c>
      <c r="AH11" s="31">
        <f t="shared" si="50"/>
        <v>52.142180457530799</v>
      </c>
      <c r="AI11" s="31">
        <f t="shared" si="51"/>
        <v>1.5707963267948966</v>
      </c>
      <c r="AJ11" s="31" t="str">
        <f t="shared" si="20"/>
        <v>0.999999675537575+0.0254529446794414i</v>
      </c>
      <c r="AK11" s="31">
        <f t="shared" si="52"/>
        <v>1.0003235493919505</v>
      </c>
      <c r="AL11" s="31">
        <f t="shared" si="53"/>
        <v>2.5447458484512867E-2</v>
      </c>
      <c r="AM11" s="31" t="str">
        <f t="shared" si="23"/>
        <v>1+0.0302388147127359i</v>
      </c>
      <c r="AN11" s="31">
        <f t="shared" si="24"/>
        <v>1.0004570884926705</v>
      </c>
      <c r="AO11" s="31">
        <f t="shared" si="54"/>
        <v>3.0229603117224401E-2</v>
      </c>
      <c r="AP11" s="31" t="str">
        <f t="shared" si="26"/>
        <v>1+0.0244025404541244i</v>
      </c>
      <c r="AQ11" s="31">
        <f t="shared" si="55"/>
        <v>1.0002976976783537</v>
      </c>
      <c r="AR11" s="31">
        <f t="shared" si="56"/>
        <v>2.4397698410046929E-2</v>
      </c>
      <c r="AS11" s="58" t="str">
        <f t="shared" si="57"/>
        <v>-3.70996952498588+127.105430012697i</v>
      </c>
      <c r="AT11" s="49">
        <f t="shared" si="58"/>
        <v>42.086980467659259</v>
      </c>
      <c r="AU11" s="61">
        <f t="shared" si="59"/>
        <v>91.671881853204226</v>
      </c>
      <c r="AV11" s="58" t="str">
        <f t="shared" si="60"/>
        <v>33827.4729018187+35726.6338332667i</v>
      </c>
      <c r="AW11" s="64">
        <f t="shared" si="61"/>
        <v>93.839392277623915</v>
      </c>
      <c r="AX11" s="61">
        <f t="shared" si="62"/>
        <v>46.564061146648349</v>
      </c>
    </row>
    <row r="12" spans="1:50" x14ac:dyDescent="0.35">
      <c r="A12" s="31" t="s">
        <v>28</v>
      </c>
      <c r="B12" s="3">
        <f>VIN_max</f>
        <v>16</v>
      </c>
      <c r="C12" s="31" t="s">
        <v>11</v>
      </c>
      <c r="E12" s="31" t="s">
        <v>31</v>
      </c>
      <c r="N12" s="71" t="s">
        <v>217</v>
      </c>
      <c r="O12" s="77">
        <f>wz2_ea_iso/(2*PI())</f>
        <v>340.07466472627209</v>
      </c>
      <c r="P12" s="48" t="str">
        <f t="shared" si="0"/>
        <v>547.187404092767</v>
      </c>
      <c r="Q12" s="17" t="str">
        <f t="shared" si="34"/>
        <v>1+40.9793399125781i</v>
      </c>
      <c r="R12" s="17">
        <f t="shared" si="35"/>
        <v>40.991539366930539</v>
      </c>
      <c r="S12" s="17">
        <f t="shared" si="36"/>
        <v>1.5463986283848496</v>
      </c>
      <c r="T12" s="17" t="str">
        <f t="shared" si="37"/>
        <v>1+0.000775408504120214i</v>
      </c>
      <c r="U12" s="17">
        <f t="shared" si="38"/>
        <v>1.0000003006291289</v>
      </c>
      <c r="V12" s="17">
        <f t="shared" si="39"/>
        <v>7.754083487133246E-4</v>
      </c>
      <c r="W12" s="31" t="str">
        <f t="shared" si="40"/>
        <v>1-0.0134651609241453i</v>
      </c>
      <c r="X12" s="17">
        <f t="shared" si="41"/>
        <v>1.0000906511705392</v>
      </c>
      <c r="Y12" s="17">
        <f t="shared" si="42"/>
        <v>-1.3464347220713175E-2</v>
      </c>
      <c r="Z12" s="31" t="str">
        <f t="shared" si="43"/>
        <v>0.999961768337987+0.0644263005624588i</v>
      </c>
      <c r="AA12" s="17">
        <f t="shared" si="44"/>
        <v>1.0020350724110401</v>
      </c>
      <c r="AB12" s="17">
        <f t="shared" si="45"/>
        <v>6.4339835822090075E-2</v>
      </c>
      <c r="AC12" s="66" t="str">
        <f t="shared" si="46"/>
        <v>-0.700874356824899-13.3044417673877i</v>
      </c>
      <c r="AD12" s="64">
        <f t="shared" si="47"/>
        <v>22.491968785996505</v>
      </c>
      <c r="AE12" s="61">
        <f t="shared" si="48"/>
        <v>-93.015538542306743</v>
      </c>
      <c r="AF12" s="31" t="str">
        <f t="shared" si="16"/>
        <v>-6627.51882264077</v>
      </c>
      <c r="AG12" s="31" t="str">
        <f t="shared" si="49"/>
        <v>2136.75213675214i</v>
      </c>
      <c r="AH12" s="31">
        <f t="shared" si="50"/>
        <v>2136.7521367521399</v>
      </c>
      <c r="AI12" s="31">
        <f t="shared" si="51"/>
        <v>1.5707963267948966</v>
      </c>
      <c r="AJ12" s="31" t="str">
        <f t="shared" si="20"/>
        <v>0.999455128205128+1.04304487179487i</v>
      </c>
      <c r="AK12" s="31">
        <f t="shared" si="52"/>
        <v>1.4445944613880759</v>
      </c>
      <c r="AL12" s="31">
        <f t="shared" si="53"/>
        <v>0.80673629200955987</v>
      </c>
      <c r="AM12" s="31" t="str">
        <f t="shared" si="23"/>
        <v>1+1.23916666666667i</v>
      </c>
      <c r="AN12" s="31">
        <f t="shared" si="24"/>
        <v>1.5923360285372514</v>
      </c>
      <c r="AO12" s="31">
        <f t="shared" si="54"/>
        <v>0.89180530799553759</v>
      </c>
      <c r="AP12" s="31" t="str">
        <f t="shared" si="26"/>
        <v>1+i</v>
      </c>
      <c r="AQ12" s="31">
        <f t="shared" si="55"/>
        <v>1.4142135623730951</v>
      </c>
      <c r="AR12" s="31">
        <f t="shared" si="56"/>
        <v>0.78539816339744828</v>
      </c>
      <c r="AS12" s="58" t="str">
        <f t="shared" si="57"/>
        <v>-3.69702160913852+3.1160390903206i</v>
      </c>
      <c r="AT12" s="49">
        <f t="shared" si="58"/>
        <v>13.688011939307845</v>
      </c>
      <c r="AU12" s="61">
        <f t="shared" si="59"/>
        <v>139.87409558332743</v>
      </c>
      <c r="AV12" s="58" t="str">
        <f t="shared" si="60"/>
        <v>44.0483082645469+47.0028568182877i</v>
      </c>
      <c r="AW12" s="64">
        <f t="shared" si="61"/>
        <v>36.179980725304347</v>
      </c>
      <c r="AX12" s="61">
        <f t="shared" si="62"/>
        <v>46.858557041020653</v>
      </c>
    </row>
    <row r="13" spans="1:50" ht="15" thickBot="1" x14ac:dyDescent="0.4">
      <c r="A13" s="31" t="s">
        <v>60</v>
      </c>
      <c r="B13" s="3">
        <f>Fsw</f>
        <v>110000</v>
      </c>
      <c r="C13" s="31" t="s">
        <v>61</v>
      </c>
      <c r="E13" s="31" t="s">
        <v>62</v>
      </c>
      <c r="M13" s="202"/>
      <c r="N13" s="62" t="s">
        <v>223</v>
      </c>
      <c r="O13" s="63">
        <f>wpB_ea_iso/(2*PI())</f>
        <v>7.7690689695593263E-5</v>
      </c>
      <c r="P13" s="48" t="str">
        <f t="shared" si="0"/>
        <v>547.187404092767</v>
      </c>
      <c r="Q13" s="17" t="str">
        <f t="shared" si="34"/>
        <v>1+9.36180642460068E-06i</v>
      </c>
      <c r="R13" s="17">
        <f t="shared" si="35"/>
        <v>1.0000000000438218</v>
      </c>
      <c r="S13" s="17">
        <f t="shared" si="36"/>
        <v>9.3618064243271795E-6</v>
      </c>
      <c r="T13" s="17" t="str">
        <f t="shared" si="37"/>
        <v>1+1.7714351502608E-10i</v>
      </c>
      <c r="U13" s="17">
        <f t="shared" si="38"/>
        <v>1</v>
      </c>
      <c r="V13" s="17">
        <f t="shared" si="39"/>
        <v>1.7714351502608001E-10</v>
      </c>
      <c r="W13" s="31" t="str">
        <f t="shared" si="40"/>
        <v>1-3.07614105832032E-09i</v>
      </c>
      <c r="X13" s="17">
        <f t="shared" si="41"/>
        <v>1</v>
      </c>
      <c r="Y13" s="17">
        <f t="shared" si="42"/>
        <v>-3.0761410583203199E-9</v>
      </c>
      <c r="Z13" s="31" t="str">
        <f t="shared" si="43"/>
        <v>1+1.47183081964127E-08i</v>
      </c>
      <c r="AA13" s="17">
        <f t="shared" si="44"/>
        <v>1</v>
      </c>
      <c r="AB13" s="17">
        <f t="shared" si="45"/>
        <v>1.4718308196412698E-8</v>
      </c>
      <c r="AC13" s="66" t="str">
        <f t="shared" si="46"/>
        <v>547.187404044719-0.00513230252244124i</v>
      </c>
      <c r="AD13" s="64">
        <f t="shared" si="47"/>
        <v>54.762721832487493</v>
      </c>
      <c r="AE13" s="61">
        <f t="shared" si="48"/>
        <v>-5.3740139399768481E-4</v>
      </c>
      <c r="AF13" s="31" t="str">
        <f t="shared" si="16"/>
        <v>-6627.51882264077</v>
      </c>
      <c r="AG13" s="31" t="str">
        <f t="shared" si="49"/>
        <v>0.000488145i</v>
      </c>
      <c r="AH13" s="31">
        <f t="shared" si="50"/>
        <v>4.88145E-4</v>
      </c>
      <c r="AI13" s="31">
        <f t="shared" si="51"/>
        <v>1.5707963267948966</v>
      </c>
      <c r="AJ13" s="31" t="str">
        <f t="shared" si="20"/>
        <v>1+0.000000238285541025i</v>
      </c>
      <c r="AK13" s="31">
        <f t="shared" si="52"/>
        <v>1.0000000000000284</v>
      </c>
      <c r="AL13" s="31">
        <f t="shared" si="53"/>
        <v>2.3828554102499549E-7</v>
      </c>
      <c r="AM13" s="31" t="str">
        <f t="shared" si="23"/>
        <v>1+0.00000028308992985i</v>
      </c>
      <c r="AN13" s="31">
        <f t="shared" si="24"/>
        <v>1.00000000000004</v>
      </c>
      <c r="AO13" s="31">
        <f t="shared" si="54"/>
        <v>2.8308992984999241E-7</v>
      </c>
      <c r="AP13" s="31" t="str">
        <f t="shared" si="26"/>
        <v>1+0.00000022845186i</v>
      </c>
      <c r="AQ13" s="31">
        <f t="shared" si="55"/>
        <v>1.0000000000000262</v>
      </c>
      <c r="AR13" s="31">
        <f t="shared" si="56"/>
        <v>2.2845185999999604E-7</v>
      </c>
      <c r="AS13" s="58" t="str">
        <f t="shared" si="57"/>
        <v>-3.70998562413194+13576947.0600759i</v>
      </c>
      <c r="AT13" s="49">
        <f t="shared" si="58"/>
        <v>142.65604249164267</v>
      </c>
      <c r="AU13" s="61">
        <f t="shared" si="59"/>
        <v>90.000015656429781</v>
      </c>
      <c r="AV13" s="58" t="str">
        <f t="shared" si="60"/>
        <v>67650.9422407667+7429134416.67455i</v>
      </c>
      <c r="AW13" s="64">
        <f t="shared" si="61"/>
        <v>197.41876432413019</v>
      </c>
      <c r="AX13" s="61">
        <f t="shared" si="62"/>
        <v>89.999478255035783</v>
      </c>
    </row>
    <row r="14" spans="1:50" x14ac:dyDescent="0.35">
      <c r="B14" s="26"/>
    </row>
    <row r="15" spans="1:50" ht="15" thickBot="1" x14ac:dyDescent="0.4">
      <c r="A15" s="68" t="s">
        <v>216</v>
      </c>
      <c r="O15" s="50" t="s">
        <v>185</v>
      </c>
      <c r="P15" s="31">
        <f>B16</f>
        <v>12</v>
      </c>
      <c r="Q15" s="31" t="s">
        <v>11</v>
      </c>
    </row>
    <row r="16" spans="1:50" ht="15" thickBot="1" x14ac:dyDescent="0.4">
      <c r="A16" s="31" t="s">
        <v>187</v>
      </c>
      <c r="B16" s="43">
        <f>VIN_var</f>
        <v>12</v>
      </c>
      <c r="C16" s="31" t="s">
        <v>11</v>
      </c>
      <c r="E16" s="31" t="s">
        <v>188</v>
      </c>
      <c r="O16" s="67"/>
      <c r="P16" s="282" t="s">
        <v>214</v>
      </c>
      <c r="Q16" s="282"/>
      <c r="R16" s="282"/>
      <c r="S16" s="282"/>
      <c r="T16" s="282"/>
      <c r="U16" s="282"/>
      <c r="V16" s="282"/>
      <c r="W16" s="282"/>
      <c r="X16" s="282"/>
      <c r="Y16" s="282"/>
      <c r="Z16" s="282"/>
      <c r="AA16" s="282"/>
      <c r="AB16" s="282"/>
      <c r="AC16" s="282"/>
      <c r="AD16" s="282"/>
      <c r="AE16" s="283"/>
      <c r="AF16" s="284" t="s">
        <v>215</v>
      </c>
      <c r="AG16" s="282"/>
      <c r="AH16" s="282"/>
      <c r="AI16" s="282"/>
      <c r="AJ16" s="282"/>
      <c r="AK16" s="282"/>
      <c r="AL16" s="282"/>
      <c r="AM16" s="282"/>
      <c r="AN16" s="282"/>
      <c r="AO16" s="282"/>
      <c r="AP16" s="282"/>
      <c r="AQ16" s="282"/>
      <c r="AR16" s="282"/>
      <c r="AS16" s="282"/>
      <c r="AT16" s="282"/>
      <c r="AU16" s="283"/>
      <c r="AV16" s="284" t="s">
        <v>226</v>
      </c>
      <c r="AW16" s="282"/>
      <c r="AX16" s="283"/>
    </row>
    <row r="17" spans="1:50" x14ac:dyDescent="0.35">
      <c r="A17" s="31" t="s">
        <v>501</v>
      </c>
      <c r="B17" s="43">
        <f>POUT_Total</f>
        <v>24.324999999999999</v>
      </c>
      <c r="C17" s="31" t="s">
        <v>36</v>
      </c>
      <c r="E17" s="31" t="s">
        <v>502</v>
      </c>
      <c r="O17" s="52"/>
      <c r="P17" s="49"/>
      <c r="Q17" s="285" t="s">
        <v>206</v>
      </c>
      <c r="R17" s="285"/>
      <c r="S17" s="285"/>
      <c r="T17" s="286" t="s">
        <v>208</v>
      </c>
      <c r="U17" s="286"/>
      <c r="V17" s="286"/>
      <c r="W17" s="286" t="s">
        <v>208</v>
      </c>
      <c r="X17" s="286"/>
      <c r="Y17" s="286"/>
      <c r="Z17" s="286" t="s">
        <v>211</v>
      </c>
      <c r="AA17" s="286"/>
      <c r="AB17" s="286"/>
      <c r="AC17" s="287" t="s">
        <v>213</v>
      </c>
      <c r="AD17" s="286"/>
      <c r="AE17" s="288"/>
      <c r="AF17" s="71"/>
      <c r="AG17" s="289" t="s">
        <v>222</v>
      </c>
      <c r="AH17" s="289"/>
      <c r="AI17" s="289"/>
      <c r="AJ17" s="289" t="s">
        <v>223</v>
      </c>
      <c r="AK17" s="289"/>
      <c r="AL17" s="289"/>
      <c r="AM17" s="289" t="s">
        <v>578</v>
      </c>
      <c r="AN17" s="289"/>
      <c r="AO17" s="289"/>
      <c r="AP17" s="289" t="s">
        <v>217</v>
      </c>
      <c r="AQ17" s="289"/>
      <c r="AR17" s="290"/>
      <c r="AS17" s="287" t="s">
        <v>213</v>
      </c>
      <c r="AT17" s="286"/>
      <c r="AU17" s="288"/>
      <c r="AV17" s="287" t="s">
        <v>213</v>
      </c>
      <c r="AW17" s="286"/>
      <c r="AX17" s="288"/>
    </row>
    <row r="18" spans="1:50" ht="15" thickBot="1" x14ac:dyDescent="0.4">
      <c r="A18" s="31" t="s">
        <v>503</v>
      </c>
      <c r="B18" s="1">
        <f>Cout_total</f>
        <v>3.0017777777777773E-4</v>
      </c>
      <c r="C18" s="31" t="s">
        <v>151</v>
      </c>
      <c r="N18" s="10"/>
      <c r="O18" s="53" t="s">
        <v>184</v>
      </c>
      <c r="P18" s="54" t="s">
        <v>189</v>
      </c>
      <c r="Q18" s="55" t="s">
        <v>212</v>
      </c>
      <c r="R18" s="54" t="s">
        <v>209</v>
      </c>
      <c r="S18" s="54" t="s">
        <v>210</v>
      </c>
      <c r="T18" s="54" t="s">
        <v>212</v>
      </c>
      <c r="U18" s="54" t="s">
        <v>209</v>
      </c>
      <c r="V18" s="54" t="s">
        <v>210</v>
      </c>
      <c r="W18" s="56" t="s">
        <v>212</v>
      </c>
      <c r="X18" s="54" t="s">
        <v>209</v>
      </c>
      <c r="Y18" s="54" t="s">
        <v>210</v>
      </c>
      <c r="Z18" s="56" t="s">
        <v>212</v>
      </c>
      <c r="AA18" s="56" t="s">
        <v>209</v>
      </c>
      <c r="AB18" s="56" t="s">
        <v>210</v>
      </c>
      <c r="AC18" s="60" t="s">
        <v>227</v>
      </c>
      <c r="AD18" s="56" t="s">
        <v>209</v>
      </c>
      <c r="AE18" s="57" t="s">
        <v>210</v>
      </c>
      <c r="AF18" s="59" t="s">
        <v>224</v>
      </c>
      <c r="AG18" s="56" t="s">
        <v>212</v>
      </c>
      <c r="AH18" s="56" t="s">
        <v>225</v>
      </c>
      <c r="AI18" s="56" t="s">
        <v>210</v>
      </c>
      <c r="AJ18" s="56" t="s">
        <v>212</v>
      </c>
      <c r="AK18" s="56" t="s">
        <v>225</v>
      </c>
      <c r="AL18" s="56" t="s">
        <v>210</v>
      </c>
      <c r="AM18" s="56" t="s">
        <v>212</v>
      </c>
      <c r="AN18" s="56" t="s">
        <v>225</v>
      </c>
      <c r="AO18" s="56" t="s">
        <v>210</v>
      </c>
      <c r="AP18" s="56" t="s">
        <v>212</v>
      </c>
      <c r="AQ18" s="56" t="s">
        <v>225</v>
      </c>
      <c r="AR18" s="57" t="s">
        <v>210</v>
      </c>
      <c r="AS18" s="60" t="s">
        <v>227</v>
      </c>
      <c r="AT18" s="56" t="s">
        <v>209</v>
      </c>
      <c r="AU18" s="57" t="s">
        <v>210</v>
      </c>
      <c r="AV18" s="60" t="s">
        <v>227</v>
      </c>
      <c r="AW18" s="56" t="s">
        <v>209</v>
      </c>
      <c r="AX18" s="57" t="s">
        <v>210</v>
      </c>
    </row>
    <row r="19" spans="1:50" x14ac:dyDescent="0.35">
      <c r="A19" s="31" t="s">
        <v>491</v>
      </c>
      <c r="B19" s="1">
        <f>Resr_total</f>
        <v>1.2089208688756069E-3</v>
      </c>
      <c r="C19" s="2" t="s">
        <v>35</v>
      </c>
      <c r="N19" s="10">
        <v>1</v>
      </c>
      <c r="O19" s="50">
        <f>10^(1+(N19/100))</f>
        <v>10.232929922807543</v>
      </c>
      <c r="P19" s="48" t="str">
        <f>COMPLEX(Adc,0)</f>
        <v>547.187404092767</v>
      </c>
      <c r="Q19" s="17" t="str">
        <f t="shared" ref="Q19:Q82" si="63">IMSUM(COMPLEX(1,0),IMDIV(COMPLEX(0,2*PI()*O19),COMPLEX(wp_lf,0)))</f>
        <v>1+1.23307837102728i</v>
      </c>
      <c r="R19" s="17">
        <f>IMABS(Q19)</f>
        <v>1.5876026798589407</v>
      </c>
      <c r="S19" s="17">
        <f>IMARGUMENT(Q19)</f>
        <v>0.88939695796402707</v>
      </c>
      <c r="T19" s="17" t="str">
        <f t="shared" ref="T19:T82" si="64">IMSUM(COMPLEX(1,0),IMDIV(COMPLEX(0,2*PI()*O19),COMPLEX(wz_esr,0)))</f>
        <v>1+0.0000233322317338689i</v>
      </c>
      <c r="U19" s="17">
        <f>IMABS(T19)</f>
        <v>1.0000000002721965</v>
      </c>
      <c r="V19" s="17">
        <f>IMARGUMENT(T19)</f>
        <v>2.3332231729634931E-5</v>
      </c>
      <c r="W19" s="31" t="str">
        <f t="shared" ref="W19:W82" si="65">IMSUB(COMPLEX(1,0),IMDIV(COMPLEX(0,2*PI()*O19),COMPLEX(wz_rhp,0)))</f>
        <v>1-0.000405169988911147i</v>
      </c>
      <c r="X19" s="17">
        <f>IMABS(W19)</f>
        <v>1.0000000820813566</v>
      </c>
      <c r="Y19" s="17">
        <f>IMARGUMENT(W19)</f>
        <v>-4.0516996673988008E-4</v>
      </c>
      <c r="Z19" s="31" t="str">
        <f t="shared" ref="Z19:Z82" si="66">IMSUM(COMPLEX(1,0),IMDIV(COMPLEX(0,2*PI()*O19),COMPLEX(Q*(wsl/2),0)),IMDIV(IMPOWER(COMPLEX(0,2*PI()*O19),2),IMPOWER(COMPLEX(wsl/2,0),2)))</f>
        <v>0.99999996538418+0.00193860315755079i</v>
      </c>
      <c r="AA19" s="17">
        <f>IMABS(Z19)</f>
        <v>1.0000018444735808</v>
      </c>
      <c r="AB19" s="17">
        <f>IMARGUMENT(Z19)</f>
        <v>1.9386007961210594E-3</v>
      </c>
      <c r="AC19" s="66" t="str">
        <f>(IMDIV(IMPRODUCT(P19,T19,W19),IMPRODUCT(Q19,Z19)))</f>
        <v>216.474172350189-268.199331170423i</v>
      </c>
      <c r="AD19" s="64">
        <f>20*LOG(IMABS(AC19))</f>
        <v>50.747870060884878</v>
      </c>
      <c r="AE19" s="61">
        <f>(180/PI())*IMARGUMENT(AC19)</f>
        <v>-51.091643337566353</v>
      </c>
      <c r="AF19" s="31" t="str">
        <f>COMPLEX(Adc_ea_iso,0)</f>
        <v>-6627.51882264077</v>
      </c>
      <c r="AG19" s="31" t="str">
        <f>COMPLEX(0,1*2*PI()*O19)</f>
        <v>64.2953949403827i</v>
      </c>
      <c r="AH19" s="31">
        <f>IMABS(AG19)</f>
        <v>64.295394940382707</v>
      </c>
      <c r="AI19" s="31">
        <f>IMARGUMENT(AG19)</f>
        <v>1.5707963267948966</v>
      </c>
      <c r="AJ19" s="31" t="str">
        <f t="shared" ref="AJ19:AJ82" si="67">IMSUM(IMPRODUCT(COMPLEX(wpA_ea_iso,0),IMPOWER(COMPLEX(0,2*PI()*O19),2)),COMPLEX(0,wpB_ea_iso*2*PI()*O19),COMPLEX(1,0))</f>
        <v>0.999999506660635+0.0313854755631731i</v>
      </c>
      <c r="AK19" s="31">
        <f>IMABS(AJ19)</f>
        <v>1.0004919097113378</v>
      </c>
      <c r="AL19" s="31">
        <f>IMARGUMENT(AJ19)</f>
        <v>3.1375191717365004E-2</v>
      </c>
      <c r="AM19" s="31" t="str">
        <f t="shared" ref="AM19:AM82" si="68">IMSUM(COMPLEX(1,0),IMDIV(COMPLEX(0,2*PI()*O19),COMPLEX(wz1_ea_iso,0)))</f>
        <v>1+0.0372868283877762i</v>
      </c>
      <c r="AN19" s="31">
        <f>IMABS(AM19)</f>
        <v>1.0006949123340336</v>
      </c>
      <c r="AO19" s="31">
        <f>IMARGUMENT(AM19)</f>
        <v>3.7269562734958614E-2</v>
      </c>
      <c r="AP19" s="31" t="str">
        <f t="shared" ref="AP19:AP82" si="69">IMSUM(COMPLEX(1,0),IMDIV(COMPLEX(0,2*PI()*O19),COMPLEX(wz2_ea_iso,0)))</f>
        <v>1+0.0300902448320991i</v>
      </c>
      <c r="AQ19" s="31">
        <f>IMABS(AP19)</f>
        <v>1.0004526089895791</v>
      </c>
      <c r="AR19" s="31">
        <f>IMARGUMENT(AP19)</f>
        <v>3.0081168297532327E-2</v>
      </c>
      <c r="AS19" s="58" t="str">
        <f>IMDIV(IMPRODUCT(AF19,AM19,AP19),IMPRODUCT(AG19,AJ19))</f>
        <v>-3.70996115390316+103.080052735374i</v>
      </c>
      <c r="AT19" s="49">
        <f>20*LOG(IMABS(AS19))</f>
        <v>40.269114664534698</v>
      </c>
      <c r="AU19" s="61">
        <f>(180/PI())*IMARGUMENT(AS19)</f>
        <v>92.061246568463687</v>
      </c>
      <c r="AV19" s="58" t="str">
        <f t="shared" ref="AV19:AV82" si="70">IMPRODUCT(AC19,AS19)</f>
        <v>26842.8904303967+23309.178201849i</v>
      </c>
      <c r="AW19" s="64">
        <f>20*LOG(IMABS(AV19))</f>
        <v>91.016984725419576</v>
      </c>
      <c r="AX19" s="61">
        <f>(180/PI())*IMARGUMENT(AV19)</f>
        <v>40.969603230897349</v>
      </c>
    </row>
    <row r="20" spans="1:50" x14ac:dyDescent="0.35">
      <c r="N20" s="10">
        <v>2</v>
      </c>
      <c r="O20" s="50">
        <f t="shared" ref="O20:O83" si="71">10^(1+(N20/100))</f>
        <v>10.471285480509</v>
      </c>
      <c r="P20" s="48" t="str">
        <f t="shared" ref="P20:P82" si="72">COMPLEX(Adc,0)</f>
        <v>547.187404092767</v>
      </c>
      <c r="Q20" s="17" t="str">
        <f t="shared" si="63"/>
        <v>1+1.26180045600519i</v>
      </c>
      <c r="R20" s="17">
        <f t="shared" ref="R20:R83" si="73">IMABS(Q20)</f>
        <v>1.6100125436700505</v>
      </c>
      <c r="S20" s="17">
        <f t="shared" ref="S20:S83" si="74">IMARGUMENT(Q20)</f>
        <v>0.90063405211731162</v>
      </c>
      <c r="T20" s="17" t="str">
        <f t="shared" si="64"/>
        <v>1+0.0000238757092275387i</v>
      </c>
      <c r="U20" s="17">
        <f t="shared" ref="U20:U83" si="75">IMABS(T20)</f>
        <v>1.0000000002850249</v>
      </c>
      <c r="V20" s="17">
        <f t="shared" ref="V20:V83" si="76">IMARGUMENT(T20)</f>
        <v>2.3875709223001922E-5</v>
      </c>
      <c r="W20" s="31" t="str">
        <f t="shared" si="65"/>
        <v>1-0.000414607610335247i</v>
      </c>
      <c r="X20" s="17">
        <f t="shared" ref="X20:X83" si="77">IMABS(W20)</f>
        <v>1.0000000859497316</v>
      </c>
      <c r="Y20" s="17">
        <f t="shared" ref="Y20:Y83" si="78">IMARGUMENT(W20)</f>
        <v>-4.1460758657830659E-4</v>
      </c>
      <c r="Z20" s="31" t="str">
        <f t="shared" si="66"/>
        <v>0.999999963752787+0.00198375902593506i</v>
      </c>
      <c r="AA20" s="17">
        <f t="shared" ref="AA20:AA83" si="79">IMABS(Z20)</f>
        <v>1.000001931400859</v>
      </c>
      <c r="AB20" s="17">
        <f t="shared" ref="AB20:AB83" si="80">IMARGUMENT(Z20)</f>
        <v>1.9837564956177792E-3</v>
      </c>
      <c r="AC20" s="66" t="str">
        <f t="shared" ref="AC20:AC83" si="81">(IMDIV(IMPRODUCT(P20,T20,W20),IMPRODUCT(Q20,Z20)))</f>
        <v>210.461367564064-266.859536074328i</v>
      </c>
      <c r="AD20" s="64">
        <f t="shared" ref="AD20:AD83" si="82">20*LOG(IMABS(AC20))</f>
        <v>50.62612061297213</v>
      </c>
      <c r="AE20" s="61">
        <f t="shared" ref="AE20:AE83" si="83">(180/PI())*IMARGUMENT(AC20)</f>
        <v>-51.738578234361754</v>
      </c>
      <c r="AF20" s="31" t="str">
        <f t="shared" ref="AF20:AF82" si="84">COMPLEX(Adc_ea_iso,0)</f>
        <v>-6627.51882264077</v>
      </c>
      <c r="AG20" s="31" t="str">
        <f t="shared" ref="AG20:AG83" si="85">COMPLEX(0,1*2*PI()*O20)</f>
        <v>65.7930270784171i</v>
      </c>
      <c r="AH20" s="31">
        <f t="shared" ref="AH20:AH83" si="86">IMABS(AG20)</f>
        <v>65.793027078417097</v>
      </c>
      <c r="AI20" s="31">
        <f t="shared" ref="AI20:AI83" si="87">IMARGUMENT(AG20)</f>
        <v>1.5707963267948966</v>
      </c>
      <c r="AJ20" s="31" t="str">
        <f t="shared" si="67"/>
        <v>0.999999483410267+0.0321165372031939i</v>
      </c>
      <c r="AK20" s="31">
        <f t="shared" ref="AK20:AK83" si="88">IMABS(AJ20)</f>
        <v>1.0005150867341905</v>
      </c>
      <c r="AL20" s="31">
        <f t="shared" ref="AL20:AL83" si="89">IMARGUMENT(AJ20)</f>
        <v>3.2105518170247302E-2</v>
      </c>
      <c r="AM20" s="31" t="str">
        <f t="shared" si="68"/>
        <v>1+0.0381553501935865i</v>
      </c>
      <c r="AN20" s="31">
        <f t="shared" ref="AN20:AN83" si="90">IMABS(AM20)</f>
        <v>1.0007276506364733</v>
      </c>
      <c r="AO20" s="31">
        <f t="shared" ref="AO20:AO83" si="91">IMARGUMENT(AM20)</f>
        <v>3.8136850439730301E-2</v>
      </c>
      <c r="AP20" s="31" t="str">
        <f t="shared" si="69"/>
        <v>1+0.0307911366726992i</v>
      </c>
      <c r="AQ20" s="31">
        <f t="shared" ref="AQ20:AQ83" si="92">IMABS(AP20)</f>
        <v>1.0004739347417286</v>
      </c>
      <c r="AR20" s="31">
        <f t="shared" ref="AR20:AR83" si="93">IMARGUMENT(AP20)</f>
        <v>3.0781411239496299E-2</v>
      </c>
      <c r="AS20" s="58" t="str">
        <f t="shared" ref="AS20:AS83" si="94">IMDIV(IMPRODUCT(AF20,AM20,AP20),IMPRODUCT(AG20,AJ20))</f>
        <v>-3.70996000184387+100.733702828074i</v>
      </c>
      <c r="AT20" s="49">
        <f t="shared" ref="AT20:AT83" si="95">20*LOG(IMABS(AS20))</f>
        <v>40.069382759302684</v>
      </c>
      <c r="AU20" s="61">
        <f t="shared" ref="AU20:AU83" si="96">(180/PI())*IMARGUMENT(AS20)</f>
        <v>92.109214835362124</v>
      </c>
      <c r="AV20" s="58" t="str">
        <f t="shared" si="70"/>
        <v>26100.945948153+22190.5910619348i</v>
      </c>
      <c r="AW20" s="64">
        <f t="shared" ref="AW20:AW83" si="97">20*LOG(IMABS(AV20))</f>
        <v>90.695503372274814</v>
      </c>
      <c r="AX20" s="61">
        <f t="shared" ref="AX20:AX83" si="98">(180/PI())*IMARGUMENT(AV20)</f>
        <v>40.370636601000335</v>
      </c>
    </row>
    <row r="21" spans="1:50" x14ac:dyDescent="0.35">
      <c r="N21" s="10">
        <v>3</v>
      </c>
      <c r="O21" s="50">
        <f t="shared" si="71"/>
        <v>10.715193052376069</v>
      </c>
      <c r="P21" s="48" t="str">
        <f t="shared" si="72"/>
        <v>547.187404092767</v>
      </c>
      <c r="Q21" s="17" t="str">
        <f t="shared" si="63"/>
        <v>1+1.29119156428677i</v>
      </c>
      <c r="R21" s="17">
        <f t="shared" si="73"/>
        <v>1.6331489998421198</v>
      </c>
      <c r="S21" s="17">
        <f t="shared" si="74"/>
        <v>0.91181220224674764</v>
      </c>
      <c r="T21" s="17" t="str">
        <f t="shared" si="64"/>
        <v>1+0.0000244318459382733i</v>
      </c>
      <c r="U21" s="17">
        <f t="shared" si="75"/>
        <v>1.0000000002984577</v>
      </c>
      <c r="V21" s="17">
        <f t="shared" si="76"/>
        <v>2.4431845933412051E-5</v>
      </c>
      <c r="W21" s="31" t="str">
        <f t="shared" si="65"/>
        <v>1-0.000424265062202328i</v>
      </c>
      <c r="X21" s="17">
        <f t="shared" si="77"/>
        <v>1.0000000900004173</v>
      </c>
      <c r="Y21" s="17">
        <f t="shared" si="78"/>
        <v>-4.2426503674630777E-4</v>
      </c>
      <c r="Z21" s="31" t="str">
        <f t="shared" si="66"/>
        <v>0.999999962044508+0.00202996670961304i</v>
      </c>
      <c r="AA21" s="17">
        <f t="shared" si="79"/>
        <v>1.0000020224248847</v>
      </c>
      <c r="AB21" s="17">
        <f t="shared" si="80"/>
        <v>2.029963998329522E-3</v>
      </c>
      <c r="AC21" s="66" t="str">
        <f t="shared" si="81"/>
        <v>204.511474895436-265.39304172411i</v>
      </c>
      <c r="AD21" s="64">
        <f t="shared" si="82"/>
        <v>50.502188865322061</v>
      </c>
      <c r="AE21" s="61">
        <f t="shared" si="83"/>
        <v>-52.382208021278281</v>
      </c>
      <c r="AF21" s="31" t="str">
        <f t="shared" si="84"/>
        <v>-6627.51882264077</v>
      </c>
      <c r="AG21" s="31" t="str">
        <f t="shared" si="85"/>
        <v>67.3255435502821i</v>
      </c>
      <c r="AH21" s="31">
        <f t="shared" si="86"/>
        <v>67.325543550282106</v>
      </c>
      <c r="AI21" s="31">
        <f t="shared" si="87"/>
        <v>1.5707963267948966</v>
      </c>
      <c r="AJ21" s="31" t="str">
        <f t="shared" si="67"/>
        <v>0.999999459064143+0.0328646274563525i</v>
      </c>
      <c r="AK21" s="31">
        <f t="shared" si="88"/>
        <v>1.0005393554810442</v>
      </c>
      <c r="AL21" s="31">
        <f t="shared" si="89"/>
        <v>3.2852820693553414E-2</v>
      </c>
      <c r="AM21" s="31" t="str">
        <f t="shared" si="68"/>
        <v>1+0.0390441024711151i</v>
      </c>
      <c r="AN21" s="31">
        <f t="shared" si="90"/>
        <v>1.000761930699692</v>
      </c>
      <c r="AO21" s="31">
        <f t="shared" si="91"/>
        <v>3.9024280442734392E-2</v>
      </c>
      <c r="AP21" s="31" t="str">
        <f t="shared" si="69"/>
        <v>1+0.031508354381532i</v>
      </c>
      <c r="AQ21" s="31">
        <f t="shared" si="92"/>
        <v>1.0004962650584119</v>
      </c>
      <c r="AR21" s="31">
        <f t="shared" si="93"/>
        <v>3.1497933671255363E-2</v>
      </c>
      <c r="AS21" s="58" t="str">
        <f t="shared" si="94"/>
        <v>-3.7099587956041+98.4407632598988i</v>
      </c>
      <c r="AT21" s="49">
        <f t="shared" si="95"/>
        <v>39.869663470593238</v>
      </c>
      <c r="AU21" s="61">
        <f t="shared" si="96"/>
        <v>92.158297259808862</v>
      </c>
      <c r="AV21" s="58" t="str">
        <f t="shared" si="70"/>
        <v>25366.7644460973+21116.8629335508i</v>
      </c>
      <c r="AW21" s="64">
        <f t="shared" si="97"/>
        <v>90.371852335915293</v>
      </c>
      <c r="AX21" s="61">
        <f t="shared" si="98"/>
        <v>39.776089238530503</v>
      </c>
    </row>
    <row r="22" spans="1:50" x14ac:dyDescent="0.35">
      <c r="N22" s="10">
        <v>4</v>
      </c>
      <c r="O22" s="50">
        <f t="shared" si="71"/>
        <v>10.964781961431854</v>
      </c>
      <c r="P22" s="48" t="str">
        <f t="shared" si="72"/>
        <v>547.187404092767</v>
      </c>
      <c r="Q22" s="17" t="str">
        <f t="shared" si="63"/>
        <v>1+1.32126727942667i</v>
      </c>
      <c r="R22" s="17">
        <f t="shared" si="73"/>
        <v>1.657029638746258</v>
      </c>
      <c r="S22" s="17">
        <f t="shared" si="74"/>
        <v>0.92292616194658839</v>
      </c>
      <c r="T22" s="17" t="str">
        <f t="shared" si="64"/>
        <v>1+0.0000250009367371181i</v>
      </c>
      <c r="U22" s="17">
        <f t="shared" si="75"/>
        <v>1.0000000003125233</v>
      </c>
      <c r="V22" s="17">
        <f t="shared" si="76"/>
        <v>2.5000936731909184E-5</v>
      </c>
      <c r="W22" s="31" t="str">
        <f t="shared" si="65"/>
        <v>1-0.000434147465021201i</v>
      </c>
      <c r="X22" s="17">
        <f t="shared" si="77"/>
        <v>1.0000000942420062</v>
      </c>
      <c r="Y22" s="17">
        <f t="shared" si="78"/>
        <v>-4.3414743774458403E-4</v>
      </c>
      <c r="Z22" s="31" t="str">
        <f t="shared" si="66"/>
        <v>0.999999960255721+0.00207725070851025i</v>
      </c>
      <c r="AA22" s="17">
        <f t="shared" si="79"/>
        <v>1.0000021177387324</v>
      </c>
      <c r="AB22" s="17">
        <f t="shared" si="80"/>
        <v>2.0772478033179503E-3</v>
      </c>
      <c r="AC22" s="66" t="str">
        <f t="shared" si="81"/>
        <v>198.629717640888-263.803466131191i</v>
      </c>
      <c r="AD22" s="64">
        <f t="shared" si="82"/>
        <v>50.376098728294451</v>
      </c>
      <c r="AE22" s="61">
        <f t="shared" si="83"/>
        <v>-53.022233781590423</v>
      </c>
      <c r="AF22" s="31" t="str">
        <f t="shared" si="84"/>
        <v>-6627.51882264077</v>
      </c>
      <c r="AG22" s="31" t="str">
        <f t="shared" si="85"/>
        <v>68.8937569164964i</v>
      </c>
      <c r="AH22" s="31">
        <f t="shared" si="86"/>
        <v>68.8937569164964</v>
      </c>
      <c r="AI22" s="31">
        <f t="shared" si="87"/>
        <v>1.5707963267948966</v>
      </c>
      <c r="AJ22" s="31" t="str">
        <f t="shared" si="67"/>
        <v>0.999999433570622+0.0336301429700031i</v>
      </c>
      <c r="AK22" s="31">
        <f t="shared" si="88"/>
        <v>1.0005647673477955</v>
      </c>
      <c r="AL22" s="31">
        <f t="shared" si="89"/>
        <v>3.3617492181373568E-2</v>
      </c>
      <c r="AM22" s="31" t="str">
        <f t="shared" si="68"/>
        <v>1+0.0399535564485838i</v>
      </c>
      <c r="AN22" s="31">
        <f t="shared" si="90"/>
        <v>1.0007978250740208</v>
      </c>
      <c r="AO22" s="31">
        <f t="shared" si="91"/>
        <v>3.9932317676878916E-2</v>
      </c>
      <c r="AP22" s="31" t="str">
        <f t="shared" si="69"/>
        <v>1+0.0322422782369203i</v>
      </c>
      <c r="AQ22" s="31">
        <f t="shared" si="92"/>
        <v>1.0005196472363282</v>
      </c>
      <c r="AR22" s="31">
        <f t="shared" si="93"/>
        <v>3.2231112557877924E-2</v>
      </c>
      <c r="AS22" s="58" t="str">
        <f t="shared" si="94"/>
        <v>-3.70995753264148+96.2000182836901i</v>
      </c>
      <c r="AT22" s="49">
        <f t="shared" si="95"/>
        <v>39.669957391232835</v>
      </c>
      <c r="AU22" s="61">
        <f t="shared" si="96"/>
        <v>92.208519567831573</v>
      </c>
      <c r="AV22" s="58" t="str">
        <f t="shared" si="70"/>
        <v>24640.9904479531+20086.882125048i</v>
      </c>
      <c r="AW22" s="64">
        <f t="shared" si="97"/>
        <v>90.046056119527279</v>
      </c>
      <c r="AX22" s="61">
        <f t="shared" si="98"/>
        <v>39.186285786241235</v>
      </c>
    </row>
    <row r="23" spans="1:50" x14ac:dyDescent="0.35">
      <c r="N23" s="10">
        <v>5</v>
      </c>
      <c r="O23" s="50">
        <f t="shared" si="71"/>
        <v>11.220184543019636</v>
      </c>
      <c r="P23" s="48" t="str">
        <f t="shared" si="72"/>
        <v>547.187404092767</v>
      </c>
      <c r="Q23" s="17" t="str">
        <f t="shared" si="63"/>
        <v>1+1.35204354796717i</v>
      </c>
      <c r="R23" s="17">
        <f t="shared" si="73"/>
        <v>1.6816723092206913</v>
      </c>
      <c r="S23" s="17">
        <f t="shared" si="74"/>
        <v>0.93397084208087033</v>
      </c>
      <c r="T23" s="17" t="str">
        <f t="shared" si="64"/>
        <v>1+0.0000255832833635474i</v>
      </c>
      <c r="U23" s="17">
        <f t="shared" si="75"/>
        <v>1.0000000003272522</v>
      </c>
      <c r="V23" s="17">
        <f t="shared" si="76"/>
        <v>2.5583283357965945E-5</v>
      </c>
      <c r="W23" s="31" t="str">
        <f t="shared" si="65"/>
        <v>1-0.000444260058572648i</v>
      </c>
      <c r="X23" s="17">
        <f t="shared" si="77"/>
        <v>1.0000000986834949</v>
      </c>
      <c r="Y23" s="17">
        <f t="shared" si="78"/>
        <v>-4.4426002934522653E-4</v>
      </c>
      <c r="Z23" s="31" t="str">
        <f t="shared" si="66"/>
        <v>0.999999958382631+0.00212563609322877i</v>
      </c>
      <c r="AA23" s="17">
        <f t="shared" si="79"/>
        <v>1.0000022175445735</v>
      </c>
      <c r="AB23" s="17">
        <f t="shared" si="80"/>
        <v>2.1256329802595082E-3</v>
      </c>
      <c r="AC23" s="66" t="str">
        <f t="shared" si="81"/>
        <v>192.821057482656-262.094676464416i</v>
      </c>
      <c r="AD23" s="64">
        <f t="shared" si="82"/>
        <v>50.247875970457656</v>
      </c>
      <c r="AE23" s="61">
        <f t="shared" si="83"/>
        <v>-53.658365648601396</v>
      </c>
      <c r="AF23" s="31" t="str">
        <f t="shared" si="84"/>
        <v>-6627.51882264077</v>
      </c>
      <c r="AG23" s="31" t="str">
        <f t="shared" si="85"/>
        <v>70.4984986645445i</v>
      </c>
      <c r="AH23" s="31">
        <f t="shared" si="86"/>
        <v>70.498498664544499</v>
      </c>
      <c r="AI23" s="31">
        <f t="shared" si="87"/>
        <v>1.5707963267948966</v>
      </c>
      <c r="AJ23" s="31" t="str">
        <f t="shared" si="67"/>
        <v>0.999999406875628+0.0344134896306041i</v>
      </c>
      <c r="AK23" s="31">
        <f t="shared" si="88"/>
        <v>1.0005913761472078</v>
      </c>
      <c r="AL23" s="31">
        <f t="shared" si="89"/>
        <v>3.4399934499026452E-2</v>
      </c>
      <c r="AM23" s="31" t="str">
        <f t="shared" si="68"/>
        <v>1+0.0408841943305293i</v>
      </c>
      <c r="AN23" s="31">
        <f t="shared" si="90"/>
        <v>1.0008354097183294</v>
      </c>
      <c r="AO23" s="31">
        <f t="shared" si="91"/>
        <v>4.0861437602464877E-2</v>
      </c>
      <c r="AP23" s="31" t="str">
        <f t="shared" si="69"/>
        <v>1+0.0329932973750068i</v>
      </c>
      <c r="AQ23" s="31">
        <f t="shared" si="92"/>
        <v>1.0005441307966758</v>
      </c>
      <c r="AR23" s="31">
        <f t="shared" si="93"/>
        <v>3.2981333485741476E-2</v>
      </c>
      <c r="AS23" s="58" t="str">
        <f t="shared" si="94"/>
        <v>-3.70995621029471+94.0102798265356i</v>
      </c>
      <c r="AT23" s="49">
        <f t="shared" si="95"/>
        <v>39.470265141816455</v>
      </c>
      <c r="AU23" s="61">
        <f t="shared" si="96"/>
        <v>92.259908068584181</v>
      </c>
      <c r="AV23" s="58" t="str">
        <f t="shared" si="70"/>
        <v>23924.2361957817+19099.5213430273i</v>
      </c>
      <c r="AW23" s="64">
        <f t="shared" si="97"/>
        <v>89.718141112274111</v>
      </c>
      <c r="AX23" s="61">
        <f t="shared" si="98"/>
        <v>38.601542419982728</v>
      </c>
    </row>
    <row r="24" spans="1:50" x14ac:dyDescent="0.35">
      <c r="N24" s="10">
        <v>6</v>
      </c>
      <c r="O24" s="50">
        <f t="shared" si="71"/>
        <v>11.481536214968834</v>
      </c>
      <c r="P24" s="48" t="str">
        <f t="shared" si="72"/>
        <v>547.187404092767</v>
      </c>
      <c r="Q24" s="17" t="str">
        <f t="shared" si="63"/>
        <v>1+1.38353668789322i</v>
      </c>
      <c r="R24" s="17">
        <f t="shared" si="73"/>
        <v>1.707095125277599</v>
      </c>
      <c r="S24" s="17">
        <f t="shared" si="74"/>
        <v>0.94494132078964432</v>
      </c>
      <c r="T24" s="17" t="str">
        <f t="shared" si="64"/>
        <v>1+0.0000261791945854508i</v>
      </c>
      <c r="U24" s="17">
        <f t="shared" si="75"/>
        <v>1.000000000342675</v>
      </c>
      <c r="V24" s="17">
        <f t="shared" si="76"/>
        <v>2.6179194579470163E-5</v>
      </c>
      <c r="W24" s="31" t="str">
        <f t="shared" si="65"/>
        <v>1-0.000454608204687629i</v>
      </c>
      <c r="X24" s="17">
        <f t="shared" si="77"/>
        <v>1.0000001033343044</v>
      </c>
      <c r="Y24" s="17">
        <f t="shared" si="78"/>
        <v>-4.546081733698828E-4</v>
      </c>
      <c r="Z24" s="31" t="str">
        <f t="shared" si="66"/>
        <v>0.999999956421265+0.00217514851834004i</v>
      </c>
      <c r="AA24" s="17">
        <f t="shared" si="79"/>
        <v>1.0000023220541083</v>
      </c>
      <c r="AB24" s="17">
        <f t="shared" si="80"/>
        <v>2.1751451827337971E-3</v>
      </c>
      <c r="AC24" s="66" t="str">
        <f t="shared" si="81"/>
        <v>187.090180631031-260.27076706451i</v>
      </c>
      <c r="AD24" s="64">
        <f t="shared" si="82"/>
        <v>50.117548120552257</v>
      </c>
      <c r="AE24" s="61">
        <f t="shared" si="83"/>
        <v>-54.290323379868845</v>
      </c>
      <c r="AF24" s="31" t="str">
        <f t="shared" si="84"/>
        <v>-6627.51882264077</v>
      </c>
      <c r="AG24" s="31" t="str">
        <f t="shared" si="85"/>
        <v>72.1406196497425i</v>
      </c>
      <c r="AH24" s="31">
        <f t="shared" si="86"/>
        <v>72.140619649742504</v>
      </c>
      <c r="AI24" s="31">
        <f t="shared" si="87"/>
        <v>1.5707963267948966</v>
      </c>
      <c r="AJ24" s="31" t="str">
        <f t="shared" si="67"/>
        <v>0.999999378922537+0.0352150827789236i</v>
      </c>
      <c r="AK24" s="31">
        <f t="shared" si="88"/>
        <v>1.0006192382223049</v>
      </c>
      <c r="AL24" s="31">
        <f t="shared" si="89"/>
        <v>3.5200558679173918E-2</v>
      </c>
      <c r="AM24" s="31" t="str">
        <f t="shared" si="68"/>
        <v>1+0.0418365095534752i</v>
      </c>
      <c r="AN24" s="31">
        <f t="shared" si="90"/>
        <v>1.0008747641596416</v>
      </c>
      <c r="AO24" s="31">
        <f t="shared" si="91"/>
        <v>4.1812126430911652E-2</v>
      </c>
      <c r="AP24" s="31" t="str">
        <f t="shared" si="69"/>
        <v>1+0.0337618099960794i</v>
      </c>
      <c r="AQ24" s="31">
        <f t="shared" si="92"/>
        <v>1.0005697675895526</v>
      </c>
      <c r="AR24" s="31">
        <f t="shared" si="93"/>
        <v>3.3748990851997757E-2</v>
      </c>
      <c r="AS24" s="58" t="str">
        <f t="shared" si="94"/>
        <v>-3.70995482577843+91.8703868598355i</v>
      </c>
      <c r="AT24" s="49">
        <f t="shared" si="95"/>
        <v>39.270587371999909</v>
      </c>
      <c r="AU24" s="61">
        <f t="shared" si="96"/>
        <v>92.312489666784458</v>
      </c>
      <c r="AV24" s="58" t="str">
        <f t="shared" si="70"/>
        <v>23217.0799400348+18153.6400605294i</v>
      </c>
      <c r="AW24" s="64">
        <f t="shared" si="97"/>
        <v>89.388135492552166</v>
      </c>
      <c r="AX24" s="61">
        <f t="shared" si="98"/>
        <v>38.02216628691572</v>
      </c>
    </row>
    <row r="25" spans="1:50" x14ac:dyDescent="0.35">
      <c r="A25" s="31" t="s">
        <v>32</v>
      </c>
      <c r="B25" s="43">
        <f>VOUT1</f>
        <v>48</v>
      </c>
      <c r="C25" s="31" t="s">
        <v>11</v>
      </c>
      <c r="E25" s="31" t="s">
        <v>160</v>
      </c>
      <c r="N25" s="10">
        <v>7</v>
      </c>
      <c r="O25" s="50">
        <f t="shared" si="71"/>
        <v>11.748975549395301</v>
      </c>
      <c r="P25" s="48" t="str">
        <f t="shared" si="72"/>
        <v>547.187404092767</v>
      </c>
      <c r="Q25" s="17" t="str">
        <f t="shared" si="63"/>
        <v>1+1.41576339728445i</v>
      </c>
      <c r="R25" s="17">
        <f t="shared" si="73"/>
        <v>1.7333164734376718</v>
      </c>
      <c r="S25" s="17">
        <f t="shared" si="74"/>
        <v>0.95583285255528194</v>
      </c>
      <c r="T25" s="17" t="str">
        <f t="shared" si="64"/>
        <v>1+0.0000267889863628461i</v>
      </c>
      <c r="U25" s="17">
        <f t="shared" si="75"/>
        <v>1.0000000003588247</v>
      </c>
      <c r="V25" s="17">
        <f t="shared" si="76"/>
        <v>2.6788986356437731E-5</v>
      </c>
      <c r="W25" s="31" t="str">
        <f t="shared" si="65"/>
        <v>1-0.000465197390090185i</v>
      </c>
      <c r="X25" s="17">
        <f t="shared" si="77"/>
        <v>1.0000001082043</v>
      </c>
      <c r="Y25" s="17">
        <f t="shared" si="78"/>
        <v>-4.6519735653261559E-4</v>
      </c>
      <c r="Z25" s="31" t="str">
        <f t="shared" si="66"/>
        <v>0.999999954367462+0.00222581423598723i</v>
      </c>
      <c r="AA25" s="17">
        <f t="shared" si="79"/>
        <v>1.0000024314890137</v>
      </c>
      <c r="AB25" s="17">
        <f t="shared" si="80"/>
        <v>2.2258106618212167E-3</v>
      </c>
      <c r="AC25" s="66" t="str">
        <f t="shared" si="81"/>
        <v>181.441486068089-258.336036709114i</v>
      </c>
      <c r="AD25" s="64">
        <f t="shared" si="82"/>
        <v>49.98514436478154</v>
      </c>
      <c r="AE25" s="61">
        <f t="shared" si="83"/>
        <v>-54.917836877599854</v>
      </c>
      <c r="AF25" s="31" t="str">
        <f t="shared" si="84"/>
        <v>-6627.51882264077</v>
      </c>
      <c r="AG25" s="31" t="str">
        <f t="shared" si="85"/>
        <v>73.8209905463728i</v>
      </c>
      <c r="AH25" s="31">
        <f t="shared" si="86"/>
        <v>73.820990546372798</v>
      </c>
      <c r="AI25" s="31">
        <f t="shared" si="87"/>
        <v>1.5707963267948966</v>
      </c>
      <c r="AJ25" s="31" t="str">
        <f t="shared" si="67"/>
        <v>0.999999349652058+0.0360353474302591i</v>
      </c>
      <c r="AK25" s="31">
        <f t="shared" si="88"/>
        <v>1.0006484125650519</v>
      </c>
      <c r="AL25" s="31">
        <f t="shared" si="89"/>
        <v>3.6019785121592839E-2</v>
      </c>
      <c r="AM25" s="31" t="str">
        <f t="shared" si="68"/>
        <v>1+0.042811007047558i</v>
      </c>
      <c r="AN25" s="31">
        <f t="shared" si="90"/>
        <v>1.0009159716601719</v>
      </c>
      <c r="AO25" s="31">
        <f t="shared" si="91"/>
        <v>4.2784881352170977E-2</v>
      </c>
      <c r="AP25" s="31" t="str">
        <f t="shared" si="69"/>
        <v>1+0.0345482235757024i</v>
      </c>
      <c r="AQ25" s="31">
        <f t="shared" si="92"/>
        <v>1.0005966119032368</v>
      </c>
      <c r="AR25" s="31">
        <f t="shared" si="93"/>
        <v>3.4534488057644579E-2</v>
      </c>
      <c r="AS25" s="58" t="str">
        <f t="shared" si="94"/>
        <v>-3.70995337617717+89.7792047837084i</v>
      </c>
      <c r="AT25" s="49">
        <f t="shared" si="95"/>
        <v>39.070924761851394</v>
      </c>
      <c r="AU25" s="61">
        <f t="shared" si="96"/>
        <v>92.366291875359963</v>
      </c>
      <c r="AV25" s="58" t="str">
        <f t="shared" si="70"/>
        <v>22520.0644889022+17248.0869855445i</v>
      </c>
      <c r="AW25" s="64">
        <f t="shared" si="97"/>
        <v>89.056069126632906</v>
      </c>
      <c r="AX25" s="61">
        <f t="shared" si="98"/>
        <v>37.448454997760109</v>
      </c>
    </row>
    <row r="26" spans="1:50" x14ac:dyDescent="0.35">
      <c r="A26" s="31" t="s">
        <v>33</v>
      </c>
      <c r="B26" s="43">
        <f>IOUT1</f>
        <v>0.5</v>
      </c>
      <c r="C26" s="31" t="s">
        <v>12</v>
      </c>
      <c r="E26" s="31" t="s">
        <v>34</v>
      </c>
      <c r="N26" s="10">
        <v>8</v>
      </c>
      <c r="O26" s="50">
        <f t="shared" si="71"/>
        <v>12.022644346174133</v>
      </c>
      <c r="P26" s="48" t="str">
        <f t="shared" si="72"/>
        <v>547.187404092767</v>
      </c>
      <c r="Q26" s="17" t="str">
        <f t="shared" si="63"/>
        <v>1+1.44874076316877i</v>
      </c>
      <c r="R26" s="17">
        <f t="shared" si="73"/>
        <v>1.7603550206895284</v>
      </c>
      <c r="S26" s="17">
        <f t="shared" si="74"/>
        <v>0.96664087630204454</v>
      </c>
      <c r="T26" s="17" t="str">
        <f t="shared" si="64"/>
        <v>1+0.0000274129820154051i</v>
      </c>
      <c r="U26" s="17">
        <f t="shared" si="75"/>
        <v>1.0000000003757357</v>
      </c>
      <c r="V26" s="17">
        <f t="shared" si="76"/>
        <v>2.7412982008538408E-5</v>
      </c>
      <c r="W26" s="31" t="str">
        <f t="shared" si="65"/>
        <v>1-0.000476033229306582i</v>
      </c>
      <c r="X26" s="17">
        <f t="shared" si="77"/>
        <v>1.0000001133038112</v>
      </c>
      <c r="Y26" s="17">
        <f t="shared" si="78"/>
        <v>-4.7603319334899876E-4</v>
      </c>
      <c r="Z26" s="31" t="str">
        <f t="shared" si="66"/>
        <v>0.999999952216867+0.00227766010980447i</v>
      </c>
      <c r="AA26" s="17">
        <f t="shared" si="79"/>
        <v>1.0000025460814148</v>
      </c>
      <c r="AB26" s="17">
        <f t="shared" si="80"/>
        <v>2.2776562800171122E-3</v>
      </c>
      <c r="AC26" s="66" t="str">
        <f t="shared" si="81"/>
        <v>175.879075917536-256.294965349761i</v>
      </c>
      <c r="AD26" s="64">
        <f t="shared" si="82"/>
        <v>49.850695440199885</v>
      </c>
      <c r="AE26" s="61">
        <f t="shared" si="83"/>
        <v>-55.540646653675083</v>
      </c>
      <c r="AF26" s="31" t="str">
        <f t="shared" si="84"/>
        <v>-6627.51882264077</v>
      </c>
      <c r="AG26" s="31" t="str">
        <f t="shared" si="85"/>
        <v>75.540502309327i</v>
      </c>
      <c r="AH26" s="31">
        <f t="shared" si="86"/>
        <v>75.540502309326996</v>
      </c>
      <c r="AI26" s="31">
        <f t="shared" si="87"/>
        <v>1.5707963267948966</v>
      </c>
      <c r="AJ26" s="31" t="str">
        <f t="shared" si="67"/>
        <v>0.999999319002104+0.0368747184997864i</v>
      </c>
      <c r="AK26" s="31">
        <f t="shared" si="88"/>
        <v>1.000678960940576</v>
      </c>
      <c r="AL26" s="31">
        <f t="shared" si="89"/>
        <v>3.6858043796623115E-2</v>
      </c>
      <c r="AM26" s="31" t="str">
        <f t="shared" si="68"/>
        <v>1+0.043808203504248i</v>
      </c>
      <c r="AN26" s="31">
        <f t="shared" si="90"/>
        <v>1.0009591193921306</v>
      </c>
      <c r="AO26" s="31">
        <f t="shared" si="91"/>
        <v>4.3780210765810984E-2</v>
      </c>
      <c r="AP26" s="31" t="str">
        <f t="shared" si="69"/>
        <v>1+0.035352955080765i</v>
      </c>
      <c r="AQ26" s="31">
        <f t="shared" si="92"/>
        <v>1.0006247205785705</v>
      </c>
      <c r="AR26" s="31">
        <f t="shared" si="93"/>
        <v>3.5338237704231001E-2</v>
      </c>
      <c r="AS26" s="58" t="str">
        <f t="shared" si="94"/>
        <v>-3.70995185843948+87.7356248254103i</v>
      </c>
      <c r="AT26" s="49">
        <f t="shared" si="95"/>
        <v>38.871278023265184</v>
      </c>
      <c r="AU26" s="61">
        <f t="shared" si="96"/>
        <v>92.421342828301846</v>
      </c>
      <c r="AV26" s="58" t="str">
        <f t="shared" si="70"/>
        <v>21833.6960200073+16381.7026023488i</v>
      </c>
      <c r="AW26" s="64">
        <f t="shared" si="97"/>
        <v>88.721973463465076</v>
      </c>
      <c r="AX26" s="61">
        <f t="shared" si="98"/>
        <v>36.880696174626713</v>
      </c>
    </row>
    <row r="27" spans="1:50" x14ac:dyDescent="0.35">
      <c r="N27" s="10">
        <v>9</v>
      </c>
      <c r="O27" s="50">
        <f t="shared" si="71"/>
        <v>12.302687708123818</v>
      </c>
      <c r="P27" s="48" t="str">
        <f t="shared" si="72"/>
        <v>547.187404092767</v>
      </c>
      <c r="Q27" s="17" t="str">
        <f t="shared" si="63"/>
        <v>1+1.48248627058208i</v>
      </c>
      <c r="R27" s="17">
        <f t="shared" si="73"/>
        <v>1.7882297230681421</v>
      </c>
      <c r="S27" s="17">
        <f t="shared" si="74"/>
        <v>0.9773610225112751</v>
      </c>
      <c r="T27" s="17" t="str">
        <f t="shared" si="64"/>
        <v>1+0.0000280515123938824i</v>
      </c>
      <c r="U27" s="17">
        <f t="shared" si="75"/>
        <v>1.0000000003934437</v>
      </c>
      <c r="V27" s="17">
        <f t="shared" si="76"/>
        <v>2.8051512386524607E-5</v>
      </c>
      <c r="W27" s="31" t="str">
        <f t="shared" si="65"/>
        <v>1-0.000487121467642203i</v>
      </c>
      <c r="X27" s="17">
        <f t="shared" si="77"/>
        <v>1.0000001186436551</v>
      </c>
      <c r="Y27" s="17">
        <f t="shared" si="78"/>
        <v>-4.8712142911295857E-4</v>
      </c>
      <c r="Z27" s="31" t="str">
        <f t="shared" si="66"/>
        <v>0.999999949964917+0.00233071362916033i</v>
      </c>
      <c r="AA27" s="17">
        <f t="shared" si="79"/>
        <v>1.0000026660743748</v>
      </c>
      <c r="AB27" s="17">
        <f t="shared" si="80"/>
        <v>2.3307095254698328E-3</v>
      </c>
      <c r="AC27" s="66" t="str">
        <f t="shared" si="81"/>
        <v>170.406747940355-254.152190538834i</v>
      </c>
      <c r="AD27" s="64">
        <f t="shared" si="82"/>
        <v>49.714233524976393</v>
      </c>
      <c r="AE27" s="61">
        <f t="shared" si="83"/>
        <v>-56.158504238297063</v>
      </c>
      <c r="AF27" s="31" t="str">
        <f t="shared" si="84"/>
        <v>-6627.51882264077</v>
      </c>
      <c r="AG27" s="31" t="str">
        <f t="shared" si="85"/>
        <v>77.3000666465025i</v>
      </c>
      <c r="AH27" s="31">
        <f t="shared" si="86"/>
        <v>77.300066646502501</v>
      </c>
      <c r="AI27" s="31">
        <f t="shared" si="87"/>
        <v>1.5707963267948966</v>
      </c>
      <c r="AJ27" s="31" t="str">
        <f t="shared" si="67"/>
        <v>0.999999286907662+0.037733641033157i</v>
      </c>
      <c r="AK27" s="31">
        <f t="shared" si="88"/>
        <v>1.0007109480171843</v>
      </c>
      <c r="AL27" s="31">
        <f t="shared" si="89"/>
        <v>3.7715774452307997E-2</v>
      </c>
      <c r="AM27" s="31" t="str">
        <f t="shared" si="68"/>
        <v>1+0.0448286276503062i</v>
      </c>
      <c r="AN27" s="31">
        <f t="shared" si="90"/>
        <v>1.0010042986206451</v>
      </c>
      <c r="AO27" s="31">
        <f t="shared" si="91"/>
        <v>4.4798634515740232E-2</v>
      </c>
      <c r="AP27" s="31" t="str">
        <f t="shared" si="69"/>
        <v>1+0.0361764311905631i</v>
      </c>
      <c r="AQ27" s="31">
        <f t="shared" si="92"/>
        <v>1.0006541531286848</v>
      </c>
      <c r="AR27" s="31">
        <f t="shared" si="93"/>
        <v>3.616066179422063E-2</v>
      </c>
      <c r="AS27" s="58" t="str">
        <f t="shared" si="94"/>
        <v>-3.7099502693716+85.7385634514464i</v>
      </c>
      <c r="AT27" s="49">
        <f t="shared" si="95"/>
        <v>38.671647901439869</v>
      </c>
      <c r="AU27" s="61">
        <f t="shared" si="96"/>
        <v>92.477671293725237</v>
      </c>
      <c r="AV27" s="58" t="str">
        <f t="shared" si="70"/>
        <v>21158.4431544139+15553.3217585897i</v>
      </c>
      <c r="AW27" s="64">
        <f t="shared" si="97"/>
        <v>88.385881426416276</v>
      </c>
      <c r="AX27" s="61">
        <f t="shared" si="98"/>
        <v>36.319167055428132</v>
      </c>
    </row>
    <row r="28" spans="1:50" x14ac:dyDescent="0.35">
      <c r="A28" s="31" t="s">
        <v>161</v>
      </c>
      <c r="N28" s="10">
        <v>10</v>
      </c>
      <c r="O28" s="50">
        <f t="shared" si="71"/>
        <v>12.58925411794168</v>
      </c>
      <c r="P28" s="48" t="str">
        <f t="shared" si="72"/>
        <v>547.187404092767</v>
      </c>
      <c r="Q28" s="17" t="str">
        <f t="shared" si="63"/>
        <v>1+1.51701781183907i</v>
      </c>
      <c r="R28" s="17">
        <f t="shared" si="73"/>
        <v>1.8169598348441827</v>
      </c>
      <c r="S28" s="17">
        <f t="shared" si="74"/>
        <v>0.98798911934372124</v>
      </c>
      <c r="T28" s="17" t="str">
        <f t="shared" si="64"/>
        <v>1+0.0000287049160555366i</v>
      </c>
      <c r="U28" s="17">
        <f t="shared" si="75"/>
        <v>1.000000000411986</v>
      </c>
      <c r="V28" s="17">
        <f t="shared" si="76"/>
        <v>2.8704916047652584E-5</v>
      </c>
      <c r="W28" s="31" t="str">
        <f t="shared" si="65"/>
        <v>1-0.000498467984227783i</v>
      </c>
      <c r="X28" s="17">
        <f t="shared" si="77"/>
        <v>1.0000001242351579</v>
      </c>
      <c r="Y28" s="17">
        <f t="shared" si="78"/>
        <v>-4.9846794294295413E-4</v>
      </c>
      <c r="Z28" s="31" t="str">
        <f t="shared" si="66"/>
        <v>0.999999947606837+0.00238500292373301i</v>
      </c>
      <c r="AA28" s="17">
        <f t="shared" si="79"/>
        <v>1.0000027917224146</v>
      </c>
      <c r="AB28" s="17">
        <f t="shared" si="80"/>
        <v>2.3849985265500806E-3</v>
      </c>
      <c r="AC28" s="66" t="str">
        <f t="shared" si="81"/>
        <v>165.02799013204-251.912483758097i</v>
      </c>
      <c r="AD28" s="64">
        <f t="shared" si="82"/>
        <v>49.575792126305018</v>
      </c>
      <c r="AE28" s="61">
        <f t="shared" si="83"/>
        <v>-56.771172531770802</v>
      </c>
      <c r="AF28" s="31" t="str">
        <f t="shared" si="84"/>
        <v>-6627.51882264077</v>
      </c>
      <c r="AG28" s="31" t="str">
        <f t="shared" si="85"/>
        <v>79.1006165022013i</v>
      </c>
      <c r="AH28" s="31">
        <f t="shared" si="86"/>
        <v>79.100616502201305</v>
      </c>
      <c r="AI28" s="31">
        <f t="shared" si="87"/>
        <v>1.5707963267948966</v>
      </c>
      <c r="AJ28" s="31" t="str">
        <f t="shared" si="67"/>
        <v>0.999999253300655+0.038612570442467i</v>
      </c>
      <c r="AK28" s="31">
        <f t="shared" si="88"/>
        <v>1.0007444415024458</v>
      </c>
      <c r="AL28" s="31">
        <f t="shared" si="89"/>
        <v>3.8593426825239988E-2</v>
      </c>
      <c r="AM28" s="31" t="str">
        <f t="shared" si="68"/>
        <v>1+0.0458728205281216i</v>
      </c>
      <c r="AN28" s="31">
        <f t="shared" si="90"/>
        <v>1.0010516048951748</v>
      </c>
      <c r="AO28" s="31">
        <f t="shared" si="91"/>
        <v>4.5840684128533878E-2</v>
      </c>
      <c r="AP28" s="31" t="str">
        <f t="shared" si="69"/>
        <v>1+0.0370190885230302i</v>
      </c>
      <c r="AQ28" s="31">
        <f t="shared" si="92"/>
        <v>1.0006849718643105</v>
      </c>
      <c r="AR28" s="31">
        <f t="shared" si="93"/>
        <v>3.7002191935031806E-2</v>
      </c>
      <c r="AS28" s="58" t="str">
        <f t="shared" si="94"/>
        <v>-3.70994860563104+83.7869617930669i</v>
      </c>
      <c r="AT28" s="49">
        <f t="shared" si="95"/>
        <v>38.472035176424441</v>
      </c>
      <c r="AU28" s="61">
        <f t="shared" si="96"/>
        <v>92.535306687134437</v>
      </c>
      <c r="AV28" s="58" t="str">
        <f t="shared" si="70"/>
        <v>20494.7362899558+14761.7762718393i</v>
      </c>
      <c r="AW28" s="64">
        <f t="shared" si="97"/>
        <v>88.047827302729459</v>
      </c>
      <c r="AX28" s="61">
        <f t="shared" si="98"/>
        <v>35.764134155363713</v>
      </c>
    </row>
    <row r="29" spans="1:50" x14ac:dyDescent="0.35">
      <c r="A29" s="31" t="s">
        <v>162</v>
      </c>
      <c r="B29" s="43">
        <f>Lm</f>
        <v>1.8E-5</v>
      </c>
      <c r="C29" s="31" t="s">
        <v>75</v>
      </c>
      <c r="E29" s="31" t="s">
        <v>163</v>
      </c>
      <c r="N29" s="10">
        <v>11</v>
      </c>
      <c r="O29" s="50">
        <f t="shared" si="71"/>
        <v>12.882495516931346</v>
      </c>
      <c r="P29" s="48" t="str">
        <f t="shared" si="72"/>
        <v>547.187404092767</v>
      </c>
      <c r="Q29" s="17" t="str">
        <f t="shared" si="63"/>
        <v>1+1.55235369602i</v>
      </c>
      <c r="R29" s="17">
        <f t="shared" si="73"/>
        <v>1.8465649183137198</v>
      </c>
      <c r="S29" s="17">
        <f t="shared" si="74"/>
        <v>0.99852119776913606</v>
      </c>
      <c r="T29" s="17" t="str">
        <f t="shared" si="64"/>
        <v>1+0.0000293735394436379i</v>
      </c>
      <c r="U29" s="17">
        <f t="shared" si="75"/>
        <v>1.0000000004314022</v>
      </c>
      <c r="V29" s="17">
        <f t="shared" si="76"/>
        <v>2.9373539435190023E-5</v>
      </c>
      <c r="W29" s="31" t="str">
        <f t="shared" si="65"/>
        <v>1-0.000510078795136603i</v>
      </c>
      <c r="X29" s="17">
        <f t="shared" si="77"/>
        <v>1.0000001300901802</v>
      </c>
      <c r="Y29" s="17">
        <f t="shared" si="78"/>
        <v>-5.1007875089911217E-4</v>
      </c>
      <c r="Z29" s="31" t="str">
        <f t="shared" si="66"/>
        <v>0.999999945137623+0.00244055677842509i</v>
      </c>
      <c r="AA29" s="17">
        <f t="shared" si="79"/>
        <v>1.0000029232920462</v>
      </c>
      <c r="AB29" s="17">
        <f t="shared" si="80"/>
        <v>2.4405520667594369E-3</v>
      </c>
      <c r="AC29" s="66" t="str">
        <f t="shared" si="81"/>
        <v>159.745977374897-249.580726851357i</v>
      </c>
      <c r="AD29" s="64">
        <f t="shared" si="82"/>
        <v>49.435405966719401</v>
      </c>
      <c r="AE29" s="61">
        <f t="shared" si="83"/>
        <v>-57.378426099433419</v>
      </c>
      <c r="AF29" s="31" t="str">
        <f t="shared" si="84"/>
        <v>-6627.51882264077</v>
      </c>
      <c r="AG29" s="31" t="str">
        <f t="shared" si="85"/>
        <v>80.9431065517899i</v>
      </c>
      <c r="AH29" s="31">
        <f t="shared" si="86"/>
        <v>80.943106551789896</v>
      </c>
      <c r="AI29" s="31">
        <f t="shared" si="87"/>
        <v>1.5707963267948966</v>
      </c>
      <c r="AJ29" s="31" t="str">
        <f t="shared" si="67"/>
        <v>0.999999218109799+0.0395119727477235i</v>
      </c>
      <c r="AK29" s="31">
        <f t="shared" si="88"/>
        <v>1.0007795122856114</v>
      </c>
      <c r="AL29" s="31">
        <f t="shared" si="89"/>
        <v>3.9491460855120369E-2</v>
      </c>
      <c r="AM29" s="31" t="str">
        <f t="shared" si="68"/>
        <v>1+0.0469413357825795i</v>
      </c>
      <c r="AN29" s="31">
        <f t="shared" si="90"/>
        <v>1.0011011382498038</v>
      </c>
      <c r="AO29" s="31">
        <f t="shared" si="91"/>
        <v>4.6906903055316813E-2</v>
      </c>
      <c r="AP29" s="31" t="str">
        <f t="shared" si="69"/>
        <v>1+0.0378813738662376i</v>
      </c>
      <c r="AQ29" s="31">
        <f t="shared" si="92"/>
        <v>1.0007172420249357</v>
      </c>
      <c r="AR29" s="31">
        <f t="shared" si="93"/>
        <v>3.786326954677055E-2</v>
      </c>
      <c r="AS29" s="58" t="str">
        <f t="shared" si="94"/>
        <v>-3.70994686371947+81.8797850848377i</v>
      </c>
      <c r="AT29" s="49">
        <f t="shared" si="95"/>
        <v>38.272440664734695</v>
      </c>
      <c r="AU29" s="61">
        <f t="shared" si="96"/>
        <v>92.594279084890616</v>
      </c>
      <c r="AV29" s="58" t="str">
        <f t="shared" si="70"/>
        <v>19842.9671881529+14005.8975304509i</v>
      </c>
      <c r="AW29" s="64">
        <f t="shared" si="97"/>
        <v>87.707846631454089</v>
      </c>
      <c r="AX29" s="61">
        <f t="shared" si="98"/>
        <v>35.215852985457147</v>
      </c>
    </row>
    <row r="30" spans="1:50" x14ac:dyDescent="0.35">
      <c r="N30" s="10">
        <v>12</v>
      </c>
      <c r="O30" s="50">
        <f t="shared" si="71"/>
        <v>13.182567385564075</v>
      </c>
      <c r="P30" s="48" t="str">
        <f t="shared" si="72"/>
        <v>547.187404092767</v>
      </c>
      <c r="Q30" s="17" t="str">
        <f t="shared" si="63"/>
        <v>1+1.5885126586784i</v>
      </c>
      <c r="R30" s="17">
        <f t="shared" si="73"/>
        <v>1.8770648541756674</v>
      </c>
      <c r="S30" s="17">
        <f t="shared" si="74"/>
        <v>1.0089534957115587</v>
      </c>
      <c r="T30" s="17" t="str">
        <f t="shared" si="64"/>
        <v>1+0.0000300577370711569i</v>
      </c>
      <c r="U30" s="17">
        <f t="shared" si="75"/>
        <v>1.0000000004517338</v>
      </c>
      <c r="V30" s="17">
        <f t="shared" si="76"/>
        <v>3.0057737062104835E-5</v>
      </c>
      <c r="W30" s="31" t="str">
        <f t="shared" si="65"/>
        <v>1-0.000521960056574297i</v>
      </c>
      <c r="X30" s="17">
        <f t="shared" si="77"/>
        <v>1.000000136221141</v>
      </c>
      <c r="Y30" s="17">
        <f t="shared" si="78"/>
        <v>-5.2196000917297187E-4</v>
      </c>
      <c r="Z30" s="31" t="str">
        <f t="shared" si="66"/>
        <v>0.999999942552039+0.00249740464862569i</v>
      </c>
      <c r="AA30" s="17">
        <f t="shared" si="79"/>
        <v>1.0000030610623452</v>
      </c>
      <c r="AB30" s="17">
        <f t="shared" si="80"/>
        <v>2.4973995999858175E-3</v>
      </c>
      <c r="AC30" s="66" t="str">
        <f t="shared" si="81"/>
        <v>154.563570078619-247.161888752334i</v>
      </c>
      <c r="AD30" s="64">
        <f t="shared" si="82"/>
        <v>49.293110869551874</v>
      </c>
      <c r="AE30" s="61">
        <f t="shared" si="83"/>
        <v>-57.980051410204766</v>
      </c>
      <c r="AF30" s="31" t="str">
        <f t="shared" si="84"/>
        <v>-6627.51882264077</v>
      </c>
      <c r="AG30" s="31" t="str">
        <f t="shared" si="85"/>
        <v>82.828513707881i</v>
      </c>
      <c r="AH30" s="31">
        <f t="shared" si="86"/>
        <v>82.828513707881001</v>
      </c>
      <c r="AI30" s="31">
        <f t="shared" si="87"/>
        <v>1.5707963267948966</v>
      </c>
      <c r="AJ30" s="31" t="str">
        <f t="shared" si="67"/>
        <v>0.999999181260449+0.0404323248239336i</v>
      </c>
      <c r="AK30" s="31">
        <f t="shared" si="88"/>
        <v>1.000816234586668</v>
      </c>
      <c r="AL30" s="31">
        <f t="shared" si="89"/>
        <v>4.0410346903031746E-2</v>
      </c>
      <c r="AM30" s="31" t="str">
        <f t="shared" si="68"/>
        <v>1+0.0480347399546115i</v>
      </c>
      <c r="AN30" s="31">
        <f t="shared" si="90"/>
        <v>1.0011530034128187</v>
      </c>
      <c r="AO30" s="31">
        <f t="shared" si="91"/>
        <v>4.7997846917145738E-2</v>
      </c>
      <c r="AP30" s="31" t="str">
        <f t="shared" si="69"/>
        <v>1+0.0387637444152883i</v>
      </c>
      <c r="AQ30" s="31">
        <f t="shared" si="92"/>
        <v>1.0007510319160775</v>
      </c>
      <c r="AR30" s="31">
        <f t="shared" si="93"/>
        <v>3.8744346073669264E-2</v>
      </c>
      <c r="AS30" s="58" t="str">
        <f t="shared" si="94"/>
        <v>-3.70994503997584+80.0160221159921i</v>
      </c>
      <c r="AT30" s="49">
        <f t="shared" si="95"/>
        <v>38.072865221043457</v>
      </c>
      <c r="AU30" s="61">
        <f t="shared" si="96"/>
        <v>92.6546192378797</v>
      </c>
      <c r="AV30" s="58" t="str">
        <f t="shared" si="70"/>
        <v>19203.488806463+13284.5190649853i</v>
      </c>
      <c r="AW30" s="64">
        <f t="shared" si="97"/>
        <v>87.365976090595353</v>
      </c>
      <c r="AX30" s="61">
        <f t="shared" si="98"/>
        <v>34.674567827675034</v>
      </c>
    </row>
    <row r="31" spans="1:50" x14ac:dyDescent="0.35">
      <c r="A31" s="31" t="s">
        <v>124</v>
      </c>
      <c r="B31" s="43">
        <f>R_cs</f>
        <v>2E-3</v>
      </c>
      <c r="C31" s="2" t="s">
        <v>35</v>
      </c>
      <c r="E31" s="31" t="s">
        <v>164</v>
      </c>
      <c r="N31" s="10">
        <v>13</v>
      </c>
      <c r="O31" s="50">
        <f t="shared" si="71"/>
        <v>13.489628825916535</v>
      </c>
      <c r="P31" s="48" t="str">
        <f t="shared" si="72"/>
        <v>547.187404092767</v>
      </c>
      <c r="Q31" s="17" t="str">
        <f t="shared" si="63"/>
        <v>1+1.62551387177487i</v>
      </c>
      <c r="R31" s="17">
        <f t="shared" si="73"/>
        <v>1.9084798524827367</v>
      </c>
      <c r="S31" s="17">
        <f t="shared" si="74"/>
        <v>1.0192824612264657</v>
      </c>
      <c r="T31" s="17" t="str">
        <f t="shared" si="64"/>
        <v>1+0.0000307578717087323i</v>
      </c>
      <c r="U31" s="17">
        <f t="shared" si="75"/>
        <v>1.0000000004730232</v>
      </c>
      <c r="V31" s="17">
        <f t="shared" si="76"/>
        <v>3.0757871699032838E-5</v>
      </c>
      <c r="W31" s="31" t="str">
        <f t="shared" si="65"/>
        <v>1-0.000534118068142944i</v>
      </c>
      <c r="X31" s="17">
        <f t="shared" si="77"/>
        <v>1.0000001426410452</v>
      </c>
      <c r="Y31" s="17">
        <f t="shared" si="78"/>
        <v>-5.3411801735150932E-4</v>
      </c>
      <c r="Z31" s="31" t="str">
        <f t="shared" si="66"/>
        <v>0.9999999398446+0.00255557667582805i</v>
      </c>
      <c r="AA31" s="17">
        <f t="shared" si="79"/>
        <v>1.0000032053255377</v>
      </c>
      <c r="AB31" s="17">
        <f t="shared" si="80"/>
        <v>2.5555712661138978E-3</v>
      </c>
      <c r="AC31" s="66" t="str">
        <f t="shared" si="81"/>
        <v>149.483314723972-244.661002685355i</v>
      </c>
      <c r="AD31" s="64">
        <f t="shared" si="82"/>
        <v>49.148943644246323</v>
      </c>
      <c r="AE31" s="61">
        <f t="shared" si="83"/>
        <v>-58.575847019697669</v>
      </c>
      <c r="AF31" s="31" t="str">
        <f t="shared" si="84"/>
        <v>-6627.51882264077</v>
      </c>
      <c r="AG31" s="31" t="str">
        <f t="shared" si="85"/>
        <v>84.757837638305i</v>
      </c>
      <c r="AH31" s="31">
        <f t="shared" si="86"/>
        <v>84.757837638305006</v>
      </c>
      <c r="AI31" s="31">
        <f t="shared" si="87"/>
        <v>1.5707963267948966</v>
      </c>
      <c r="AJ31" s="31" t="str">
        <f t="shared" si="67"/>
        <v>0.999999142674443+0.0413741146539504i</v>
      </c>
      <c r="AK31" s="31">
        <f t="shared" si="88"/>
        <v>1.0008546861123342</v>
      </c>
      <c r="AL31" s="31">
        <f t="shared" si="89"/>
        <v>4.1350565973422876E-2</v>
      </c>
      <c r="AM31" s="31" t="str">
        <f t="shared" si="68"/>
        <v>1+0.0491536127815823i</v>
      </c>
      <c r="AN31" s="31">
        <f t="shared" si="90"/>
        <v>1.0012073100259915</v>
      </c>
      <c r="AO31" s="31">
        <f t="shared" si="91"/>
        <v>4.9114083753821758E-2</v>
      </c>
      <c r="AP31" s="31" t="str">
        <f t="shared" si="69"/>
        <v>1+0.0396666680147267i</v>
      </c>
      <c r="AQ31" s="31">
        <f t="shared" si="92"/>
        <v>1.0007864130529505</v>
      </c>
      <c r="AR31" s="31">
        <f t="shared" si="93"/>
        <v>3.9645883199233969E-2</v>
      </c>
      <c r="AS31" s="58" t="str">
        <f t="shared" si="94"/>
        <v>-3.70994313056864+78.1946846942734i</v>
      </c>
      <c r="AT31" s="49">
        <f t="shared" si="95"/>
        <v>37.873309739947942</v>
      </c>
      <c r="AU31" s="61">
        <f t="shared" si="96"/>
        <v>92.716358585376355</v>
      </c>
      <c r="AV31" s="58" t="str">
        <f t="shared" si="70"/>
        <v>18576.6153653713+12596.4790681264i</v>
      </c>
      <c r="AW31" s="64">
        <f t="shared" si="97"/>
        <v>87.022253384194272</v>
      </c>
      <c r="AX31" s="61">
        <f t="shared" si="98"/>
        <v>34.140511565678665</v>
      </c>
    </row>
    <row r="32" spans="1:50" x14ac:dyDescent="0.35">
      <c r="A32" s="31" t="s">
        <v>125</v>
      </c>
      <c r="B32" s="43">
        <f>R_sl</f>
        <v>0</v>
      </c>
      <c r="C32" s="2" t="s">
        <v>35</v>
      </c>
      <c r="E32" s="31" t="s">
        <v>165</v>
      </c>
      <c r="N32" s="10">
        <v>14</v>
      </c>
      <c r="O32" s="50">
        <f t="shared" si="71"/>
        <v>13.803842646028857</v>
      </c>
      <c r="P32" s="48" t="str">
        <f t="shared" si="72"/>
        <v>547.187404092767</v>
      </c>
      <c r="Q32" s="17" t="str">
        <f t="shared" si="63"/>
        <v>1+1.66337695384238i</v>
      </c>
      <c r="R32" s="17">
        <f t="shared" si="73"/>
        <v>1.9408304641503222</v>
      </c>
      <c r="S32" s="17">
        <f t="shared" si="74"/>
        <v>1.0295047547331555</v>
      </c>
      <c r="T32" s="17" t="str">
        <f t="shared" si="64"/>
        <v>1+0.0000314743145770163i</v>
      </c>
      <c r="U32" s="17">
        <f t="shared" si="75"/>
        <v>1.0000000004953162</v>
      </c>
      <c r="V32" s="17">
        <f t="shared" si="76"/>
        <v>3.147431456662314E-5</v>
      </c>
      <c r="W32" s="31" t="str">
        <f t="shared" si="65"/>
        <v>1-0.000546559276181209i</v>
      </c>
      <c r="X32" s="17">
        <f t="shared" si="77"/>
        <v>1.00000014936351</v>
      </c>
      <c r="Y32" s="17">
        <f t="shared" si="78"/>
        <v>-5.4655922175720674E-4</v>
      </c>
      <c r="Z32" s="31" t="str">
        <f t="shared" si="66"/>
        <v>0.999999937009563+0.00261510370361099i</v>
      </c>
      <c r="AA32" s="17">
        <f t="shared" si="79"/>
        <v>1.0000033563876225</v>
      </c>
      <c r="AB32" s="17">
        <f t="shared" si="80"/>
        <v>2.6150979069988912E-3</v>
      </c>
      <c r="AC32" s="66" t="str">
        <f t="shared" si="81"/>
        <v>144.507446208577-242.083144001284i</v>
      </c>
      <c r="AD32" s="64">
        <f t="shared" si="82"/>
        <v>49.00294197220046</v>
      </c>
      <c r="AE32" s="61">
        <f t="shared" si="83"/>
        <v>-59.165623699218209</v>
      </c>
      <c r="AF32" s="31" t="str">
        <f t="shared" si="84"/>
        <v>-6627.51882264077</v>
      </c>
      <c r="AG32" s="31" t="str">
        <f t="shared" si="85"/>
        <v>86.7321012961475i</v>
      </c>
      <c r="AH32" s="31">
        <f t="shared" si="86"/>
        <v>86.732101296147505</v>
      </c>
      <c r="AI32" s="31">
        <f t="shared" si="87"/>
        <v>1.5707963267948966</v>
      </c>
      <c r="AJ32" s="31" t="str">
        <f t="shared" si="67"/>
        <v>0.999999102269934+0.0423378415872079i</v>
      </c>
      <c r="AK32" s="31">
        <f t="shared" si="88"/>
        <v>1.0008949482193112</v>
      </c>
      <c r="AL32" s="31">
        <f t="shared" si="89"/>
        <v>4.2312609939793688E-2</v>
      </c>
      <c r="AM32" s="31" t="str">
        <f t="shared" si="68"/>
        <v>1+0.0502985475046749i</v>
      </c>
      <c r="AN32" s="31">
        <f t="shared" si="90"/>
        <v>1.0012641728740124</v>
      </c>
      <c r="AO32" s="31">
        <f t="shared" si="91"/>
        <v>5.0256194276056154E-2</v>
      </c>
      <c r="AP32" s="31" t="str">
        <f t="shared" si="69"/>
        <v>1+0.040590623406597i</v>
      </c>
      <c r="AQ32" s="31">
        <f t="shared" si="92"/>
        <v>1.0008234603108264</v>
      </c>
      <c r="AR32" s="31">
        <f t="shared" si="93"/>
        <v>4.0568353065105422E-2</v>
      </c>
      <c r="AS32" s="58" t="str">
        <f t="shared" si="94"/>
        <v>-3.70994113148831+76.4148071219774i</v>
      </c>
      <c r="AT32" s="49">
        <f t="shared" si="95"/>
        <v>37.673775157816991</v>
      </c>
      <c r="AU32" s="61">
        <f t="shared" si="96"/>
        <v>92.779529269101218</v>
      </c>
      <c r="AV32" s="58" t="str">
        <f t="shared" si="70"/>
        <v>17962.6226378445+11940.6228428883i</v>
      </c>
      <c r="AW32" s="64">
        <f t="shared" si="97"/>
        <v>86.676717130017451</v>
      </c>
      <c r="AX32" s="61">
        <f t="shared" si="98"/>
        <v>33.613905569882959</v>
      </c>
    </row>
    <row r="33" spans="1:50" x14ac:dyDescent="0.35">
      <c r="A33" s="31" t="s">
        <v>111</v>
      </c>
      <c r="B33" s="21">
        <f>Rsl_int</f>
        <v>1333</v>
      </c>
      <c r="C33" s="2" t="s">
        <v>35</v>
      </c>
      <c r="E33" s="31" t="s">
        <v>166</v>
      </c>
      <c r="N33" s="10">
        <v>15</v>
      </c>
      <c r="O33" s="50">
        <f t="shared" si="71"/>
        <v>14.125375446227544</v>
      </c>
      <c r="P33" s="48" t="str">
        <f t="shared" si="72"/>
        <v>547.187404092767</v>
      </c>
      <c r="Q33" s="17" t="str">
        <f t="shared" si="63"/>
        <v>1+1.70212198038822i</v>
      </c>
      <c r="R33" s="17">
        <f t="shared" si="73"/>
        <v>1.9741375930063019</v>
      </c>
      <c r="S33" s="17">
        <f t="shared" si="74"/>
        <v>1.0396172503321079</v>
      </c>
      <c r="T33" s="17" t="str">
        <f t="shared" si="64"/>
        <v>1+0.0000322074455435007i</v>
      </c>
      <c r="U33" s="17">
        <f t="shared" si="75"/>
        <v>1.0000000005186598</v>
      </c>
      <c r="V33" s="17">
        <f t="shared" si="76"/>
        <v>3.2207445532364228E-5</v>
      </c>
      <c r="W33" s="31" t="str">
        <f t="shared" si="65"/>
        <v>1-0.000559290277182272i</v>
      </c>
      <c r="X33" s="17">
        <f t="shared" si="77"/>
        <v>1.0000001564027947</v>
      </c>
      <c r="Y33" s="17">
        <f t="shared" si="78"/>
        <v>-5.5929021886590342E-4</v>
      </c>
      <c r="Z33" s="31" t="str">
        <f t="shared" si="66"/>
        <v>0.999999934040915+0.00267601729399257i</v>
      </c>
      <c r="AA33" s="17">
        <f t="shared" si="79"/>
        <v>1.00000351456902</v>
      </c>
      <c r="AB33" s="17">
        <f t="shared" si="80"/>
        <v>2.6760110828119806E-3</v>
      </c>
      <c r="AC33" s="66" t="str">
        <f t="shared" si="81"/>
        <v>139.637891880279-239.433408794765i</v>
      </c>
      <c r="AD33" s="64">
        <f t="shared" si="82"/>
        <v>48.855144293775901</v>
      </c>
      <c r="AE33" s="61">
        <f t="shared" si="83"/>
        <v>-59.749204512366717</v>
      </c>
      <c r="AF33" s="31" t="str">
        <f t="shared" si="84"/>
        <v>-6627.51882264077</v>
      </c>
      <c r="AG33" s="31" t="str">
        <f t="shared" si="85"/>
        <v>88.7523514621322i</v>
      </c>
      <c r="AH33" s="31">
        <f t="shared" si="86"/>
        <v>88.752351462132197</v>
      </c>
      <c r="AI33" s="31">
        <f t="shared" si="87"/>
        <v>1.5707963267948966</v>
      </c>
      <c r="AJ33" s="31" t="str">
        <f t="shared" si="67"/>
        <v>0.99999905996122+0.0433240166044825i</v>
      </c>
      <c r="AK33" s="31">
        <f t="shared" si="88"/>
        <v>1.0009371060851271</v>
      </c>
      <c r="AL33" s="31">
        <f t="shared" si="89"/>
        <v>4.3296981774063575E-2</v>
      </c>
      <c r="AM33" s="31" t="str">
        <f t="shared" si="68"/>
        <v>1+0.0514701511834344i</v>
      </c>
      <c r="AN33" s="31">
        <f t="shared" si="90"/>
        <v>1.0013237121245284</v>
      </c>
      <c r="AO33" s="31">
        <f t="shared" si="91"/>
        <v>5.142477212089408E-2</v>
      </c>
      <c r="AP33" s="31" t="str">
        <f t="shared" si="69"/>
        <v>1+0.0415361004842778i</v>
      </c>
      <c r="AQ33" s="31">
        <f t="shared" si="92"/>
        <v>1.0008622520823931</v>
      </c>
      <c r="AR33" s="31">
        <f t="shared" si="93"/>
        <v>4.1512238493624974E-2</v>
      </c>
      <c r="AS33" s="58" t="str">
        <f t="shared" si="94"/>
        <v>-3.70993903853894+74.6754456839267i</v>
      </c>
      <c r="AT33" s="49">
        <f t="shared" si="95"/>
        <v>37.474262454722563</v>
      </c>
      <c r="AU33" s="61">
        <f t="shared" si="96"/>
        <v>92.84416414746579</v>
      </c>
      <c r="AV33" s="58" t="str">
        <f t="shared" si="70"/>
        <v>17361.748447025+11315.805160942i</v>
      </c>
      <c r="AW33" s="64">
        <f t="shared" si="97"/>
        <v>86.329406748498485</v>
      </c>
      <c r="AX33" s="61">
        <f t="shared" si="98"/>
        <v>33.094959635099123</v>
      </c>
    </row>
    <row r="34" spans="1:50" x14ac:dyDescent="0.35">
      <c r="A34" s="31" t="s">
        <v>109</v>
      </c>
      <c r="B34" s="21">
        <f>Isl</f>
        <v>2.9999999999999997E-5</v>
      </c>
      <c r="C34" s="2" t="s">
        <v>12</v>
      </c>
      <c r="E34" s="31" t="s">
        <v>167</v>
      </c>
      <c r="N34" s="10">
        <v>16</v>
      </c>
      <c r="O34" s="50">
        <f t="shared" si="71"/>
        <v>14.454397707459275</v>
      </c>
      <c r="P34" s="48" t="str">
        <f t="shared" si="72"/>
        <v>547.187404092767</v>
      </c>
      <c r="Q34" s="17" t="str">
        <f t="shared" si="63"/>
        <v>1+1.7417694945383i</v>
      </c>
      <c r="R34" s="17">
        <f t="shared" si="73"/>
        <v>2.0084225083642644</v>
      </c>
      <c r="S34" s="17">
        <f t="shared" si="74"/>
        <v>1.0496170362429473</v>
      </c>
      <c r="T34" s="17" t="str">
        <f t="shared" si="64"/>
        <v>1+0.0000329576533239283i</v>
      </c>
      <c r="U34" s="17">
        <f t="shared" si="75"/>
        <v>1.0000000005431033</v>
      </c>
      <c r="V34" s="17">
        <f t="shared" si="76"/>
        <v>3.2957653311995353E-5</v>
      </c>
      <c r="W34" s="31" t="str">
        <f t="shared" si="65"/>
        <v>1-0.000572317821291379i</v>
      </c>
      <c r="X34" s="17">
        <f t="shared" si="77"/>
        <v>1.0000001637738309</v>
      </c>
      <c r="Y34" s="17">
        <f t="shared" si="78"/>
        <v>-5.7231775880426479E-4</v>
      </c>
      <c r="Z34" s="31" t="str">
        <f t="shared" si="66"/>
        <v>0.999999930932359+0.0027383497441647i</v>
      </c>
      <c r="AA34" s="17">
        <f t="shared" si="79"/>
        <v>1.0000036802052499</v>
      </c>
      <c r="AB34" s="17">
        <f t="shared" si="80"/>
        <v>2.7383430887661137E-3</v>
      </c>
      <c r="AC34" s="66" t="str">
        <f t="shared" si="81"/>
        <v>134.876277132551-236.716893431456i</v>
      </c>
      <c r="AD34" s="64">
        <f t="shared" si="82"/>
        <v>48.705589697067978</v>
      </c>
      <c r="AE34" s="61">
        <f t="shared" si="83"/>
        <v>-60.326424841278346</v>
      </c>
      <c r="AF34" s="31" t="str">
        <f t="shared" si="84"/>
        <v>-6627.51882264077</v>
      </c>
      <c r="AG34" s="31" t="str">
        <f t="shared" si="85"/>
        <v>90.8196592996384i</v>
      </c>
      <c r="AH34" s="31">
        <f t="shared" si="86"/>
        <v>90.819659299638403</v>
      </c>
      <c r="AI34" s="31">
        <f t="shared" si="87"/>
        <v>1.5707963267948966</v>
      </c>
      <c r="AJ34" s="31" t="str">
        <f t="shared" si="67"/>
        <v>0.999999015658557+0.044333162588822i</v>
      </c>
      <c r="AK34" s="31">
        <f t="shared" si="88"/>
        <v>1.0009812488869156</v>
      </c>
      <c r="AL34" s="31">
        <f t="shared" si="89"/>
        <v>4.4304195779599362E-2</v>
      </c>
      <c r="AM34" s="31" t="str">
        <f t="shared" si="68"/>
        <v>1+0.0526690450176393i</v>
      </c>
      <c r="AN34" s="31">
        <f t="shared" si="90"/>
        <v>1.0013860535792727</v>
      </c>
      <c r="AO34" s="31">
        <f t="shared" si="91"/>
        <v>5.262042411029199E-2</v>
      </c>
      <c r="AP34" s="31" t="str">
        <f t="shared" si="69"/>
        <v>1+0.0425036005522307i</v>
      </c>
      <c r="AQ34" s="31">
        <f t="shared" si="92"/>
        <v>1.0009028704424339</v>
      </c>
      <c r="AR34" s="31">
        <f t="shared" si="93"/>
        <v>4.2478033214096857E-2</v>
      </c>
      <c r="AS34" s="58" t="str">
        <f t="shared" si="94"/>
        <v>-3.70993684732976+72.9756781470963i</v>
      </c>
      <c r="AT34" s="49">
        <f t="shared" si="95"/>
        <v>37.274772656458332</v>
      </c>
      <c r="AU34" s="61">
        <f t="shared" si="96"/>
        <v>92.910296810000091</v>
      </c>
      <c r="AV34" s="58" t="str">
        <f t="shared" si="70"/>
        <v>16774.1933566697+10720.8925150304i</v>
      </c>
      <c r="AW34" s="64">
        <f t="shared" si="97"/>
        <v>85.980362353526303</v>
      </c>
      <c r="AX34" s="61">
        <f t="shared" si="98"/>
        <v>32.58387196872178</v>
      </c>
    </row>
    <row r="35" spans="1:50" x14ac:dyDescent="0.35">
      <c r="B35" s="26"/>
      <c r="C35" s="2"/>
      <c r="N35" s="10">
        <v>17</v>
      </c>
      <c r="O35" s="50">
        <f t="shared" si="71"/>
        <v>14.791083881682074</v>
      </c>
      <c r="P35" s="48" t="str">
        <f t="shared" si="72"/>
        <v>547.187404092767</v>
      </c>
      <c r="Q35" s="17" t="str">
        <f t="shared" si="63"/>
        <v>1+1.78234051792944i</v>
      </c>
      <c r="R35" s="17">
        <f t="shared" si="73"/>
        <v>2.04370685810196</v>
      </c>
      <c r="S35" s="17">
        <f t="shared" si="74"/>
        <v>1.0595014144036228</v>
      </c>
      <c r="T35" s="17" t="str">
        <f t="shared" si="64"/>
        <v>1+0.0000337253356883943i</v>
      </c>
      <c r="U35" s="17">
        <f t="shared" si="75"/>
        <v>1.0000000005686991</v>
      </c>
      <c r="V35" s="17">
        <f t="shared" si="76"/>
        <v>3.3725335675607915E-5</v>
      </c>
      <c r="W35" s="31" t="str">
        <f t="shared" si="65"/>
        <v>1-0.000585648815884858i</v>
      </c>
      <c r="X35" s="17">
        <f t="shared" si="77"/>
        <v>1.0000001714922531</v>
      </c>
      <c r="Y35" s="17">
        <f t="shared" si="78"/>
        <v>-5.8564874892870933E-4</v>
      </c>
      <c r="Z35" s="31" t="str">
        <f t="shared" si="66"/>
        <v>0.999999927677302+0.00280213410361754i</v>
      </c>
      <c r="AA35" s="17">
        <f t="shared" si="79"/>
        <v>1.0000038536476465</v>
      </c>
      <c r="AB35" s="17">
        <f t="shared" si="80"/>
        <v>2.8021269722309527E-3</v>
      </c>
      <c r="AC35" s="66" t="str">
        <f t="shared" si="81"/>
        <v>130.223932427873-233.938675096109i</v>
      </c>
      <c r="AD35" s="64">
        <f t="shared" si="82"/>
        <v>48.554317808981118</v>
      </c>
      <c r="AE35" s="61">
        <f t="shared" si="83"/>
        <v>-60.89713236483135</v>
      </c>
      <c r="AF35" s="31" t="str">
        <f t="shared" si="84"/>
        <v>-6627.51882264077</v>
      </c>
      <c r="AG35" s="31" t="str">
        <f t="shared" si="85"/>
        <v>92.9351209226456i</v>
      </c>
      <c r="AH35" s="31">
        <f t="shared" si="86"/>
        <v>92.935120922645595</v>
      </c>
      <c r="AI35" s="31">
        <f t="shared" si="87"/>
        <v>1.5707963267948966</v>
      </c>
      <c r="AJ35" s="31" t="str">
        <f t="shared" si="67"/>
        <v>0.999998969267974+0.0453658146027848i</v>
      </c>
      <c r="AK35" s="31">
        <f t="shared" si="88"/>
        <v>1.0010274699885038</v>
      </c>
      <c r="AL35" s="31">
        <f t="shared" si="89"/>
        <v>4.5334777827868204E-2</v>
      </c>
      <c r="AM35" s="31" t="str">
        <f t="shared" si="68"/>
        <v>1+0.0538958646766699i</v>
      </c>
      <c r="AN35" s="31">
        <f t="shared" si="90"/>
        <v>1.0014513289367817</v>
      </c>
      <c r="AO35" s="31">
        <f t="shared" si="91"/>
        <v>5.3843770512726513E-2</v>
      </c>
      <c r="AP35" s="31" t="str">
        <f t="shared" si="69"/>
        <v>1+0.0434936365917981i</v>
      </c>
      <c r="AQ35" s="31">
        <f t="shared" si="92"/>
        <v>1.0009454013201617</v>
      </c>
      <c r="AR35" s="31">
        <f t="shared" si="93"/>
        <v>4.3466242092725794E-2</v>
      </c>
      <c r="AS35" s="58" t="str">
        <f t="shared" si="94"/>
        <v>-3.70993455326631+71.3146032716316i</v>
      </c>
      <c r="AT35" s="49">
        <f t="shared" si="95"/>
        <v>37.07530683664973</v>
      </c>
      <c r="AU35" s="61">
        <f t="shared" si="96"/>
        <v>92.977961591957154</v>
      </c>
      <c r="AV35" s="58" t="str">
        <f t="shared" si="70"/>
        <v>16200.1215377938+10154.7652516499i</v>
      </c>
      <c r="AW35" s="64">
        <f t="shared" si="97"/>
        <v>85.629624645630855</v>
      </c>
      <c r="AX35" s="61">
        <f t="shared" si="98"/>
        <v>32.080829227125676</v>
      </c>
    </row>
    <row r="36" spans="1:50" x14ac:dyDescent="0.35">
      <c r="A36" s="31" t="s">
        <v>190</v>
      </c>
      <c r="B36" s="21">
        <f>Gcomp</f>
        <v>0.14199999999999999</v>
      </c>
      <c r="C36" s="2"/>
      <c r="E36" s="31" t="s">
        <v>191</v>
      </c>
      <c r="N36" s="10">
        <v>18</v>
      </c>
      <c r="O36" s="50">
        <f t="shared" si="71"/>
        <v>15.135612484362087</v>
      </c>
      <c r="P36" s="48" t="str">
        <f t="shared" si="72"/>
        <v>547.187404092767</v>
      </c>
      <c r="Q36" s="17" t="str">
        <f t="shared" si="63"/>
        <v>1+1.82385656185524i</v>
      </c>
      <c r="R36" s="17">
        <f t="shared" si="73"/>
        <v>2.0800126822263407</v>
      </c>
      <c r="S36" s="17">
        <f t="shared" si="74"/>
        <v>1.0692678992756433</v>
      </c>
      <c r="T36" s="17" t="str">
        <f t="shared" si="64"/>
        <v>1+0.00003451089967225i</v>
      </c>
      <c r="U36" s="17">
        <f t="shared" si="75"/>
        <v>1.000000000595501</v>
      </c>
      <c r="V36" s="17">
        <f t="shared" si="76"/>
        <v>3.4510899658549149E-5</v>
      </c>
      <c r="W36" s="31" t="str">
        <f t="shared" si="65"/>
        <v>1-0.000599290329232497i</v>
      </c>
      <c r="X36" s="17">
        <f t="shared" si="77"/>
        <v>1.0000001795744331</v>
      </c>
      <c r="Y36" s="17">
        <f t="shared" si="78"/>
        <v>-5.9929025748769191E-4</v>
      </c>
      <c r="Z36" s="31" t="str">
        <f t="shared" si="66"/>
        <v>0.999999924268838+0.00286740419166274i</v>
      </c>
      <c r="AA36" s="17">
        <f t="shared" si="79"/>
        <v>1.0000040352640984</v>
      </c>
      <c r="AB36" s="17">
        <f t="shared" si="80"/>
        <v>2.8673965502460041E-3</v>
      </c>
      <c r="AC36" s="66" t="str">
        <f t="shared" si="81"/>
        <v>125.681901608948-231.103793454293i</v>
      </c>
      <c r="AD36" s="64">
        <f t="shared" si="82"/>
        <v>48.401368689105936</v>
      </c>
      <c r="AE36" s="61">
        <f t="shared" si="83"/>
        <v>-61.461186991393198</v>
      </c>
      <c r="AF36" s="31" t="str">
        <f t="shared" si="84"/>
        <v>-6627.51882264077</v>
      </c>
      <c r="AG36" s="31" t="str">
        <f t="shared" si="85"/>
        <v>95.0998579769078i</v>
      </c>
      <c r="AH36" s="31">
        <f t="shared" si="86"/>
        <v>95.099857976907799</v>
      </c>
      <c r="AI36" s="31">
        <f t="shared" si="87"/>
        <v>1.5707963267948966</v>
      </c>
      <c r="AJ36" s="31" t="str">
        <f t="shared" si="67"/>
        <v>0.99999892069107+0.0464225201721377i</v>
      </c>
      <c r="AK36" s="31">
        <f t="shared" si="88"/>
        <v>1.0010758671361715</v>
      </c>
      <c r="AL36" s="31">
        <f t="shared" si="89"/>
        <v>4.6389265598675893E-2</v>
      </c>
      <c r="AM36" s="31" t="str">
        <f t="shared" si="68"/>
        <v>1+0.0551512606365482i</v>
      </c>
      <c r="AN36" s="31">
        <f t="shared" si="90"/>
        <v>1.0015196760672256</v>
      </c>
      <c r="AO36" s="31">
        <f t="shared" si="91"/>
        <v>5.5095445307697138E-2</v>
      </c>
      <c r="AP36" s="31" t="str">
        <f t="shared" si="69"/>
        <v>1+0.0445067335331928i</v>
      </c>
      <c r="AQ36" s="31">
        <f t="shared" si="92"/>
        <v>1.0009899346795623</v>
      </c>
      <c r="AR36" s="31">
        <f t="shared" si="93"/>
        <v>4.447738136620534E-2</v>
      </c>
      <c r="AS36" s="58" t="str">
        <f t="shared" si="94"/>
        <v>-3.70993215154103+69.6913403329961i</v>
      </c>
      <c r="AT36" s="49">
        <f t="shared" si="95"/>
        <v>36.875866118959024</v>
      </c>
      <c r="AU36" s="61">
        <f t="shared" si="96"/>
        <v>93.047193589086731</v>
      </c>
      <c r="AV36" s="58" t="str">
        <f t="shared" si="70"/>
        <v>15639.6617942237+9616.3195724065i</v>
      </c>
      <c r="AW36" s="64">
        <f t="shared" si="97"/>
        <v>85.277234808064946</v>
      </c>
      <c r="AX36" s="61">
        <f t="shared" si="98"/>
        <v>31.586006597693565</v>
      </c>
    </row>
    <row r="37" spans="1:50" x14ac:dyDescent="0.35">
      <c r="N37" s="10">
        <v>19</v>
      </c>
      <c r="O37" s="50">
        <f t="shared" si="71"/>
        <v>15.488166189124817</v>
      </c>
      <c r="P37" s="48" t="str">
        <f t="shared" si="72"/>
        <v>547.187404092767</v>
      </c>
      <c r="Q37" s="17" t="str">
        <f t="shared" si="63"/>
        <v>1+1.86633963867174i</v>
      </c>
      <c r="R37" s="17">
        <f t="shared" si="73"/>
        <v>2.1173624269069666</v>
      </c>
      <c r="S37" s="17">
        <f t="shared" si="74"/>
        <v>1.0789142159038541</v>
      </c>
      <c r="T37" s="17" t="str">
        <f t="shared" si="64"/>
        <v>1+0.0000353147617919176i</v>
      </c>
      <c r="U37" s="17">
        <f t="shared" si="75"/>
        <v>1.0000000006235661</v>
      </c>
      <c r="V37" s="17">
        <f t="shared" si="76"/>
        <v>3.5314761777236873E-5</v>
      </c>
      <c r="W37" s="31" t="str">
        <f t="shared" si="65"/>
        <v>1-0.00061324959424524i</v>
      </c>
      <c r="X37" s="17">
        <f t="shared" si="77"/>
        <v>1.0000001880375147</v>
      </c>
      <c r="Y37" s="17">
        <f t="shared" si="78"/>
        <v>-6.1324951736929699E-4</v>
      </c>
      <c r="Z37" s="31" t="str">
        <f t="shared" si="66"/>
        <v>0.999999920699738+0.00293419461536494i</v>
      </c>
      <c r="AA37" s="17">
        <f t="shared" si="79"/>
        <v>1.0000042254398342</v>
      </c>
      <c r="AB37" s="17">
        <f t="shared" si="80"/>
        <v>2.9341864274412578E-3</v>
      </c>
      <c r="AC37" s="66" t="str">
        <f t="shared" si="81"/>
        <v>121.250951353799-228.217233502599i</v>
      </c>
      <c r="AD37" s="64">
        <f t="shared" si="82"/>
        <v>48.246782726840458</v>
      </c>
      <c r="AE37" s="61">
        <f t="shared" si="83"/>
        <v>-62.018460748883712</v>
      </c>
      <c r="AF37" s="31" t="str">
        <f t="shared" si="84"/>
        <v>-6627.51882264077</v>
      </c>
      <c r="AG37" s="31" t="str">
        <f t="shared" si="85"/>
        <v>97.3150182346647i</v>
      </c>
      <c r="AH37" s="31">
        <f t="shared" si="86"/>
        <v>97.315018234664706</v>
      </c>
      <c r="AI37" s="31">
        <f t="shared" si="87"/>
        <v>1.5707963267948966</v>
      </c>
      <c r="AJ37" s="31" t="str">
        <f t="shared" si="67"/>
        <v>0.999998869824808+0.0475038395761604i</v>
      </c>
      <c r="AK37" s="31">
        <f t="shared" si="88"/>
        <v>1.0011265426634992</v>
      </c>
      <c r="AL37" s="31">
        <f t="shared" si="89"/>
        <v>4.746820882393573E-2</v>
      </c>
      <c r="AM37" s="31" t="str">
        <f t="shared" si="68"/>
        <v>1+0.0564358985248291i</v>
      </c>
      <c r="AN37" s="31">
        <f t="shared" si="90"/>
        <v>1.0015912392998976</v>
      </c>
      <c r="AO37" s="31">
        <f t="shared" si="91"/>
        <v>5.6376096452969156E-2</v>
      </c>
      <c r="AP37" s="31" t="str">
        <f t="shared" si="69"/>
        <v>1+0.045543428533823i</v>
      </c>
      <c r="AQ37" s="31">
        <f t="shared" si="92"/>
        <v>1.0010365647081105</v>
      </c>
      <c r="AR37" s="31">
        <f t="shared" si="93"/>
        <v>4.5511978878921618E-2</v>
      </c>
      <c r="AS37" s="58" t="str">
        <f t="shared" si="94"/>
        <v>-3.70992963712362+68.1050286549964i</v>
      </c>
      <c r="AT37" s="49">
        <f t="shared" si="95"/>
        <v>36.676451679389665</v>
      </c>
      <c r="AU37" s="61">
        <f t="shared" si="96"/>
        <v>93.118028672571157</v>
      </c>
      <c r="AV37" s="58" t="str">
        <f t="shared" si="70"/>
        <v>15092.9087293016+9104.46939466971i</v>
      </c>
      <c r="AW37" s="64">
        <f t="shared" si="97"/>
        <v>84.923234406230108</v>
      </c>
      <c r="AX37" s="61">
        <f t="shared" si="98"/>
        <v>31.099567923687491</v>
      </c>
    </row>
    <row r="38" spans="1:50" x14ac:dyDescent="0.35">
      <c r="N38" s="10">
        <v>20</v>
      </c>
      <c r="O38" s="50">
        <f t="shared" si="71"/>
        <v>15.848931924611136</v>
      </c>
      <c r="P38" s="48" t="str">
        <f t="shared" si="72"/>
        <v>547.187404092767</v>
      </c>
      <c r="Q38" s="17" t="str">
        <f t="shared" si="63"/>
        <v>1+1.90981227346859i</v>
      </c>
      <c r="R38" s="17">
        <f t="shared" si="73"/>
        <v>2.1557789589592122</v>
      </c>
      <c r="S38" s="17">
        <f t="shared" si="74"/>
        <v>1.088438297281856</v>
      </c>
      <c r="T38" s="17" t="str">
        <f t="shared" si="64"/>
        <v>1+0.0000361373482657334i</v>
      </c>
      <c r="U38" s="17">
        <f t="shared" si="75"/>
        <v>1.0000000006529539</v>
      </c>
      <c r="V38" s="17">
        <f t="shared" si="76"/>
        <v>3.6137348250002718E-5</v>
      </c>
      <c r="W38" s="31" t="str">
        <f t="shared" si="65"/>
        <v>1-0.00062753401231017i</v>
      </c>
      <c r="X38" s="17">
        <f t="shared" si="77"/>
        <v>1.000000196899449</v>
      </c>
      <c r="Y38" s="17">
        <f t="shared" si="78"/>
        <v>-6.275339299361139E-4</v>
      </c>
      <c r="Z38" s="31" t="str">
        <f t="shared" si="66"/>
        <v>0.999999916962432+0.00300254078789087i</v>
      </c>
      <c r="AA38" s="17">
        <f t="shared" si="79"/>
        <v>1.0000044245782385</v>
      </c>
      <c r="AB38" s="17">
        <f t="shared" si="80"/>
        <v>3.0025320143746703E-3</v>
      </c>
      <c r="AC38" s="66" t="str">
        <f t="shared" si="81"/>
        <v>116.931581629309-225.283909664673i</v>
      </c>
      <c r="AD38" s="64">
        <f t="shared" si="82"/>
        <v>48.090600542147556</v>
      </c>
      <c r="AE38" s="61">
        <f t="shared" si="83"/>
        <v>-62.568837635081579</v>
      </c>
      <c r="AF38" s="31" t="str">
        <f t="shared" si="84"/>
        <v>-6627.51882264077</v>
      </c>
      <c r="AG38" s="31" t="str">
        <f t="shared" si="85"/>
        <v>99.5817762032062i</v>
      </c>
      <c r="AH38" s="31">
        <f t="shared" si="86"/>
        <v>99.581776203206203</v>
      </c>
      <c r="AI38" s="31">
        <f t="shared" si="87"/>
        <v>1.5707963267948966</v>
      </c>
      <c r="AJ38" s="31" t="str">
        <f t="shared" si="67"/>
        <v>0.999998816561292+0.0486103461447141i</v>
      </c>
      <c r="AK38" s="31">
        <f t="shared" si="88"/>
        <v>1.0011796037056955</v>
      </c>
      <c r="AL38" s="31">
        <f t="shared" si="89"/>
        <v>4.8572169534910364E-2</v>
      </c>
      <c r="AM38" s="31" t="str">
        <f t="shared" si="68"/>
        <v>1+0.0577504594735254i</v>
      </c>
      <c r="AN38" s="31">
        <f t="shared" si="90"/>
        <v>1.0016661697239271</v>
      </c>
      <c r="AO38" s="31">
        <f t="shared" si="91"/>
        <v>5.7686386154382985E-2</v>
      </c>
      <c r="AP38" s="31" t="str">
        <f t="shared" si="69"/>
        <v>1+0.0466042712631004i</v>
      </c>
      <c r="AQ38" s="31">
        <f t="shared" si="92"/>
        <v>1.0010853900142409</v>
      </c>
      <c r="AR38" s="31">
        <f t="shared" si="93"/>
        <v>4.6570574323728867E-2</v>
      </c>
      <c r="AS38" s="58" t="str">
        <f t="shared" si="94"/>
        <v>-3.70992700475095+66.5548271534374i</v>
      </c>
      <c r="AT38" s="49">
        <f t="shared" si="95"/>
        <v>36.477064748694161</v>
      </c>
      <c r="AU38" s="61">
        <f t="shared" si="96"/>
        <v>93.190503504113749</v>
      </c>
      <c r="AV38" s="58" t="str">
        <f t="shared" si="70"/>
        <v>14559.9240357881+8618.14806431756i</v>
      </c>
      <c r="AW38" s="64">
        <f t="shared" si="97"/>
        <v>84.567665290841717</v>
      </c>
      <c r="AX38" s="61">
        <f t="shared" si="98"/>
        <v>30.621665869032189</v>
      </c>
    </row>
    <row r="39" spans="1:50" x14ac:dyDescent="0.35">
      <c r="A39" s="31" t="s">
        <v>504</v>
      </c>
      <c r="N39" s="10">
        <v>21</v>
      </c>
      <c r="O39" s="50">
        <f t="shared" si="71"/>
        <v>16.218100973589298</v>
      </c>
      <c r="P39" s="48" t="str">
        <f t="shared" si="72"/>
        <v>547.187404092767</v>
      </c>
      <c r="Q39" s="17" t="str">
        <f t="shared" si="63"/>
        <v>1+1.95429751601217i</v>
      </c>
      <c r="R39" s="17">
        <f t="shared" si="73"/>
        <v>2.1952855807596734</v>
      </c>
      <c r="S39" s="17">
        <f t="shared" si="74"/>
        <v>1.0978382810763607</v>
      </c>
      <c r="T39" s="17" t="str">
        <f t="shared" si="64"/>
        <v>1+0.0000369790952399339i</v>
      </c>
      <c r="U39" s="17">
        <f t="shared" si="75"/>
        <v>1.0000000006837266</v>
      </c>
      <c r="V39" s="17">
        <f t="shared" si="76"/>
        <v>3.6979095223078167E-5</v>
      </c>
      <c r="W39" s="31" t="str">
        <f t="shared" si="65"/>
        <v>1-0.00064215115721482i</v>
      </c>
      <c r="X39" s="17">
        <f t="shared" si="77"/>
        <v>1.0000002061790332</v>
      </c>
      <c r="Y39" s="17">
        <f t="shared" si="78"/>
        <v>-6.4215106894942959E-4</v>
      </c>
      <c r="Z39" s="31" t="str">
        <f t="shared" si="66"/>
        <v>0.999999913048992+0.00307247894728585i</v>
      </c>
      <c r="AA39" s="17">
        <f t="shared" si="79"/>
        <v>1.0000046331017038</v>
      </c>
      <c r="AB39" s="17">
        <f t="shared" si="80"/>
        <v>3.0724695462962196E-3</v>
      </c>
      <c r="AC39" s="66" t="str">
        <f t="shared" si="81"/>
        <v>112.724036998148-222.308651173543i</v>
      </c>
      <c r="AD39" s="64">
        <f t="shared" si="82"/>
        <v>47.932862890285662</v>
      </c>
      <c r="AE39" s="61">
        <f t="shared" si="83"/>
        <v>-63.112213431231829</v>
      </c>
      <c r="AF39" s="31" t="str">
        <f t="shared" si="84"/>
        <v>-6627.51882264077</v>
      </c>
      <c r="AG39" s="31" t="str">
        <f t="shared" si="85"/>
        <v>101.901333747611i</v>
      </c>
      <c r="AH39" s="31">
        <f t="shared" si="86"/>
        <v>101.90133374761101</v>
      </c>
      <c r="AI39" s="31">
        <f t="shared" si="87"/>
        <v>1.5707963267948966</v>
      </c>
      <c r="AJ39" s="31" t="str">
        <f t="shared" si="67"/>
        <v>0.999998760787544+0.0497426265622277i</v>
      </c>
      <c r="AK39" s="31">
        <f t="shared" si="88"/>
        <v>1.0012351624238598</v>
      </c>
      <c r="AL39" s="31">
        <f t="shared" si="89"/>
        <v>4.970172231284789E-2</v>
      </c>
      <c r="AM39" s="31" t="str">
        <f t="shared" si="68"/>
        <v>1+0.0590956404802521i</v>
      </c>
      <c r="AN39" s="31">
        <f t="shared" si="90"/>
        <v>1.0017446255028131</v>
      </c>
      <c r="AO39" s="31">
        <f t="shared" si="91"/>
        <v>5.9026991138034869E-2</v>
      </c>
      <c r="AP39" s="31" t="str">
        <f t="shared" si="69"/>
        <v>1+0.0476898241938819i</v>
      </c>
      <c r="AQ39" s="31">
        <f t="shared" si="92"/>
        <v>1.0011365138339743</v>
      </c>
      <c r="AR39" s="31">
        <f t="shared" si="93"/>
        <v>4.7653719486242661E-2</v>
      </c>
      <c r="AS39" s="58" t="str">
        <f t="shared" si="94"/>
        <v>-3.70992424891638+65.0399138901644i</v>
      </c>
      <c r="AT39" s="49">
        <f t="shared" si="95"/>
        <v>36.277706614889638</v>
      </c>
      <c r="AU39" s="61">
        <f t="shared" si="96"/>
        <v>93.264655551170165</v>
      </c>
      <c r="AV39" s="58" t="str">
        <f t="shared" si="70"/>
        <v>14040.7378910707+8156.30991544387i</v>
      </c>
      <c r="AW39" s="64">
        <f t="shared" si="97"/>
        <v>84.210569505175329</v>
      </c>
      <c r="AX39" s="61">
        <f t="shared" si="98"/>
        <v>30.152442119938247</v>
      </c>
    </row>
    <row r="40" spans="1:50" x14ac:dyDescent="0.35">
      <c r="A40" s="31" t="s">
        <v>505</v>
      </c>
      <c r="B40" s="32">
        <f>((Np/NS1_)*(VOUT1+VD))/((VIN_var+(Np/NS1_)*(VOUT1+VD)))</f>
        <v>0.4825090470446321</v>
      </c>
      <c r="C40" s="31" t="s">
        <v>14</v>
      </c>
      <c r="E40" s="31" t="s">
        <v>506</v>
      </c>
      <c r="N40" s="10">
        <v>22</v>
      </c>
      <c r="O40" s="50">
        <f t="shared" si="71"/>
        <v>16.595869074375614</v>
      </c>
      <c r="P40" s="48" t="str">
        <f t="shared" si="72"/>
        <v>547.187404092767</v>
      </c>
      <c r="Q40" s="17" t="str">
        <f t="shared" si="63"/>
        <v>1+1.99981895296695i</v>
      </c>
      <c r="R40" s="17">
        <f t="shared" si="73"/>
        <v>2.2359060455765638</v>
      </c>
      <c r="S40" s="17">
        <f t="shared" si="74"/>
        <v>1.1071125057650641</v>
      </c>
      <c r="T40" s="17" t="str">
        <f t="shared" si="64"/>
        <v>1+0.0000378404490199071i</v>
      </c>
      <c r="U40" s="17">
        <f t="shared" si="75"/>
        <v>1.0000000007159497</v>
      </c>
      <c r="V40" s="17">
        <f t="shared" si="76"/>
        <v>3.7840449001845859E-5</v>
      </c>
      <c r="W40" s="31" t="str">
        <f t="shared" si="65"/>
        <v>1-0.000657108779162904i</v>
      </c>
      <c r="X40" s="17">
        <f t="shared" si="77"/>
        <v>1.0000002158959507</v>
      </c>
      <c r="Y40" s="17">
        <f t="shared" si="78"/>
        <v>-6.5710868458483532E-4</v>
      </c>
      <c r="Z40" s="31" t="str">
        <f t="shared" si="66"/>
        <v>0.999999908951117+0.00314404617568777i</v>
      </c>
      <c r="AA40" s="17">
        <f t="shared" si="79"/>
        <v>1.0000048514525304</v>
      </c>
      <c r="AB40" s="17">
        <f t="shared" si="80"/>
        <v>3.1440361023485322E-3</v>
      </c>
      <c r="AC40" s="66" t="str">
        <f t="shared" si="81"/>
        <v>108.628318636392-219.296188764698i</v>
      </c>
      <c r="AD40" s="64">
        <f t="shared" si="82"/>
        <v>47.773610570797729</v>
      </c>
      <c r="AE40" s="61">
        <f t="shared" si="83"/>
        <v>-63.648495482078076</v>
      </c>
      <c r="AF40" s="31" t="str">
        <f t="shared" si="84"/>
        <v>-6627.51882264077</v>
      </c>
      <c r="AG40" s="31" t="str">
        <f t="shared" si="85"/>
        <v>104.274920727993i</v>
      </c>
      <c r="AH40" s="31">
        <f t="shared" si="86"/>
        <v>104.27492072799301</v>
      </c>
      <c r="AI40" s="31">
        <f t="shared" si="87"/>
        <v>1.5707963267948966</v>
      </c>
      <c r="AJ40" s="31" t="str">
        <f t="shared" si="67"/>
        <v>0.99999870238526+0.0509012811787661i</v>
      </c>
      <c r="AK40" s="31">
        <f t="shared" si="88"/>
        <v>1.0012933362396075</v>
      </c>
      <c r="AL40" s="31">
        <f t="shared" si="89"/>
        <v>5.0857454542930947E-2</v>
      </c>
      <c r="AM40" s="31" t="str">
        <f t="shared" si="68"/>
        <v>1+0.060472154777785i</v>
      </c>
      <c r="AN40" s="31">
        <f t="shared" si="90"/>
        <v>1.0018267722033927</v>
      </c>
      <c r="AO40" s="31">
        <f t="shared" si="91"/>
        <v>6.0398602924617316E-2</v>
      </c>
      <c r="AP40" s="31" t="str">
        <f t="shared" si="69"/>
        <v>1+0.0488006629007007i</v>
      </c>
      <c r="AQ40" s="31">
        <f t="shared" si="92"/>
        <v>1.0011900442471189</v>
      </c>
      <c r="AR40" s="31">
        <f t="shared" si="93"/>
        <v>4.8761978492587815E-2</v>
      </c>
      <c r="AS40" s="58" t="str">
        <f t="shared" si="94"/>
        <v>-3.70992136385884+63.5594856372565i</v>
      </c>
      <c r="AT40" s="49">
        <f t="shared" si="95"/>
        <v>36.078378625885868</v>
      </c>
      <c r="AU40" s="61">
        <f t="shared" si="96"/>
        <v>93.340523102311678</v>
      </c>
      <c r="AV40" s="58" t="str">
        <f t="shared" si="70"/>
        <v>13535.3504400657+7717.93167388005i</v>
      </c>
      <c r="AW40" s="64">
        <f t="shared" si="97"/>
        <v>83.851989196683604</v>
      </c>
      <c r="AX40" s="61">
        <f t="shared" si="98"/>
        <v>29.692027620233592</v>
      </c>
    </row>
    <row r="41" spans="1:50" x14ac:dyDescent="0.35">
      <c r="A41" s="31" t="s">
        <v>189</v>
      </c>
      <c r="B41" s="27">
        <f>Gcomp*((VOUT1^2)/(Pout_var))*((1-Dc_var_ccm)/((1+Dc_var_ccm)*((Acs*R_cs)/(Np/NS1_))))</f>
        <v>547.18740409276677</v>
      </c>
      <c r="C41" s="31" t="s">
        <v>144</v>
      </c>
      <c r="E41" s="31" t="s">
        <v>193</v>
      </c>
      <c r="N41" s="10">
        <v>23</v>
      </c>
      <c r="O41" s="50">
        <f t="shared" si="71"/>
        <v>16.982436524617448</v>
      </c>
      <c r="P41" s="48" t="str">
        <f t="shared" si="72"/>
        <v>547.187404092767</v>
      </c>
      <c r="Q41" s="17" t="str">
        <f t="shared" si="63"/>
        <v>1+2.04640072040131i</v>
      </c>
      <c r="R41" s="17">
        <f t="shared" si="73"/>
        <v>2.2776645732984915</v>
      </c>
      <c r="S41" s="17">
        <f t="shared" si="74"/>
        <v>1.1162595062432896</v>
      </c>
      <c r="T41" s="17" t="str">
        <f t="shared" si="64"/>
        <v>1+0.0000387218663068279i</v>
      </c>
      <c r="U41" s="17">
        <f t="shared" si="75"/>
        <v>1.0000000007496914</v>
      </c>
      <c r="V41" s="17">
        <f t="shared" si="76"/>
        <v>3.8721866287474932E-5</v>
      </c>
      <c r="W41" s="31" t="str">
        <f t="shared" si="65"/>
        <v>1-0.000672414808883559i</v>
      </c>
      <c r="X41" s="17">
        <f t="shared" si="77"/>
        <v>1.0000002260708121</v>
      </c>
      <c r="Y41" s="17">
        <f t="shared" si="78"/>
        <v>-6.7241470754133377E-4</v>
      </c>
      <c r="Z41" s="31" t="str">
        <f t="shared" si="66"/>
        <v>0.999999904660116+0.00321728041898839i</v>
      </c>
      <c r="AA41" s="17">
        <f t="shared" si="79"/>
        <v>1.000005080093864</v>
      </c>
      <c r="AB41" s="17">
        <f t="shared" si="80"/>
        <v>3.2172696252138876E-3</v>
      </c>
      <c r="AC41" s="66" t="str">
        <f t="shared" si="81"/>
        <v>104.644196923065-216.251142689473i</v>
      </c>
      <c r="AD41" s="64">
        <f t="shared" si="82"/>
        <v>47.61288434099307</v>
      </c>
      <c r="AE41" s="61">
        <f t="shared" si="83"/>
        <v>-64.17760244548947</v>
      </c>
      <c r="AF41" s="31" t="str">
        <f t="shared" si="84"/>
        <v>-6627.51882264077</v>
      </c>
      <c r="AG41" s="31" t="str">
        <f t="shared" si="85"/>
        <v>106.703795651586i</v>
      </c>
      <c r="AH41" s="31">
        <f t="shared" si="86"/>
        <v>106.70379565158601</v>
      </c>
      <c r="AI41" s="31">
        <f t="shared" si="87"/>
        <v>1.5707963267948966</v>
      </c>
      <c r="AJ41" s="31" t="str">
        <f t="shared" si="67"/>
        <v>0.999998641230561+0.0520869243283436i</v>
      </c>
      <c r="AK41" s="31">
        <f t="shared" si="88"/>
        <v>1.0013542480805455</v>
      </c>
      <c r="AL41" s="31">
        <f t="shared" si="89"/>
        <v>5.2039966671436809E-2</v>
      </c>
      <c r="AM41" s="31" t="str">
        <f t="shared" si="68"/>
        <v>1+0.0618807322122243i</v>
      </c>
      <c r="AN41" s="31">
        <f t="shared" si="90"/>
        <v>1.0019127831398904</v>
      </c>
      <c r="AO41" s="31">
        <f t="shared" si="91"/>
        <v>6.1801928105675571E-2</v>
      </c>
      <c r="AP41" s="31" t="str">
        <f t="shared" si="69"/>
        <v>1+0.0499373763649422i</v>
      </c>
      <c r="AQ41" s="31">
        <f t="shared" si="92"/>
        <v>1.0012460944034758</v>
      </c>
      <c r="AR41" s="31">
        <f t="shared" si="93"/>
        <v>4.9895928060522371E-2</v>
      </c>
      <c r="AS41" s="58" t="str">
        <f t="shared" si="94"/>
        <v>-3.70991834355118+62.1127574511429i</v>
      </c>
      <c r="AT41" s="49">
        <f t="shared" si="95"/>
        <v>35.879082192230769</v>
      </c>
      <c r="AU41" s="61">
        <f t="shared" si="96"/>
        <v>93.418145282707627</v>
      </c>
      <c r="AV41" s="58" t="str">
        <f t="shared" si="70"/>
        <v>13043.7333486927+7302.01370322955i</v>
      </c>
      <c r="AW41" s="64">
        <f t="shared" si="97"/>
        <v>83.491966533223859</v>
      </c>
      <c r="AX41" s="61">
        <f t="shared" si="98"/>
        <v>29.240542837218122</v>
      </c>
    </row>
    <row r="42" spans="1:50" x14ac:dyDescent="0.35">
      <c r="A42" s="31" t="s">
        <v>206</v>
      </c>
      <c r="B42" s="29">
        <f>(1+Dc_var_ccm)/(Cout_total*((VOUT1^2)/Pout_var))</f>
        <v>52.142180457530785</v>
      </c>
      <c r="C42" s="31" t="s">
        <v>205</v>
      </c>
      <c r="E42" s="31" t="s">
        <v>196</v>
      </c>
      <c r="N42" s="10">
        <v>24</v>
      </c>
      <c r="O42" s="50">
        <f t="shared" si="71"/>
        <v>17.378008287493756</v>
      </c>
      <c r="P42" s="48" t="str">
        <f t="shared" si="72"/>
        <v>547.187404092767</v>
      </c>
      <c r="Q42" s="17" t="str">
        <f t="shared" si="63"/>
        <v>1+2.09406751658495i</v>
      </c>
      <c r="R42" s="17">
        <f t="shared" si="73"/>
        <v>2.3205858665466916</v>
      </c>
      <c r="S42" s="17">
        <f t="shared" si="74"/>
        <v>1.1252780089549141</v>
      </c>
      <c r="T42" s="17" t="str">
        <f t="shared" si="64"/>
        <v>1+0.0000396238144398094i</v>
      </c>
      <c r="U42" s="17">
        <f t="shared" si="75"/>
        <v>1.0000000007850234</v>
      </c>
      <c r="V42" s="17">
        <f t="shared" si="76"/>
        <v>3.9623814419072319E-5</v>
      </c>
      <c r="W42" s="31" t="str">
        <f t="shared" si="65"/>
        <v>1-0.000688077361836351i</v>
      </c>
      <c r="X42" s="17">
        <f t="shared" si="77"/>
        <v>1.0000002367251999</v>
      </c>
      <c r="Y42" s="17">
        <f t="shared" si="78"/>
        <v>-6.8807725324620162E-4</v>
      </c>
      <c r="Z42" s="31" t="str">
        <f t="shared" si="66"/>
        <v>0.999999900166885+0.00329222050695292i</v>
      </c>
      <c r="AA42" s="17">
        <f t="shared" si="79"/>
        <v>1.0000053195106746</v>
      </c>
      <c r="AB42" s="17">
        <f t="shared" si="80"/>
        <v>3.292208941218489E-3</v>
      </c>
      <c r="AC42" s="66" t="str">
        <f t="shared" si="81"/>
        <v>100.771224468141-213.17801204449i</v>
      </c>
      <c r="AD42" s="64">
        <f t="shared" si="82"/>
        <v>47.450724834104918</v>
      </c>
      <c r="AE42" s="61">
        <f t="shared" si="83"/>
        <v>-64.699464014863707</v>
      </c>
      <c r="AF42" s="31" t="str">
        <f t="shared" si="84"/>
        <v>-6627.51882264077</v>
      </c>
      <c r="AG42" s="31" t="str">
        <f t="shared" si="85"/>
        <v>109.189246340026i</v>
      </c>
      <c r="AH42" s="31">
        <f t="shared" si="86"/>
        <v>109.189246340026</v>
      </c>
      <c r="AI42" s="31">
        <f t="shared" si="87"/>
        <v>1.5707963267948966</v>
      </c>
      <c r="AJ42" s="31" t="str">
        <f t="shared" si="67"/>
        <v>0.99999857719373+0.0533001846546519i</v>
      </c>
      <c r="AK42" s="31">
        <f t="shared" si="88"/>
        <v>1.0014180266370805</v>
      </c>
      <c r="AL42" s="31">
        <f t="shared" si="89"/>
        <v>5.3249872465996266E-2</v>
      </c>
      <c r="AM42" s="31" t="str">
        <f t="shared" si="68"/>
        <v>1+0.0633221196299713i</v>
      </c>
      <c r="AN42" s="31">
        <f t="shared" si="90"/>
        <v>1.0020028397337168</v>
      </c>
      <c r="AO42" s="31">
        <f t="shared" si="91"/>
        <v>6.3237688621524693E-2</v>
      </c>
      <c r="AP42" s="31" t="str">
        <f t="shared" si="69"/>
        <v>1+0.0511005672871321i</v>
      </c>
      <c r="AQ42" s="31">
        <f t="shared" si="92"/>
        <v>1.0013047827595085</v>
      </c>
      <c r="AR42" s="31">
        <f t="shared" si="93"/>
        <v>5.1056157753854893E-2</v>
      </c>
      <c r="AS42" s="58" t="str">
        <f t="shared" si="94"/>
        <v>-3.70991518168835+60.6989622564056i</v>
      </c>
      <c r="AT42" s="49">
        <f t="shared" si="95"/>
        <v>35.679818789976785</v>
      </c>
      <c r="AU42" s="61">
        <f t="shared" si="96"/>
        <v>93.497562069714391</v>
      </c>
      <c r="AV42" s="58" t="str">
        <f t="shared" si="70"/>
        <v>12565.8314114524+6907.58109380946i</v>
      </c>
      <c r="AW42" s="64">
        <f t="shared" si="97"/>
        <v>83.130543624081696</v>
      </c>
      <c r="AX42" s="61">
        <f t="shared" si="98"/>
        <v>28.798098054850669</v>
      </c>
    </row>
    <row r="43" spans="1:50" x14ac:dyDescent="0.35">
      <c r="B43" s="29">
        <f>wp_lf/(2*PI())</f>
        <v>8.2986857634056488</v>
      </c>
      <c r="C43" s="31" t="s">
        <v>61</v>
      </c>
      <c r="N43" s="10">
        <v>25</v>
      </c>
      <c r="O43" s="50">
        <f t="shared" si="71"/>
        <v>17.782794100389236</v>
      </c>
      <c r="P43" s="48" t="str">
        <f t="shared" si="72"/>
        <v>547.187404092767</v>
      </c>
      <c r="Q43" s="17" t="str">
        <f t="shared" si="63"/>
        <v>1+2.14284461508413i</v>
      </c>
      <c r="R43" s="17">
        <f t="shared" si="73"/>
        <v>2.3646951271559411</v>
      </c>
      <c r="S43" s="17">
        <f t="shared" si="74"/>
        <v>1.1341669266024332</v>
      </c>
      <c r="T43" s="17" t="str">
        <f t="shared" si="64"/>
        <v>1+0.0000405467716436897i</v>
      </c>
      <c r="U43" s="17">
        <f t="shared" si="75"/>
        <v>1.0000000008220202</v>
      </c>
      <c r="V43" s="17">
        <f t="shared" si="76"/>
        <v>4.054677162146952E-5</v>
      </c>
      <c r="W43" s="31" t="str">
        <f t="shared" si="65"/>
        <v>1-0.000704104742514163i</v>
      </c>
      <c r="X43" s="17">
        <f t="shared" si="77"/>
        <v>1.0000002478817136</v>
      </c>
      <c r="Y43" s="17">
        <f t="shared" si="78"/>
        <v>-7.041046261577231E-4</v>
      </c>
      <c r="Z43" s="31" t="str">
        <f t="shared" si="66"/>
        <v>0.999999895461895+0.0033689061738079i</v>
      </c>
      <c r="AA43" s="17">
        <f t="shared" si="79"/>
        <v>1.0000055702107908</v>
      </c>
      <c r="AB43" s="17">
        <f t="shared" si="80"/>
        <v>3.3688937809039071E-3</v>
      </c>
      <c r="AC43" s="66" t="str">
        <f t="shared" si="81"/>
        <v>97.0087494521882-210.081165400476i</v>
      </c>
      <c r="AD43" s="64">
        <f t="shared" si="82"/>
        <v>47.28717248226198</v>
      </c>
      <c r="AE43" s="61">
        <f t="shared" si="83"/>
        <v>-65.214020617444618</v>
      </c>
      <c r="AF43" s="31" t="str">
        <f t="shared" si="84"/>
        <v>-6627.51882264077</v>
      </c>
      <c r="AG43" s="31" t="str">
        <f t="shared" si="85"/>
        <v>111.732590612165i</v>
      </c>
      <c r="AH43" s="31">
        <f t="shared" si="86"/>
        <v>111.732590612165</v>
      </c>
      <c r="AI43" s="31">
        <f t="shared" si="87"/>
        <v>1.5707963267948966</v>
      </c>
      <c r="AJ43" s="31" t="str">
        <f t="shared" si="67"/>
        <v>0.999998510138937+0.0545417054443755i</v>
      </c>
      <c r="AK43" s="31">
        <f t="shared" si="88"/>
        <v>1.0014848066310713</v>
      </c>
      <c r="AL43" s="31">
        <f t="shared" si="89"/>
        <v>5.4487799278822101E-2</v>
      </c>
      <c r="AM43" s="31" t="str">
        <f t="shared" si="68"/>
        <v>1+0.0647970812737129i</v>
      </c>
      <c r="AN43" s="31">
        <f t="shared" si="90"/>
        <v>1.0020971318897147</v>
      </c>
      <c r="AO43" s="31">
        <f t="shared" si="91"/>
        <v>6.4706622040526518E-2</v>
      </c>
      <c r="AP43" s="31" t="str">
        <f t="shared" si="69"/>
        <v>1+0.0522908524064931i</v>
      </c>
      <c r="AQ43" s="31">
        <f t="shared" si="92"/>
        <v>1.0013662333259483</v>
      </c>
      <c r="AR43" s="31">
        <f t="shared" si="93"/>
        <v>5.2243270240044076E-2</v>
      </c>
      <c r="AS43" s="58" t="str">
        <f t="shared" si="94"/>
        <v>-3.70991187167462+59.31735043907i</v>
      </c>
      <c r="AT43" s="49">
        <f t="shared" si="95"/>
        <v>35.480589963676302</v>
      </c>
      <c r="AU43" s="61">
        <f t="shared" si="96"/>
        <v>93.578814308553831</v>
      </c>
      <c r="AV43" s="58" t="str">
        <f t="shared" si="70"/>
        <v>12101.5641974593+6533.68459644585i</v>
      </c>
      <c r="AW43" s="64">
        <f t="shared" si="97"/>
        <v>82.767762445938303</v>
      </c>
      <c r="AX43" s="61">
        <f t="shared" si="98"/>
        <v>28.364793691109178</v>
      </c>
    </row>
    <row r="44" spans="1:50" x14ac:dyDescent="0.35">
      <c r="B44" s="26"/>
      <c r="N44" s="10">
        <v>26</v>
      </c>
      <c r="O44" s="50">
        <f t="shared" si="71"/>
        <v>18.197008586099841</v>
      </c>
      <c r="P44" s="48" t="str">
        <f t="shared" si="72"/>
        <v>547.187404092767</v>
      </c>
      <c r="Q44" s="17" t="str">
        <f t="shared" si="63"/>
        <v>1+2.19275787816215i</v>
      </c>
      <c r="R44" s="17">
        <f t="shared" si="73"/>
        <v>2.410018073011523</v>
      </c>
      <c r="S44" s="17">
        <f t="shared" si="74"/>
        <v>1.1429253524902854</v>
      </c>
      <c r="T44" s="17" t="str">
        <f t="shared" si="64"/>
        <v>1+0.0000414912272825958i</v>
      </c>
      <c r="U44" s="17">
        <f t="shared" si="75"/>
        <v>1.000000000860761</v>
      </c>
      <c r="V44" s="17">
        <f t="shared" si="76"/>
        <v>4.1491227258786449E-5</v>
      </c>
      <c r="W44" s="31" t="str">
        <f t="shared" si="65"/>
        <v>1-0.000720505448846389i</v>
      </c>
      <c r="X44" s="17">
        <f t="shared" si="77"/>
        <v>1.0000002595640172</v>
      </c>
      <c r="Y44" s="17">
        <f t="shared" si="78"/>
        <v>-7.2050532416821915E-4</v>
      </c>
      <c r="Z44" s="31" t="str">
        <f t="shared" si="66"/>
        <v>0.999999890535166+0.00344737807930899i</v>
      </c>
      <c r="AA44" s="17">
        <f t="shared" si="79"/>
        <v>1.0000058327259724</v>
      </c>
      <c r="AB44" s="17">
        <f t="shared" si="80"/>
        <v>3.4473648000772962E-3</v>
      </c>
      <c r="AC44" s="66" t="str">
        <f t="shared" si="81"/>
        <v>93.3559291582102-206.964832702607i</v>
      </c>
      <c r="AD44" s="64">
        <f t="shared" si="82"/>
        <v>47.122267444363636</v>
      </c>
      <c r="AE44" s="61">
        <f t="shared" si="83"/>
        <v>-65.721223091664413</v>
      </c>
      <c r="AF44" s="31" t="str">
        <f t="shared" si="84"/>
        <v>-6627.51882264077</v>
      </c>
      <c r="AG44" s="31" t="str">
        <f t="shared" si="85"/>
        <v>114.335176982803i</v>
      </c>
      <c r="AH44" s="31">
        <f t="shared" si="86"/>
        <v>114.33517698280301</v>
      </c>
      <c r="AI44" s="31">
        <f t="shared" si="87"/>
        <v>1.5707963267948966</v>
      </c>
      <c r="AJ44" s="31" t="str">
        <f t="shared" si="67"/>
        <v>0.999998439923948+0.0558121449682705i</v>
      </c>
      <c r="AK44" s="31">
        <f t="shared" si="88"/>
        <v>1.0015547290968621</v>
      </c>
      <c r="AL44" s="31">
        <f t="shared" si="89"/>
        <v>5.5754388312761173E-2</v>
      </c>
      <c r="AM44" s="31" t="str">
        <f t="shared" si="68"/>
        <v>1+0.066306399187637i</v>
      </c>
      <c r="AN44" s="31">
        <f t="shared" si="90"/>
        <v>1.0021958583895816</v>
      </c>
      <c r="AO44" s="31">
        <f t="shared" si="91"/>
        <v>6.6209481839421047E-2</v>
      </c>
      <c r="AP44" s="31" t="str">
        <f t="shared" si="69"/>
        <v>1+0.0535088628279517i</v>
      </c>
      <c r="AQ44" s="31">
        <f t="shared" si="92"/>
        <v>1.0014305759268289</v>
      </c>
      <c r="AR44" s="31">
        <f t="shared" si="93"/>
        <v>5.345788155087617E-2</v>
      </c>
      <c r="AS44" s="58" t="str">
        <f t="shared" si="94"/>
        <v>-3.70990840661084+57.9671894491359i</v>
      </c>
      <c r="AT44" s="49">
        <f t="shared" si="95"/>
        <v>35.281397329506888</v>
      </c>
      <c r="AU44" s="61">
        <f t="shared" si="96"/>
        <v>93.661943728067598</v>
      </c>
      <c r="AV44" s="58" t="str">
        <f t="shared" si="70"/>
        <v>11650.8277201896+6179.40140443029i</v>
      </c>
      <c r="AW44" s="64">
        <f t="shared" si="97"/>
        <v>82.403664773870446</v>
      </c>
      <c r="AX44" s="61">
        <f t="shared" si="98"/>
        <v>27.940720636403462</v>
      </c>
    </row>
    <row r="45" spans="1:50" x14ac:dyDescent="0.35">
      <c r="A45" s="31" t="s">
        <v>207</v>
      </c>
      <c r="B45" s="29">
        <f>(((VOUT1^2)/Pout_var)*((1-Dc_var_ccm)^2))/((Lm/((Np/NS1_)^2))*Dc_var_ccm)</f>
        <v>158687.45637644632</v>
      </c>
      <c r="C45" s="31" t="s">
        <v>205</v>
      </c>
      <c r="E45" s="31" t="s">
        <v>197</v>
      </c>
      <c r="N45" s="10">
        <v>27</v>
      </c>
      <c r="O45" s="50">
        <f t="shared" si="71"/>
        <v>18.62087136662868</v>
      </c>
      <c r="P45" s="48" t="str">
        <f t="shared" si="72"/>
        <v>547.187404092767</v>
      </c>
      <c r="Q45" s="17" t="str">
        <f t="shared" si="63"/>
        <v>1+2.24383377049174i</v>
      </c>
      <c r="R45" s="17">
        <f t="shared" si="73"/>
        <v>2.4565809552300895</v>
      </c>
      <c r="S45" s="17">
        <f t="shared" si="74"/>
        <v>1.151552554554002</v>
      </c>
      <c r="T45" s="17" t="str">
        <f t="shared" si="64"/>
        <v>1+0.0000424576821194082i</v>
      </c>
      <c r="U45" s="17">
        <f t="shared" si="75"/>
        <v>1.0000000009013272</v>
      </c>
      <c r="V45" s="17">
        <f t="shared" si="76"/>
        <v>4.2457682093896024E-5</v>
      </c>
      <c r="W45" s="31" t="str">
        <f t="shared" si="65"/>
        <v>1-0.000737288176704609i</v>
      </c>
      <c r="X45" s="17">
        <f t="shared" si="77"/>
        <v>1.0000002717968908</v>
      </c>
      <c r="Y45" s="17">
        <f t="shared" si="78"/>
        <v>-7.3728804310954502E-4</v>
      </c>
      <c r="Z45" s="31" t="str">
        <f t="shared" si="66"/>
        <v>0.999999885376248+0.00352767783029918i</v>
      </c>
      <c r="AA45" s="17">
        <f t="shared" si="79"/>
        <v>1.0000061076130402</v>
      </c>
      <c r="AB45" s="17">
        <f t="shared" si="80"/>
        <v>3.5276636013507521E-3</v>
      </c>
      <c r="AC45" s="66" t="str">
        <f t="shared" si="81"/>
        <v>89.811743584661-203.833098404843i</v>
      </c>
      <c r="AD45" s="64">
        <f t="shared" si="82"/>
        <v>46.956049538910705</v>
      </c>
      <c r="AE45" s="61">
        <f t="shared" si="83"/>
        <v>-66.221032346515841</v>
      </c>
      <c r="AF45" s="31" t="str">
        <f t="shared" si="84"/>
        <v>-6627.51882264077</v>
      </c>
      <c r="AG45" s="31" t="str">
        <f t="shared" si="85"/>
        <v>116.998385377682i</v>
      </c>
      <c r="AH45" s="31">
        <f t="shared" si="86"/>
        <v>116.998385377682</v>
      </c>
      <c r="AI45" s="31">
        <f t="shared" si="87"/>
        <v>1.5707963267948966</v>
      </c>
      <c r="AJ45" s="31" t="str">
        <f t="shared" si="67"/>
        <v>0.999998366399829+0.0571121768301888i</v>
      </c>
      <c r="AK45" s="31">
        <f t="shared" si="88"/>
        <v>1.0016279416752556</v>
      </c>
      <c r="AL45" s="31">
        <f t="shared" si="89"/>
        <v>5.7050294890006507E-2</v>
      </c>
      <c r="AM45" s="31" t="str">
        <f t="shared" si="68"/>
        <v>1+0.0678508736320792i</v>
      </c>
      <c r="AN45" s="31">
        <f t="shared" si="90"/>
        <v>1.0022992273032223</v>
      </c>
      <c r="AO45" s="31">
        <f t="shared" si="91"/>
        <v>6.7747037684348532E-2</v>
      </c>
      <c r="AP45" s="31" t="str">
        <f t="shared" si="69"/>
        <v>1+0.0547552443567551i</v>
      </c>
      <c r="AQ45" s="31">
        <f t="shared" si="92"/>
        <v>1.0014979464704699</v>
      </c>
      <c r="AR45" s="31">
        <f t="shared" si="93"/>
        <v>5.4700621346074819E-2</v>
      </c>
      <c r="AS45" s="58" t="str">
        <f t="shared" si="94"/>
        <v>-3.70990477928051+56.647763412169i</v>
      </c>
      <c r="AT45" s="49">
        <f t="shared" si="95"/>
        <v>35.082242578536025</v>
      </c>
      <c r="AU45" s="61">
        <f t="shared" si="96"/>
        <v>93.746992956526086</v>
      </c>
      <c r="AV45" s="58" t="str">
        <f t="shared" si="70"/>
        <v>11213.4961172467+5843.83578816594i</v>
      </c>
      <c r="AW45" s="64">
        <f t="shared" si="97"/>
        <v>82.038292117446758</v>
      </c>
      <c r="AX45" s="61">
        <f t="shared" si="98"/>
        <v>27.525960610010149</v>
      </c>
    </row>
    <row r="46" spans="1:50" x14ac:dyDescent="0.35">
      <c r="B46" s="29">
        <f>wz_rhp/(2*PI())</f>
        <v>25255.893088990939</v>
      </c>
      <c r="C46" s="31" t="s">
        <v>61</v>
      </c>
      <c r="N46" s="10">
        <v>28</v>
      </c>
      <c r="O46" s="50">
        <f t="shared" si="71"/>
        <v>19.054607179632477</v>
      </c>
      <c r="P46" s="48" t="str">
        <f t="shared" si="72"/>
        <v>547.187404092767</v>
      </c>
      <c r="Q46" s="17" t="str">
        <f t="shared" si="63"/>
        <v>1+2.2960993731871i</v>
      </c>
      <c r="R46" s="17">
        <f t="shared" si="73"/>
        <v>2.5044105756744828</v>
      </c>
      <c r="S46" s="17">
        <f t="shared" si="74"/>
        <v>1.1600479691261574</v>
      </c>
      <c r="T46" s="17" t="str">
        <f t="shared" si="64"/>
        <v>1+0.0000434466485812743i</v>
      </c>
      <c r="U46" s="17">
        <f t="shared" si="75"/>
        <v>1.0000000009438055</v>
      </c>
      <c r="V46" s="17">
        <f t="shared" si="76"/>
        <v>4.3446648553937507E-5</v>
      </c>
      <c r="W46" s="31" t="str">
        <f t="shared" si="65"/>
        <v>1-0.00075446182451328i</v>
      </c>
      <c r="X46" s="17">
        <f t="shared" si="77"/>
        <v>1.0000002846062819</v>
      </c>
      <c r="Y46" s="17">
        <f t="shared" si="78"/>
        <v>-7.5446168136359207E-4</v>
      </c>
      <c r="Z46" s="31" t="str">
        <f t="shared" si="66"/>
        <v>0.999999879974197+0.00360984800276932i</v>
      </c>
      <c r="AA46" s="17">
        <f t="shared" si="79"/>
        <v>1.0000063954550549</v>
      </c>
      <c r="AB46" s="17">
        <f t="shared" si="80"/>
        <v>3.6098327561816519E-3</v>
      </c>
      <c r="AC46" s="66" t="str">
        <f t="shared" si="81"/>
        <v>86.3750090372971-200.689895792272i</v>
      </c>
      <c r="AD46" s="64">
        <f t="shared" si="82"/>
        <v>46.788558181799672</v>
      </c>
      <c r="AE46" s="61">
        <f t="shared" si="83"/>
        <v>-66.713419005878848</v>
      </c>
      <c r="AF46" s="31" t="str">
        <f t="shared" si="84"/>
        <v>-6627.51882264077</v>
      </c>
      <c r="AG46" s="31" t="str">
        <f t="shared" si="85"/>
        <v>119.723627865145i</v>
      </c>
      <c r="AH46" s="31">
        <f t="shared" si="86"/>
        <v>119.723627865145</v>
      </c>
      <c r="AI46" s="31">
        <f t="shared" si="87"/>
        <v>1.5707963267948966</v>
      </c>
      <c r="AJ46" s="31" t="str">
        <f t="shared" si="67"/>
        <v>0.999998289410625+0.0584424903242314i</v>
      </c>
      <c r="AK46" s="31">
        <f t="shared" si="88"/>
        <v>1.0017045989209963</v>
      </c>
      <c r="AL46" s="31">
        <f t="shared" si="89"/>
        <v>5.837618872328644E-2</v>
      </c>
      <c r="AM46" s="31" t="str">
        <f t="shared" si="68"/>
        <v>1+0.0694313235078336i</v>
      </c>
      <c r="AN46" s="31">
        <f t="shared" si="90"/>
        <v>1.0024074564188206</v>
      </c>
      <c r="AO46" s="31">
        <f t="shared" si="91"/>
        <v>6.932007571219273E-2</v>
      </c>
      <c r="AP46" s="31" t="str">
        <f t="shared" si="69"/>
        <v>1+0.0560306578408878i</v>
      </c>
      <c r="AQ46" s="31">
        <f t="shared" si="92"/>
        <v>1.0015684872329413</v>
      </c>
      <c r="AR46" s="31">
        <f t="shared" si="93"/>
        <v>5.5972133179706153E-2</v>
      </c>
      <c r="AS46" s="58" t="str">
        <f t="shared" si="94"/>
        <v>-3.70990098213581+55.3583727497308i</v>
      </c>
      <c r="AT46" s="49">
        <f t="shared" si="95"/>
        <v>34.883127480128742</v>
      </c>
      <c r="AU46" s="61">
        <f t="shared" si="96"/>
        <v>93.834005537473772</v>
      </c>
      <c r="AV46" s="58" t="str">
        <f t="shared" si="70"/>
        <v>10789.4233275138+5526.11958805254i</v>
      </c>
      <c r="AW46" s="64">
        <f t="shared" si="97"/>
        <v>81.671685661928421</v>
      </c>
      <c r="AX46" s="61">
        <f t="shared" si="98"/>
        <v>27.120586531594842</v>
      </c>
    </row>
    <row r="47" spans="1:50" x14ac:dyDescent="0.35">
      <c r="B47" s="1"/>
      <c r="N47" s="10">
        <v>29</v>
      </c>
      <c r="O47" s="50">
        <f t="shared" si="71"/>
        <v>19.498445997580465</v>
      </c>
      <c r="P47" s="48" t="str">
        <f t="shared" si="72"/>
        <v>547.187404092767</v>
      </c>
      <c r="Q47" s="17" t="str">
        <f t="shared" si="63"/>
        <v>1+2.34958239816259i</v>
      </c>
      <c r="R47" s="17">
        <f t="shared" si="73"/>
        <v>2.5535343047931565</v>
      </c>
      <c r="S47" s="17">
        <f t="shared" si="74"/>
        <v>1.1684111944878541</v>
      </c>
      <c r="T47" s="17" t="str">
        <f t="shared" si="64"/>
        <v>1+0.0000444586510313027i</v>
      </c>
      <c r="U47" s="17">
        <f t="shared" si="75"/>
        <v>1.0000000009882857</v>
      </c>
      <c r="V47" s="17">
        <f t="shared" si="76"/>
        <v>4.4458651002010796E-5</v>
      </c>
      <c r="W47" s="31" t="str">
        <f t="shared" si="65"/>
        <v>1-0.000772035497967793i</v>
      </c>
      <c r="X47" s="17">
        <f t="shared" si="77"/>
        <v>1.0000002980193607</v>
      </c>
      <c r="Y47" s="17">
        <f t="shared" si="78"/>
        <v>-7.7203534458014135E-4</v>
      </c>
      <c r="Z47" s="31" t="str">
        <f t="shared" si="66"/>
        <v>0.999999874317555+0.00369393216443253i</v>
      </c>
      <c r="AA47" s="17">
        <f t="shared" si="79"/>
        <v>1.0000066968625567</v>
      </c>
      <c r="AB47" s="17">
        <f t="shared" si="80"/>
        <v>3.6939158274254136E-3</v>
      </c>
      <c r="AC47" s="66" t="str">
        <f t="shared" si="81"/>
        <v>83.0443916068285-197.539002438596i</v>
      </c>
      <c r="AD47" s="64">
        <f t="shared" si="82"/>
        <v>46.619832329058283</v>
      </c>
      <c r="AE47" s="61">
        <f t="shared" si="83"/>
        <v>-67.198363040595368</v>
      </c>
      <c r="AF47" s="31" t="str">
        <f t="shared" si="84"/>
        <v>-6627.51882264077</v>
      </c>
      <c r="AG47" s="31" t="str">
        <f t="shared" si="85"/>
        <v>122.512349404832i</v>
      </c>
      <c r="AH47" s="31">
        <f t="shared" si="86"/>
        <v>122.51234940483199</v>
      </c>
      <c r="AI47" s="31">
        <f t="shared" si="87"/>
        <v>1.5707963267948966</v>
      </c>
      <c r="AJ47" s="31" t="str">
        <f t="shared" si="67"/>
        <v>0.999998208793031+0.0598037908002218i</v>
      </c>
      <c r="AK47" s="31">
        <f t="shared" si="88"/>
        <v>1.0017848626243797</v>
      </c>
      <c r="AL47" s="31">
        <f t="shared" si="89"/>
        <v>5.9732754189327275E-2</v>
      </c>
      <c r="AM47" s="31" t="str">
        <f t="shared" si="68"/>
        <v>1+0.0710485867903443i</v>
      </c>
      <c r="AN47" s="31">
        <f t="shared" si="90"/>
        <v>1.0025207736924482</v>
      </c>
      <c r="AO47" s="31">
        <f t="shared" si="91"/>
        <v>7.0929398811819463E-2</v>
      </c>
      <c r="AP47" s="31" t="str">
        <f t="shared" si="69"/>
        <v>1+0.0573357795214613i</v>
      </c>
      <c r="AQ47" s="31">
        <f t="shared" si="92"/>
        <v>1.0016423471545788</v>
      </c>
      <c r="AR47" s="31">
        <f t="shared" si="93"/>
        <v>5.7273074769203756E-2</v>
      </c>
      <c r="AS47" s="58" t="str">
        <f t="shared" si="94"/>
        <v>-3.7098970072827+54.0983338084417i</v>
      </c>
      <c r="AT47" s="49">
        <f t="shared" si="95"/>
        <v>34.684053885503182</v>
      </c>
      <c r="AU47" s="61">
        <f t="shared" si="96"/>
        <v>93.923025945589231</v>
      </c>
      <c r="AV47" s="58" t="str">
        <f t="shared" si="70"/>
        <v>10378.444754216+5225.41257203372i</v>
      </c>
      <c r="AW47" s="64">
        <f t="shared" si="97"/>
        <v>81.303886214561487</v>
      </c>
      <c r="AX47" s="61">
        <f t="shared" si="98"/>
        <v>26.724662904993785</v>
      </c>
    </row>
    <row r="48" spans="1:50" x14ac:dyDescent="0.35">
      <c r="A48" s="31" t="s">
        <v>208</v>
      </c>
      <c r="B48" s="29">
        <f>1/(Cout_total*Resr_total)</f>
        <v>2755647.0239857868</v>
      </c>
      <c r="C48" s="31" t="s">
        <v>205</v>
      </c>
      <c r="E48" s="31" t="s">
        <v>198</v>
      </c>
      <c r="N48" s="10">
        <v>30</v>
      </c>
      <c r="O48" s="50">
        <f t="shared" si="71"/>
        <v>19.952623149688804</v>
      </c>
      <c r="P48" s="48" t="str">
        <f t="shared" si="72"/>
        <v>547.187404092767</v>
      </c>
      <c r="Q48" s="17" t="str">
        <f t="shared" si="63"/>
        <v>1+2.404311202826i</v>
      </c>
      <c r="R48" s="17">
        <f t="shared" si="73"/>
        <v>2.6039800997769946</v>
      </c>
      <c r="S48" s="17">
        <f t="shared" si="74"/>
        <v>1.1766419842522564</v>
      </c>
      <c r="T48" s="17" t="str">
        <f t="shared" si="64"/>
        <v>1+0.0000454942260465876i</v>
      </c>
      <c r="U48" s="17">
        <f t="shared" si="75"/>
        <v>1.0000000010348622</v>
      </c>
      <c r="V48" s="17">
        <f t="shared" si="76"/>
        <v>4.5494226015200758E-5</v>
      </c>
      <c r="W48" s="31" t="str">
        <f t="shared" si="65"/>
        <v>1-0.000790018514862427i</v>
      </c>
      <c r="X48" s="17">
        <f t="shared" si="77"/>
        <v>1.0000003120645782</v>
      </c>
      <c r="Y48" s="17">
        <f t="shared" si="78"/>
        <v>-7.9001835050459982E-4</v>
      </c>
      <c r="Z48" s="31" t="str">
        <f t="shared" si="66"/>
        <v>0.999999868394324+0.0037799748978243i</v>
      </c>
      <c r="AA48" s="17">
        <f t="shared" si="79"/>
        <v>1.0000070124748592</v>
      </c>
      <c r="AB48" s="17">
        <f t="shared" si="80"/>
        <v>3.7799573924124138E-3</v>
      </c>
      <c r="AC48" s="66" t="str">
        <f t="shared" si="81"/>
        <v>79.8184204486224-194.38403674009i</v>
      </c>
      <c r="AD48" s="64">
        <f t="shared" si="82"/>
        <v>46.449910424462615</v>
      </c>
      <c r="AE48" s="61">
        <f t="shared" si="83"/>
        <v>-67.675853390956348</v>
      </c>
      <c r="AF48" s="31" t="str">
        <f t="shared" si="84"/>
        <v>-6627.51882264077</v>
      </c>
      <c r="AG48" s="31" t="str">
        <f t="shared" si="85"/>
        <v>125.366028613816i</v>
      </c>
      <c r="AH48" s="31">
        <f t="shared" si="86"/>
        <v>125.366028613816</v>
      </c>
      <c r="AI48" s="31">
        <f t="shared" si="87"/>
        <v>1.5707963267948966</v>
      </c>
      <c r="AJ48" s="31" t="str">
        <f t="shared" si="67"/>
        <v>0.999998124376048+0.0611968000376912i</v>
      </c>
      <c r="AK48" s="31">
        <f t="shared" si="88"/>
        <v>1.0018689021476148</v>
      </c>
      <c r="AL48" s="31">
        <f t="shared" si="89"/>
        <v>6.1120690604361476E-2</v>
      </c>
      <c r="AM48" s="31" t="str">
        <f t="shared" si="68"/>
        <v>1+0.0727035209740104i</v>
      </c>
      <c r="AN48" s="31">
        <f t="shared" si="90"/>
        <v>1.002639417718064</v>
      </c>
      <c r="AO48" s="31">
        <f t="shared" si="91"/>
        <v>7.2575826904758195E-2</v>
      </c>
      <c r="AP48" s="31" t="str">
        <f t="shared" si="69"/>
        <v>1+0.0586713013912658i</v>
      </c>
      <c r="AQ48" s="31">
        <f t="shared" si="92"/>
        <v>1.0017196821501237</v>
      </c>
      <c r="AR48" s="31">
        <f t="shared" si="93"/>
        <v>5.8604118266829437E-2</v>
      </c>
      <c r="AS48" s="58" t="str">
        <f t="shared" si="94"/>
        <v>-3.70989284646554+52.8669784974977i</v>
      </c>
      <c r="AT48" s="49">
        <f t="shared" si="95"/>
        <v>34.485023731442674</v>
      </c>
      <c r="AU48" s="61">
        <f t="shared" si="96"/>
        <v>94.014099602534699</v>
      </c>
      <c r="AV48" s="58" t="str">
        <f t="shared" si="70"/>
        <v>9980.37890355662+4940.90266493071i</v>
      </c>
      <c r="AW48" s="64">
        <f t="shared" si="97"/>
        <v>80.934934155905296</v>
      </c>
      <c r="AX48" s="61">
        <f t="shared" si="98"/>
        <v>26.338246211578365</v>
      </c>
    </row>
    <row r="49" spans="1:50" x14ac:dyDescent="0.35">
      <c r="B49" s="29">
        <f>wz_esr/(2*PI())</f>
        <v>438574.84528380865</v>
      </c>
      <c r="C49" s="31" t="s">
        <v>61</v>
      </c>
      <c r="N49" s="10">
        <v>31</v>
      </c>
      <c r="O49" s="50">
        <f t="shared" si="71"/>
        <v>20.4173794466953</v>
      </c>
      <c r="P49" s="48" t="str">
        <f t="shared" si="72"/>
        <v>547.187404092767</v>
      </c>
      <c r="Q49" s="17" t="str">
        <f t="shared" si="63"/>
        <v>1+2.46031480511394i</v>
      </c>
      <c r="R49" s="17">
        <f t="shared" si="73"/>
        <v>2.6557765230272752</v>
      </c>
      <c r="S49" s="17">
        <f t="shared" si="74"/>
        <v>1.184740240624039</v>
      </c>
      <c r="T49" s="17" t="str">
        <f t="shared" si="64"/>
        <v>1+0.0000465539227027095i</v>
      </c>
      <c r="U49" s="17">
        <f t="shared" si="75"/>
        <v>1.0000000010836338</v>
      </c>
      <c r="V49" s="17">
        <f t="shared" si="76"/>
        <v>4.6553922669077893E-5</v>
      </c>
      <c r="W49" s="31" t="str">
        <f t="shared" si="65"/>
        <v>1-0.000808420410030767i</v>
      </c>
      <c r="X49" s="17">
        <f t="shared" si="77"/>
        <v>1.0000003267717263</v>
      </c>
      <c r="Y49" s="17">
        <f t="shared" si="78"/>
        <v>-8.0842023391818529E-4</v>
      </c>
      <c r="Z49" s="31" t="str">
        <f t="shared" si="66"/>
        <v>0.999999862191939+0.00386802182394075i</v>
      </c>
      <c r="AA49" s="17">
        <f t="shared" si="79"/>
        <v>1.0000073429614043</v>
      </c>
      <c r="AB49" s="17">
        <f t="shared" si="80"/>
        <v>3.8680030665614084E-3</v>
      </c>
      <c r="AC49" s="66" t="str">
        <f t="shared" si="81"/>
        <v>76.6955007901819-191.22845546305i</v>
      </c>
      <c r="AD49" s="64">
        <f t="shared" si="82"/>
        <v>46.278830351951882</v>
      </c>
      <c r="AE49" s="61">
        <f t="shared" si="83"/>
        <v>-68.145887582116401</v>
      </c>
      <c r="AF49" s="31" t="str">
        <f t="shared" si="84"/>
        <v>-6627.51882264077</v>
      </c>
      <c r="AG49" s="31" t="str">
        <f t="shared" si="85"/>
        <v>128.286178550586i</v>
      </c>
      <c r="AH49" s="31">
        <f t="shared" si="86"/>
        <v>128.28617855058599</v>
      </c>
      <c r="AI49" s="31">
        <f t="shared" si="87"/>
        <v>1.5707963267948966</v>
      </c>
      <c r="AJ49" s="31" t="str">
        <f t="shared" si="67"/>
        <v>0.999998035980614+0.062622256628576i</v>
      </c>
      <c r="AK49" s="31">
        <f t="shared" si="88"/>
        <v>1.0019568947765869</v>
      </c>
      <c r="AL49" s="31">
        <f t="shared" si="89"/>
        <v>6.2540712501433809E-2</v>
      </c>
      <c r="AM49" s="31" t="str">
        <f t="shared" si="68"/>
        <v>1+0.0743970035268414i</v>
      </c>
      <c r="AN49" s="31">
        <f t="shared" si="90"/>
        <v>1.0027636382187843</v>
      </c>
      <c r="AO49" s="31">
        <f t="shared" si="91"/>
        <v>7.4260197224832333E-2</v>
      </c>
      <c r="AP49" s="31" t="str">
        <f t="shared" si="69"/>
        <v>1+0.0600379315616742i</v>
      </c>
      <c r="AQ49" s="31">
        <f t="shared" si="92"/>
        <v>1.0018006554331078</v>
      </c>
      <c r="AR49" s="31">
        <f t="shared" si="93"/>
        <v>5.9965950533361928E-2</v>
      </c>
      <c r="AS49" s="58" t="str">
        <f t="shared" si="94"/>
        <v>-3.70988849105102+51.6636539344305i</v>
      </c>
      <c r="AT49" s="49">
        <f t="shared" si="95"/>
        <v>34.286039044167644</v>
      </c>
      <c r="AU49" s="61">
        <f t="shared" si="96"/>
        <v>94.107272892770666</v>
      </c>
      <c r="AV49" s="58" t="str">
        <f t="shared" si="70"/>
        <v>9595.02898976178+4671.80605723563i</v>
      </c>
      <c r="AW49" s="64">
        <f t="shared" si="97"/>
        <v>80.564869396119519</v>
      </c>
      <c r="AX49" s="61">
        <f t="shared" si="98"/>
        <v>25.961385310654276</v>
      </c>
    </row>
    <row r="50" spans="1:50" x14ac:dyDescent="0.35">
      <c r="B50" s="26"/>
      <c r="N50" s="10">
        <v>32</v>
      </c>
      <c r="O50" s="50">
        <f t="shared" si="71"/>
        <v>20.8929613085404</v>
      </c>
      <c r="P50" s="48" t="str">
        <f t="shared" si="72"/>
        <v>547.187404092767</v>
      </c>
      <c r="Q50" s="17" t="str">
        <f t="shared" si="63"/>
        <v>1+2.5176228988777i</v>
      </c>
      <c r="R50" s="17">
        <f t="shared" si="73"/>
        <v>2.7089527609305692</v>
      </c>
      <c r="S50" s="17">
        <f t="shared" si="74"/>
        <v>1.192706007575991</v>
      </c>
      <c r="T50" s="17" t="str">
        <f t="shared" si="64"/>
        <v>1+0.0000476383028648628i</v>
      </c>
      <c r="U50" s="17">
        <f t="shared" si="75"/>
        <v>1.0000000011347039</v>
      </c>
      <c r="V50" s="17">
        <f t="shared" si="76"/>
        <v>4.7638302828825886E-5</v>
      </c>
      <c r="W50" s="31" t="str">
        <f t="shared" si="65"/>
        <v>1-0.000827250940401223i</v>
      </c>
      <c r="X50" s="17">
        <f t="shared" si="77"/>
        <v>1.0000003421720007</v>
      </c>
      <c r="Y50" s="17">
        <f t="shared" si="78"/>
        <v>-8.2725075169319529E-4</v>
      </c>
      <c r="Z50" s="31" t="str">
        <f t="shared" si="66"/>
        <v>0.999999855697246+0.00395811962642761i</v>
      </c>
      <c r="AA50" s="17">
        <f t="shared" si="79"/>
        <v>1.0000076890231844</v>
      </c>
      <c r="AB50" s="17">
        <f t="shared" si="80"/>
        <v>3.9580995275418718E-3</v>
      </c>
      <c r="AC50" s="66" t="str">
        <f t="shared" si="81"/>
        <v>73.6739266013564-188.075552238399i</v>
      </c>
      <c r="AD50" s="64">
        <f t="shared" si="82"/>
        <v>46.10662939272725</v>
      </c>
      <c r="AE50" s="61">
        <f t="shared" si="83"/>
        <v>-68.608471334799304</v>
      </c>
      <c r="AF50" s="31" t="str">
        <f t="shared" si="84"/>
        <v>-6627.51882264077</v>
      </c>
      <c r="AG50" s="31" t="str">
        <f t="shared" si="85"/>
        <v>131.274347517293i</v>
      </c>
      <c r="AH50" s="31">
        <f t="shared" si="86"/>
        <v>131.27434751729299</v>
      </c>
      <c r="AI50" s="31">
        <f t="shared" si="87"/>
        <v>1.5707963267948966</v>
      </c>
      <c r="AJ50" s="31" t="str">
        <f t="shared" si="67"/>
        <v>0.999997943419232+0.0640809163688288i</v>
      </c>
      <c r="AK50" s="31">
        <f t="shared" si="88"/>
        <v>1.0020490260887249</v>
      </c>
      <c r="AL50" s="31">
        <f t="shared" si="89"/>
        <v>6.3993549909226177E-2</v>
      </c>
      <c r="AM50" s="31" t="str">
        <f t="shared" si="68"/>
        <v>1+0.0761299323557038i</v>
      </c>
      <c r="AN50" s="31">
        <f t="shared" si="90"/>
        <v>1.0028936965603503</v>
      </c>
      <c r="AO50" s="31">
        <f t="shared" si="91"/>
        <v>7.5983364596199809E-2</v>
      </c>
      <c r="AP50" s="31" t="str">
        <f t="shared" si="69"/>
        <v>1+0.061436394638093i</v>
      </c>
      <c r="AQ50" s="31">
        <f t="shared" si="92"/>
        <v>1.001885437855111</v>
      </c>
      <c r="AR50" s="31">
        <f t="shared" si="93"/>
        <v>6.1359273413782556E-2</v>
      </c>
      <c r="AS50" s="58" t="str">
        <f t="shared" si="94"/>
        <v>-3.70988393201158+50.4877220989314i</v>
      </c>
      <c r="AT50" s="49">
        <f t="shared" si="95"/>
        <v>34.087101943374932</v>
      </c>
      <c r="AU50" s="61">
        <f t="shared" si="96"/>
        <v>94.202593179306575</v>
      </c>
      <c r="AV50" s="58" t="str">
        <f t="shared" si="70"/>
        <v>9222.18449850877+4417.36720143979i</v>
      </c>
      <c r="AW50" s="64">
        <f t="shared" si="97"/>
        <v>80.193731336102175</v>
      </c>
      <c r="AX50" s="61">
        <f t="shared" si="98"/>
        <v>25.594121844507281</v>
      </c>
    </row>
    <row r="51" spans="1:50" x14ac:dyDescent="0.35">
      <c r="A51" s="31" t="s">
        <v>201</v>
      </c>
      <c r="B51" s="1">
        <f>(Isl*(Rsl_int+R_sl)*Fsw)</f>
        <v>4398.8999999999996</v>
      </c>
      <c r="C51" s="31" t="s">
        <v>144</v>
      </c>
      <c r="E51" s="31" t="s">
        <v>202</v>
      </c>
      <c r="N51" s="10">
        <v>33</v>
      </c>
      <c r="O51" s="50">
        <f t="shared" si="71"/>
        <v>21.379620895022335</v>
      </c>
      <c r="P51" s="48" t="str">
        <f t="shared" si="72"/>
        <v>547.187404092767</v>
      </c>
      <c r="Q51" s="17" t="str">
        <f t="shared" si="63"/>
        <v>1+2.5762658696271i</v>
      </c>
      <c r="R51" s="17">
        <f t="shared" si="73"/>
        <v>2.7635386429368913</v>
      </c>
      <c r="S51" s="17">
        <f t="shared" si="74"/>
        <v>1.2005394639810321</v>
      </c>
      <c r="T51" s="17" t="str">
        <f t="shared" si="64"/>
        <v>1+0.0000487479414857622i</v>
      </c>
      <c r="U51" s="17">
        <f t="shared" si="75"/>
        <v>1.0000000011881809</v>
      </c>
      <c r="V51" s="17">
        <f t="shared" si="76"/>
        <v>4.8747941447147954E-5</v>
      </c>
      <c r="W51" s="31" t="str">
        <f t="shared" si="65"/>
        <v>1-0.000846520090170233i</v>
      </c>
      <c r="X51" s="17">
        <f t="shared" si="77"/>
        <v>1.0000003582980672</v>
      </c>
      <c r="Y51" s="17">
        <f t="shared" si="78"/>
        <v>-8.465198879659421E-4</v>
      </c>
      <c r="Z51" s="31" t="str">
        <f t="shared" si="66"/>
        <v>0.999999848896466+0.00405031607633228i</v>
      </c>
      <c r="AA51" s="17">
        <f t="shared" si="79"/>
        <v>1.0000080513942242</v>
      </c>
      <c r="AB51" s="17">
        <f t="shared" si="80"/>
        <v>4.0502945399975652E-3</v>
      </c>
      <c r="AC51" s="66" t="str">
        <f t="shared" si="81"/>
        <v>70.7518928713837-184.928456935046i</v>
      </c>
      <c r="AD51" s="64">
        <f t="shared" si="82"/>
        <v>45.93334418690354</v>
      </c>
      <c r="AE51" s="61">
        <f t="shared" si="83"/>
        <v>-69.063618173487427</v>
      </c>
      <c r="AF51" s="31" t="str">
        <f t="shared" si="84"/>
        <v>-6627.51882264077</v>
      </c>
      <c r="AG51" s="31" t="str">
        <f t="shared" si="85"/>
        <v>134.332119880674i</v>
      </c>
      <c r="AH51" s="31">
        <f t="shared" si="86"/>
        <v>134.33211988067399</v>
      </c>
      <c r="AI51" s="31">
        <f t="shared" si="87"/>
        <v>1.5707963267948966</v>
      </c>
      <c r="AJ51" s="31" t="str">
        <f t="shared" si="67"/>
        <v>0.999997846495566+0.0655735526591516i</v>
      </c>
      <c r="AK51" s="31">
        <f t="shared" si="88"/>
        <v>1.0021454903376616</v>
      </c>
      <c r="AL51" s="31">
        <f t="shared" si="89"/>
        <v>6.5479948632099966E-2</v>
      </c>
      <c r="AM51" s="31" t="str">
        <f t="shared" si="68"/>
        <v>1+0.0779032262823993i</v>
      </c>
      <c r="AN51" s="31">
        <f t="shared" si="90"/>
        <v>1.0030298662877426</v>
      </c>
      <c r="AO51" s="31">
        <f t="shared" si="91"/>
        <v>7.7746201709213758E-2</v>
      </c>
      <c r="AP51" s="31" t="str">
        <f t="shared" si="69"/>
        <v>1+0.0628674321041553i</v>
      </c>
      <c r="AQ51" s="31">
        <f t="shared" si="92"/>
        <v>1.0019742082605574</v>
      </c>
      <c r="AR51" s="31">
        <f t="shared" si="93"/>
        <v>6.2784804014698867E-2</v>
      </c>
      <c r="AS51" s="58" t="str">
        <f t="shared" si="94"/>
        <v>-3.70987915990779+49.3385594945624i</v>
      </c>
      <c r="AT51" s="49">
        <f t="shared" si="95"/>
        <v>33.888214646452113</v>
      </c>
      <c r="AU51" s="61">
        <f t="shared" si="96"/>
        <v>94.300108819356254</v>
      </c>
      <c r="AV51" s="58" t="str">
        <f t="shared" si="70"/>
        <v>8861.62270183981+4176.8587042449i</v>
      </c>
      <c r="AW51" s="64">
        <f t="shared" si="97"/>
        <v>79.821558833355638</v>
      </c>
      <c r="AX51" s="61">
        <f t="shared" si="98"/>
        <v>25.236490645868827</v>
      </c>
    </row>
    <row r="52" spans="1:50" x14ac:dyDescent="0.35">
      <c r="A52" s="31" t="s">
        <v>204</v>
      </c>
      <c r="B52" s="1">
        <f>(R_cs*VIN_var*Acs*(1-Dc_var_ccm))/Lm</f>
        <v>689.98793727382395</v>
      </c>
      <c r="C52" s="31" t="s">
        <v>144</v>
      </c>
      <c r="E52" s="31" t="s">
        <v>203</v>
      </c>
      <c r="N52" s="10">
        <v>34</v>
      </c>
      <c r="O52" s="50">
        <f t="shared" si="71"/>
        <v>21.877616239495538</v>
      </c>
      <c r="P52" s="48" t="str">
        <f t="shared" si="72"/>
        <v>547.187404092767</v>
      </c>
      <c r="Q52" s="17" t="str">
        <f t="shared" si="63"/>
        <v>1+2.6362748106415i</v>
      </c>
      <c r="R52" s="17">
        <f t="shared" si="73"/>
        <v>2.819564660940209</v>
      </c>
      <c r="S52" s="17">
        <f t="shared" si="74"/>
        <v>1.2082409167352084</v>
      </c>
      <c r="T52" s="17" t="str">
        <f t="shared" si="64"/>
        <v>1+0.0000498834269104927i</v>
      </c>
      <c r="U52" s="17">
        <f t="shared" si="75"/>
        <v>1.0000000012441781</v>
      </c>
      <c r="V52" s="17">
        <f t="shared" si="76"/>
        <v>4.9883426869116785E-5</v>
      </c>
      <c r="W52" s="31" t="str">
        <f t="shared" si="65"/>
        <v>1-0.000866238076096072i</v>
      </c>
      <c r="X52" s="17">
        <f t="shared" si="77"/>
        <v>1.000000375184132</v>
      </c>
      <c r="Y52" s="17">
        <f t="shared" si="78"/>
        <v>-8.6623785943027516E-4</v>
      </c>
      <c r="Z52" s="31" t="str">
        <f t="shared" si="66"/>
        <v>0.999999841775176+0.00414466005743291i</v>
      </c>
      <c r="AA52" s="17">
        <f t="shared" si="79"/>
        <v>1.0000084308431447</v>
      </c>
      <c r="AB52" s="17">
        <f t="shared" si="80"/>
        <v>4.1446369808450052E-3</v>
      </c>
      <c r="AC52" s="66" t="str">
        <f t="shared" si="81"/>
        <v>67.9275074455177-181.790135842346i</v>
      </c>
      <c r="AD52" s="64">
        <f t="shared" si="82"/>
        <v>45.75901069955875</v>
      </c>
      <c r="AE52" s="61">
        <f t="shared" si="83"/>
        <v>-69.511349034133787</v>
      </c>
      <c r="AF52" s="31" t="str">
        <f t="shared" si="84"/>
        <v>-6627.51882264077</v>
      </c>
      <c r="AG52" s="31" t="str">
        <f t="shared" si="85"/>
        <v>137.461116912112i</v>
      </c>
      <c r="AH52" s="31">
        <f t="shared" si="86"/>
        <v>137.461116912112</v>
      </c>
      <c r="AI52" s="31">
        <f t="shared" si="87"/>
        <v>1.5707963267948966</v>
      </c>
      <c r="AJ52" s="31" t="str">
        <f t="shared" si="67"/>
        <v>0.999997745004029+0.0671009569150629i</v>
      </c>
      <c r="AK52" s="31">
        <f t="shared" si="88"/>
        <v>1.0022464908554483</v>
      </c>
      <c r="AL52" s="31">
        <f t="shared" si="89"/>
        <v>6.700067053102024E-2</v>
      </c>
      <c r="AM52" s="31" t="str">
        <f t="shared" si="68"/>
        <v>1+0.0797178255308412i</v>
      </c>
      <c r="AN52" s="31">
        <f t="shared" si="90"/>
        <v>1.0031724336859369</v>
      </c>
      <c r="AO52" s="31">
        <f t="shared" si="91"/>
        <v>7.9549599393484202E-2</v>
      </c>
      <c r="AP52" s="31" t="str">
        <f t="shared" si="69"/>
        <v>1+0.0643318027148683i</v>
      </c>
      <c r="AQ52" s="31">
        <f t="shared" si="92"/>
        <v>1.0020671538577366</v>
      </c>
      <c r="AR52" s="31">
        <f t="shared" si="93"/>
        <v>6.4243274983233414E-2</v>
      </c>
      <c r="AS52" s="58" t="str">
        <f t="shared" si="94"/>
        <v>-3.70987416487046+48.2155568181549i</v>
      </c>
      <c r="AT52" s="49">
        <f t="shared" si="95"/>
        <v>33.689379472870129</v>
      </c>
      <c r="AU52" s="61">
        <f t="shared" si="96"/>
        <v>94.399869179866755</v>
      </c>
      <c r="AV52" s="58" t="str">
        <f t="shared" si="70"/>
        <v>8513.11011873056+3949.58112314481i</v>
      </c>
      <c r="AW52" s="64">
        <f t="shared" si="97"/>
        <v>79.448390172428873</v>
      </c>
      <c r="AX52" s="61">
        <f t="shared" si="98"/>
        <v>24.888520145732965</v>
      </c>
    </row>
    <row r="53" spans="1:50" x14ac:dyDescent="0.35">
      <c r="A53" s="31" t="s">
        <v>507</v>
      </c>
      <c r="B53" s="1">
        <f>1+(B51/B52)</f>
        <v>7.3753288461538453</v>
      </c>
      <c r="N53" s="10">
        <v>35</v>
      </c>
      <c r="O53" s="50">
        <f t="shared" si="71"/>
        <v>22.387211385683404</v>
      </c>
      <c r="P53" s="48" t="str">
        <f t="shared" si="72"/>
        <v>547.187404092767</v>
      </c>
      <c r="Q53" s="17" t="str">
        <f t="shared" si="63"/>
        <v>1+2.69768153945573i</v>
      </c>
      <c r="R53" s="17">
        <f t="shared" si="73"/>
        <v>2.8770619889603073</v>
      </c>
      <c r="S53" s="17">
        <f t="shared" si="74"/>
        <v>1.2158107939040732</v>
      </c>
      <c r="T53" s="17" t="str">
        <f t="shared" si="64"/>
        <v>1+0.0000510453611884565i</v>
      </c>
      <c r="U53" s="17">
        <f t="shared" si="75"/>
        <v>1.0000000013028143</v>
      </c>
      <c r="V53" s="17">
        <f t="shared" si="76"/>
        <v>5.1045361144121413E-5</v>
      </c>
      <c r="W53" s="31" t="str">
        <f t="shared" si="65"/>
        <v>1-0.000886415352915876i</v>
      </c>
      <c r="X53" s="17">
        <f t="shared" si="77"/>
        <v>1.0000003928660117</v>
      </c>
      <c r="Y53" s="17">
        <f t="shared" si="78"/>
        <v>-8.8641512075429685E-4</v>
      </c>
      <c r="Z53" s="31" t="str">
        <f t="shared" si="66"/>
        <v>0.99999983431827+0.00424120159215705i</v>
      </c>
      <c r="AA53" s="17">
        <f t="shared" si="79"/>
        <v>1.0000088281747881</v>
      </c>
      <c r="AB53" s="17">
        <f t="shared" si="80"/>
        <v>4.2411768651593991E-3</v>
      </c>
      <c r="AC53" s="66" t="str">
        <f t="shared" si="81"/>
        <v>65.1988023824161-178.663392591821i</v>
      </c>
      <c r="AD53" s="64">
        <f t="shared" si="82"/>
        <v>45.583664191016197</v>
      </c>
      <c r="AE53" s="61">
        <f t="shared" si="83"/>
        <v>-69.951691873254006</v>
      </c>
      <c r="AF53" s="31" t="str">
        <f t="shared" si="84"/>
        <v>-6627.51882264077</v>
      </c>
      <c r="AG53" s="31" t="str">
        <f t="shared" si="85"/>
        <v>140.66299764725i</v>
      </c>
      <c r="AH53" s="31">
        <f t="shared" si="86"/>
        <v>140.66299764724999</v>
      </c>
      <c r="AI53" s="31">
        <f t="shared" si="87"/>
        <v>1.5707963267948966</v>
      </c>
      <c r="AJ53" s="31" t="str">
        <f t="shared" si="67"/>
        <v>0.999997638729343+0.0686639389865166i</v>
      </c>
      <c r="AK53" s="31">
        <f t="shared" si="88"/>
        <v>1.0023522404730811</v>
      </c>
      <c r="AL53" s="31">
        <f t="shared" si="89"/>
        <v>6.8556493804997912E-2</v>
      </c>
      <c r="AM53" s="31" t="str">
        <f t="shared" si="68"/>
        <v>1+0.0815746922255697i</v>
      </c>
      <c r="AN53" s="31">
        <f t="shared" si="90"/>
        <v>1.0033216983658315</v>
      </c>
      <c r="AO53" s="31">
        <f t="shared" si="91"/>
        <v>8.1394466887438427E-2</v>
      </c>
      <c r="AP53" s="31" t="str">
        <f t="shared" si="69"/>
        <v>1+0.0658302828989129i</v>
      </c>
      <c r="AQ53" s="31">
        <f t="shared" si="92"/>
        <v>1.0021644706067716</v>
      </c>
      <c r="AR53" s="31">
        <f t="shared" si="93"/>
        <v>6.5735434787057276E-2</v>
      </c>
      <c r="AS53" s="58" t="str">
        <f t="shared" si="94"/>
        <v>-3.70986893658169+47.1181186367451i</v>
      </c>
      <c r="AT53" s="49">
        <f t="shared" si="95"/>
        <v>33.49059884876511</v>
      </c>
      <c r="AU53" s="61">
        <f t="shared" si="96"/>
        <v>94.501924652882224</v>
      </c>
      <c r="AV53" s="58" t="str">
        <f t="shared" si="70"/>
        <v>8176.40391652393+3734.86267590908i</v>
      </c>
      <c r="AW53" s="64">
        <f t="shared" si="97"/>
        <v>79.0742630397813</v>
      </c>
      <c r="AX53" s="61">
        <f t="shared" si="98"/>
        <v>24.55023277962826</v>
      </c>
    </row>
    <row r="54" spans="1:50" x14ac:dyDescent="0.35">
      <c r="A54" s="31" t="s">
        <v>199</v>
      </c>
      <c r="B54" s="1">
        <f>2*PI()*Fsw</f>
        <v>691150.38378975447</v>
      </c>
      <c r="C54" s="31" t="s">
        <v>205</v>
      </c>
      <c r="N54" s="10">
        <v>36</v>
      </c>
      <c r="O54" s="50">
        <f t="shared" si="71"/>
        <v>22.908676527677727</v>
      </c>
      <c r="P54" s="48" t="str">
        <f t="shared" si="72"/>
        <v>547.187404092767</v>
      </c>
      <c r="Q54" s="17" t="str">
        <f t="shared" si="63"/>
        <v>1+2.7605186147302i</v>
      </c>
      <c r="R54" s="17">
        <f t="shared" si="73"/>
        <v>2.9360625031276055</v>
      </c>
      <c r="S54" s="17">
        <f t="shared" si="74"/>
        <v>1.2232496379221149</v>
      </c>
      <c r="T54" s="17" t="str">
        <f t="shared" si="64"/>
        <v>1+0.0000522343603925875i</v>
      </c>
      <c r="U54" s="17">
        <f t="shared" si="75"/>
        <v>1.0000000013642141</v>
      </c>
      <c r="V54" s="17">
        <f t="shared" si="76"/>
        <v>5.2234360345081595E-5</v>
      </c>
      <c r="W54" s="31" t="str">
        <f t="shared" si="65"/>
        <v>1-0.000907062618888886i</v>
      </c>
      <c r="X54" s="17">
        <f t="shared" si="77"/>
        <v>1.0000004113812127</v>
      </c>
      <c r="Y54" s="17">
        <f t="shared" si="78"/>
        <v>-9.0706237012327755E-4</v>
      </c>
      <c r="Z54" s="31" t="str">
        <f t="shared" si="66"/>
        <v>0.99999982650993+0.00433999186810428i</v>
      </c>
      <c r="AA54" s="17">
        <f t="shared" si="79"/>
        <v>1.0000092442319246</v>
      </c>
      <c r="AB54" s="17">
        <f t="shared" si="80"/>
        <v>4.3399653726621653E-3</v>
      </c>
      <c r="AC54" s="66" t="str">
        <f t="shared" si="81"/>
        <v>62.5637448012385-175.550869748747i</v>
      </c>
      <c r="AD54" s="64">
        <f t="shared" si="82"/>
        <v>45.407339191176419</v>
      </c>
      <c r="AE54" s="61">
        <f t="shared" si="83"/>
        <v>-70.384681280099656</v>
      </c>
      <c r="AF54" s="31" t="str">
        <f t="shared" si="84"/>
        <v>-6627.51882264077</v>
      </c>
      <c r="AG54" s="31" t="str">
        <f t="shared" si="85"/>
        <v>143.939459765635i</v>
      </c>
      <c r="AH54" s="31">
        <f t="shared" si="86"/>
        <v>143.93945976563501</v>
      </c>
      <c r="AI54" s="31">
        <f t="shared" si="87"/>
        <v>1.5707963267948966</v>
      </c>
      <c r="AJ54" s="31" t="str">
        <f t="shared" si="67"/>
        <v>0.999997527446086+0.0702633275872957i</v>
      </c>
      <c r="AK54" s="31">
        <f t="shared" si="88"/>
        <v>1.0024629619601542</v>
      </c>
      <c r="AL54" s="31">
        <f t="shared" si="89"/>
        <v>7.0148213272650292E-2</v>
      </c>
      <c r="AM54" s="31" t="str">
        <f t="shared" si="68"/>
        <v>1+0.0834748109018848i</v>
      </c>
      <c r="AN54" s="31">
        <f t="shared" si="90"/>
        <v>1.0034779738764101</v>
      </c>
      <c r="AO54" s="31">
        <f t="shared" si="91"/>
        <v>8.3281732103653708E-2</v>
      </c>
      <c r="AP54" s="31" t="str">
        <f t="shared" si="69"/>
        <v>1+0.0673636671703171i</v>
      </c>
      <c r="AQ54" s="31">
        <f t="shared" si="92"/>
        <v>1.0022663636252755</v>
      </c>
      <c r="AR54" s="31">
        <f t="shared" si="93"/>
        <v>6.7262047995237301E-2</v>
      </c>
      <c r="AS54" s="58" t="str">
        <f t="shared" si="94"/>
        <v>-3.7098634642553+46.0456630718561i</v>
      </c>
      <c r="AT54" s="49">
        <f t="shared" si="95"/>
        <v>33.291875311713255</v>
      </c>
      <c r="AU54" s="61">
        <f t="shared" si="96"/>
        <v>94.606326670705542</v>
      </c>
      <c r="AV54" s="58" t="str">
        <f t="shared" si="70"/>
        <v>7851.25324939699+3532.05887143053i</v>
      </c>
      <c r="AW54" s="64">
        <f t="shared" si="97"/>
        <v>78.699214502889674</v>
      </c>
      <c r="AX54" s="61">
        <f t="shared" si="98"/>
        <v>24.221645390605879</v>
      </c>
    </row>
    <row r="55" spans="1:50" x14ac:dyDescent="0.35">
      <c r="A55" s="31" t="s">
        <v>200</v>
      </c>
      <c r="B55" s="1">
        <f>1/(PI()*(((1-Dc_var_ccm)*mc)-0.5))</f>
        <v>9.5972850657497069E-2</v>
      </c>
      <c r="N55" s="10">
        <v>37</v>
      </c>
      <c r="O55" s="50">
        <f t="shared" si="71"/>
        <v>23.442288153199236</v>
      </c>
      <c r="P55" s="48" t="str">
        <f t="shared" si="72"/>
        <v>547.187404092767</v>
      </c>
      <c r="Q55" s="17" t="str">
        <f t="shared" si="63"/>
        <v>1+2.82481935351399i</v>
      </c>
      <c r="R55" s="17">
        <f t="shared" si="73"/>
        <v>2.9965988019731964</v>
      </c>
      <c r="S55" s="17">
        <f t="shared" si="74"/>
        <v>1.2305580988719085</v>
      </c>
      <c r="T55" s="17" t="str">
        <f t="shared" si="64"/>
        <v>1+0.0000534510549460022i</v>
      </c>
      <c r="U55" s="17">
        <f t="shared" si="75"/>
        <v>1.0000000014285075</v>
      </c>
      <c r="V55" s="17">
        <f t="shared" si="76"/>
        <v>5.3451054895098707E-5</v>
      </c>
      <c r="W55" s="31" t="str">
        <f t="shared" si="65"/>
        <v>1-0.000928190821468827i</v>
      </c>
      <c r="X55" s="17">
        <f t="shared" si="77"/>
        <v>1.0000004307690078</v>
      </c>
      <c r="Y55" s="17">
        <f t="shared" si="78"/>
        <v>-9.2819055491168124E-4</v>
      </c>
      <c r="Z55" s="31" t="str">
        <f t="shared" si="66"/>
        <v>0.999999818333595+0.00444108326518658i</v>
      </c>
      <c r="AA55" s="17">
        <f t="shared" si="79"/>
        <v>1.0000096798970455</v>
      </c>
      <c r="AB55" s="17">
        <f t="shared" si="80"/>
        <v>4.4410548748236951E-3</v>
      </c>
      <c r="AC55" s="66" t="str">
        <f t="shared" si="81"/>
        <v>60.020247194785-172.455051005459i</v>
      </c>
      <c r="AD55" s="64">
        <f t="shared" si="82"/>
        <v>45.230069477708739</v>
      </c>
      <c r="AE55" s="61">
        <f t="shared" si="83"/>
        <v>-70.810358093440357</v>
      </c>
      <c r="AF55" s="31" t="str">
        <f t="shared" si="84"/>
        <v>-6627.51882264077</v>
      </c>
      <c r="AG55" s="31" t="str">
        <f t="shared" si="85"/>
        <v>147.292240490852i</v>
      </c>
      <c r="AH55" s="31">
        <f t="shared" si="86"/>
        <v>147.29224049085201</v>
      </c>
      <c r="AI55" s="31">
        <f t="shared" si="87"/>
        <v>1.5707963267948966</v>
      </c>
      <c r="AJ55" s="31" t="str">
        <f t="shared" si="67"/>
        <v>0.99999741091821+0.0718999707344067i</v>
      </c>
      <c r="AK55" s="31">
        <f t="shared" si="88"/>
        <v>1.0025788884844582</v>
      </c>
      <c r="AL55" s="31">
        <f t="shared" si="89"/>
        <v>7.1776640653443385E-2</v>
      </c>
      <c r="AM55" s="31" t="str">
        <f t="shared" si="68"/>
        <v>1+0.0854191890278599i</v>
      </c>
      <c r="AN55" s="31">
        <f t="shared" si="90"/>
        <v>1.0036415883442542</v>
      </c>
      <c r="AO55" s="31">
        <f t="shared" si="91"/>
        <v>8.5212341889155913E-2</v>
      </c>
      <c r="AP55" s="31" t="str">
        <f t="shared" si="69"/>
        <v>1+0.0689327685497186i</v>
      </c>
      <c r="AQ55" s="31">
        <f t="shared" si="92"/>
        <v>1.002373047612479</v>
      </c>
      <c r="AR55" s="31">
        <f t="shared" si="93"/>
        <v>6.8823895559522411E-2</v>
      </c>
      <c r="AS55" s="58" t="str">
        <f t="shared" si="94"/>
        <v>-3.70985773661653+44.997621490968i</v>
      </c>
      <c r="AT55" s="49">
        <f t="shared" si="95"/>
        <v>33.093211515707232</v>
      </c>
      <c r="AU55" s="61">
        <f t="shared" si="96"/>
        <v>94.713127720814811</v>
      </c>
      <c r="AV55" s="58" t="str">
        <f t="shared" si="70"/>
        <v>7537.40053094002+3340.55207025647i</v>
      </c>
      <c r="AW55" s="64">
        <f t="shared" si="97"/>
        <v>78.323280993415963</v>
      </c>
      <c r="AX55" s="61">
        <f t="shared" si="98"/>
        <v>23.90276962737444</v>
      </c>
    </row>
    <row r="56" spans="1:50" x14ac:dyDescent="0.35">
      <c r="N56" s="10">
        <v>38</v>
      </c>
      <c r="O56" s="50">
        <f t="shared" si="71"/>
        <v>23.988329190194907</v>
      </c>
      <c r="P56" s="48" t="str">
        <f t="shared" si="72"/>
        <v>547.187404092767</v>
      </c>
      <c r="Q56" s="17" t="str">
        <f t="shared" si="63"/>
        <v>1+2.89061784890991i</v>
      </c>
      <c r="R56" s="17">
        <f t="shared" si="73"/>
        <v>3.0587042270276079</v>
      </c>
      <c r="S56" s="17">
        <f t="shared" si="74"/>
        <v>1.2377369278668455</v>
      </c>
      <c r="T56" s="17" t="str">
        <f t="shared" si="64"/>
        <v>1+0.0000546960899562575i</v>
      </c>
      <c r="U56" s="17">
        <f t="shared" si="75"/>
        <v>1.000000001495831</v>
      </c>
      <c r="V56" s="17">
        <f t="shared" si="76"/>
        <v>5.4696089901713426E-5</v>
      </c>
      <c r="W56" s="31" t="str">
        <f t="shared" si="65"/>
        <v>1-0.000949811163108364i</v>
      </c>
      <c r="X56" s="17">
        <f t="shared" si="77"/>
        <v>1.0000004510705209</v>
      </c>
      <c r="Y56" s="17">
        <f t="shared" si="78"/>
        <v>-9.4981087748724339E-4</v>
      </c>
      <c r="Z56" s="31" t="str">
        <f t="shared" si="66"/>
        <v>0.999999809771921+0.00454452938340074i</v>
      </c>
      <c r="AA56" s="17">
        <f t="shared" si="79"/>
        <v>1.0000101360942273</v>
      </c>
      <c r="AB56" s="17">
        <f t="shared" si="80"/>
        <v>4.5444989625954774E-3</v>
      </c>
      <c r="AC56" s="66" t="str">
        <f t="shared" si="81"/>
        <v>57.5661771917571-169.378263910034i</v>
      </c>
      <c r="AD56" s="64">
        <f t="shared" si="82"/>
        <v>45.051888057904804</v>
      </c>
      <c r="AE56" s="61">
        <f t="shared" si="83"/>
        <v>-71.228769024325345</v>
      </c>
      <c r="AF56" s="31" t="str">
        <f t="shared" si="84"/>
        <v>-6627.51882264077</v>
      </c>
      <c r="AG56" s="31" t="str">
        <f t="shared" si="85"/>
        <v>150.72311751162i</v>
      </c>
      <c r="AH56" s="31">
        <f t="shared" si="86"/>
        <v>150.72311751161999</v>
      </c>
      <c r="AI56" s="31">
        <f t="shared" si="87"/>
        <v>1.5707963267948966</v>
      </c>
      <c r="AJ56" s="31" t="str">
        <f t="shared" si="67"/>
        <v>0.999997288898544+0.0735747361977097i</v>
      </c>
      <c r="AK56" s="31">
        <f t="shared" si="88"/>
        <v>1.0027002640924159</v>
      </c>
      <c r="AL56" s="31">
        <f t="shared" si="89"/>
        <v>7.3442604848142343E-2</v>
      </c>
      <c r="AM56" s="31" t="str">
        <f t="shared" si="68"/>
        <v>1+0.0874088575385138i</v>
      </c>
      <c r="AN56" s="31">
        <f t="shared" si="90"/>
        <v>1.0038128851415429</v>
      </c>
      <c r="AO56" s="31">
        <f t="shared" si="91"/>
        <v>8.7187262279822264E-2</v>
      </c>
      <c r="AP56" s="31" t="str">
        <f t="shared" si="69"/>
        <v>1+0.0705384189954381i</v>
      </c>
      <c r="AQ56" s="31">
        <f t="shared" si="92"/>
        <v>1.0024847472926339</v>
      </c>
      <c r="AR56" s="31">
        <f t="shared" si="93"/>
        <v>7.0421775095660707E-2</v>
      </c>
      <c r="AS56" s="58" t="str">
        <f t="shared" si="94"/>
        <v>-3.70985174188083+43.973438206011i</v>
      </c>
      <c r="AT56" s="49">
        <f t="shared" si="95"/>
        <v>32.894610236341315</v>
      </c>
      <c r="AU56" s="61">
        <f t="shared" si="96"/>
        <v>94.822381360489217</v>
      </c>
      <c r="AV56" s="58" t="str">
        <f t="shared" si="70"/>
        <v>7234.58263876104+3159.7509829014i</v>
      </c>
      <c r="AW56" s="64">
        <f t="shared" si="97"/>
        <v>77.946498294246112</v>
      </c>
      <c r="AX56" s="61">
        <f t="shared" si="98"/>
        <v>23.593612336163886</v>
      </c>
    </row>
    <row r="57" spans="1:50" x14ac:dyDescent="0.35">
      <c r="N57" s="10">
        <v>39</v>
      </c>
      <c r="O57" s="50">
        <f t="shared" si="71"/>
        <v>24.547089156850316</v>
      </c>
      <c r="P57" s="48" t="str">
        <f t="shared" si="72"/>
        <v>547.187404092767</v>
      </c>
      <c r="Q57" s="17" t="str">
        <f t="shared" si="63"/>
        <v>1+2.95794898815117i</v>
      </c>
      <c r="R57" s="17">
        <f t="shared" si="73"/>
        <v>3.122412883733432</v>
      </c>
      <c r="S57" s="17">
        <f t="shared" si="74"/>
        <v>1.244786970558607</v>
      </c>
      <c r="T57" s="17" t="str">
        <f t="shared" si="64"/>
        <v>1+0.0000559701255573959i</v>
      </c>
      <c r="U57" s="17">
        <f t="shared" si="75"/>
        <v>1.0000000015663275</v>
      </c>
      <c r="V57" s="17">
        <f t="shared" si="76"/>
        <v>5.5970125498950873E-5</v>
      </c>
      <c r="W57" s="31" t="str">
        <f t="shared" si="65"/>
        <v>1-0.000971935107198819i</v>
      </c>
      <c r="X57" s="17">
        <f t="shared" si="77"/>
        <v>1.0000004723288147</v>
      </c>
      <c r="Y57" s="17">
        <f t="shared" si="78"/>
        <v>-9.71934801150282E-4</v>
      </c>
      <c r="Z57" s="31" t="str">
        <f t="shared" si="66"/>
        <v>0.999999800806748+0.00465038507124794i</v>
      </c>
      <c r="AA57" s="17">
        <f t="shared" si="79"/>
        <v>1.0000106137910969</v>
      </c>
      <c r="AB57" s="17">
        <f t="shared" si="80"/>
        <v>4.6503524747865035E-3</v>
      </c>
      <c r="AC57" s="66" t="str">
        <f t="shared" si="81"/>
        <v>55.1993667574203-166.322683066279i</v>
      </c>
      <c r="AD57" s="64">
        <f t="shared" si="82"/>
        <v>44.87282715399067</v>
      </c>
      <c r="AE57" s="61">
        <f t="shared" si="83"/>
        <v>-71.639966286034962</v>
      </c>
      <c r="AF57" s="31" t="str">
        <f t="shared" si="84"/>
        <v>-6627.51882264077</v>
      </c>
      <c r="AG57" s="31" t="str">
        <f t="shared" si="85"/>
        <v>154.233909924349i</v>
      </c>
      <c r="AH57" s="31">
        <f t="shared" si="86"/>
        <v>154.23390992434901</v>
      </c>
      <c r="AI57" s="31">
        <f t="shared" si="87"/>
        <v>1.5707963267948966</v>
      </c>
      <c r="AJ57" s="31" t="str">
        <f t="shared" si="67"/>
        <v>0.999997161128269+0.0752885119600215i</v>
      </c>
      <c r="AK57" s="31">
        <f t="shared" si="88"/>
        <v>1.0028273442112314</v>
      </c>
      <c r="AL57" s="31">
        <f t="shared" si="89"/>
        <v>7.5146952217953727E-2</v>
      </c>
      <c r="AM57" s="31" t="str">
        <f t="shared" si="68"/>
        <v>1+0.0894448713824278i</v>
      </c>
      <c r="AN57" s="31">
        <f t="shared" si="90"/>
        <v>1.0039922235837382</v>
      </c>
      <c r="AO57" s="31">
        <f t="shared" si="91"/>
        <v>8.9207478747963587E-2</v>
      </c>
      <c r="AP57" s="31" t="str">
        <f t="shared" si="69"/>
        <v>1+0.0721814698445952i</v>
      </c>
      <c r="AQ57" s="31">
        <f t="shared" si="92"/>
        <v>1.0026016978785375</v>
      </c>
      <c r="AR57" s="31">
        <f t="shared" si="93"/>
        <v>7.2056501164307826E-2</v>
      </c>
      <c r="AS57" s="58" t="str">
        <f t="shared" si="94"/>
        <v>-3.70984546773188+42.9725701787206i</v>
      </c>
      <c r="AT57" s="49">
        <f t="shared" si="95"/>
        <v>32.696074376212422</v>
      </c>
      <c r="AU57" s="61">
        <f t="shared" si="96"/>
        <v>94.934142231095606</v>
      </c>
      <c r="AV57" s="58" t="str">
        <f t="shared" si="70"/>
        <v>6942.53204979209+2989.09011375862i</v>
      </c>
      <c r="AW57" s="64">
        <f t="shared" si="97"/>
        <v>77.568901530203092</v>
      </c>
      <c r="AX57" s="61">
        <f t="shared" si="98"/>
        <v>23.294175945060655</v>
      </c>
    </row>
    <row r="58" spans="1:50" x14ac:dyDescent="0.35">
      <c r="N58" s="10">
        <v>40</v>
      </c>
      <c r="O58" s="50">
        <f t="shared" si="71"/>
        <v>25.118864315095799</v>
      </c>
      <c r="P58" s="48" t="str">
        <f t="shared" si="72"/>
        <v>547.187404092767</v>
      </c>
      <c r="Q58" s="17" t="str">
        <f t="shared" si="63"/>
        <v>1+3.02684847109905i</v>
      </c>
      <c r="R58" s="17">
        <f t="shared" si="73"/>
        <v>3.1877596626776397</v>
      </c>
      <c r="S58" s="17">
        <f t="shared" si="74"/>
        <v>1.2517091607878512</v>
      </c>
      <c r="T58" s="17" t="str">
        <f t="shared" si="64"/>
        <v>1+0.0000572738372599574i</v>
      </c>
      <c r="U58" s="17">
        <f t="shared" si="75"/>
        <v>1.0000000016401462</v>
      </c>
      <c r="V58" s="17">
        <f t="shared" si="76"/>
        <v>5.727383719733242E-5</v>
      </c>
      <c r="W58" s="31" t="str">
        <f t="shared" si="65"/>
        <v>1-0.000994574384148199i</v>
      </c>
      <c r="X58" s="17">
        <f t="shared" si="77"/>
        <v>1.0000004945889804</v>
      </c>
      <c r="Y58" s="17">
        <f t="shared" si="78"/>
        <v>-9.9457405621129194E-4</v>
      </c>
      <c r="Z58" s="31" t="str">
        <f t="shared" si="66"/>
        <v>0.99999979141906+0.00475870645481508i</v>
      </c>
      <c r="AA58" s="17">
        <f t="shared" si="79"/>
        <v>1.0000111140008827</v>
      </c>
      <c r="AB58" s="17">
        <f t="shared" si="80"/>
        <v>4.7586715270983284E-3</v>
      </c>
      <c r="AC58" s="66" t="str">
        <f t="shared" si="81"/>
        <v>52.9176208275481-163.290333743659i</v>
      </c>
      <c r="AD58" s="64">
        <f t="shared" si="82"/>
        <v>44.692918191691014</v>
      </c>
      <c r="AE58" s="61">
        <f t="shared" si="83"/>
        <v>-72.044007232284059</v>
      </c>
      <c r="AF58" s="31" t="str">
        <f t="shared" si="84"/>
        <v>-6627.51882264077</v>
      </c>
      <c r="AG58" s="31" t="str">
        <f t="shared" si="85"/>
        <v>157.826479197648i</v>
      </c>
      <c r="AH58" s="31">
        <f t="shared" si="86"/>
        <v>157.82647919764801</v>
      </c>
      <c r="AI58" s="31">
        <f t="shared" si="87"/>
        <v>1.5707963267948966</v>
      </c>
      <c r="AJ58" s="31" t="str">
        <f t="shared" si="67"/>
        <v>0.999997027336366+0.0770422066879357i</v>
      </c>
      <c r="AK58" s="31">
        <f t="shared" si="88"/>
        <v>1.002960396173705</v>
      </c>
      <c r="AL58" s="31">
        <f t="shared" si="89"/>
        <v>7.689054686179897E-2</v>
      </c>
      <c r="AM58" s="31" t="str">
        <f t="shared" si="68"/>
        <v>1+0.0915283100810921i</v>
      </c>
      <c r="AN58" s="31">
        <f t="shared" si="90"/>
        <v>1.004179979658179</v>
      </c>
      <c r="AO58" s="31">
        <f t="shared" si="91"/>
        <v>9.1273996442080188E-2</v>
      </c>
      <c r="AP58" s="31" t="str">
        <f t="shared" si="69"/>
        <v>1+0.0738627922644992i</v>
      </c>
      <c r="AQ58" s="31">
        <f t="shared" si="92"/>
        <v>1.0027241455560489</v>
      </c>
      <c r="AR58" s="31">
        <f t="shared" si="93"/>
        <v>7.3728905551042612E-2</v>
      </c>
      <c r="AS58" s="58" t="str">
        <f t="shared" si="94"/>
        <v>-3.70983890129882+41.994486732698i</v>
      </c>
      <c r="AT58" s="49">
        <f t="shared" si="95"/>
        <v>32.49760697054446</v>
      </c>
      <c r="AU58" s="61">
        <f t="shared" si="96"/>
        <v>95.048466071982716</v>
      </c>
      <c r="AV58" s="58" t="str">
        <f t="shared" si="70"/>
        <v>6660.9779056657+2828.02915809671i</v>
      </c>
      <c r="AW58" s="64">
        <f t="shared" si="97"/>
        <v>77.190525162235474</v>
      </c>
      <c r="AX58" s="61">
        <f t="shared" si="98"/>
        <v>23.0044588396987</v>
      </c>
    </row>
    <row r="59" spans="1:50" x14ac:dyDescent="0.35">
      <c r="N59" s="10">
        <v>41</v>
      </c>
      <c r="O59" s="50">
        <f t="shared" si="71"/>
        <v>25.703957827688647</v>
      </c>
      <c r="P59" s="48" t="str">
        <f t="shared" si="72"/>
        <v>547.187404092767</v>
      </c>
      <c r="Q59" s="17" t="str">
        <f t="shared" si="63"/>
        <v>1+3.09735282917137i</v>
      </c>
      <c r="R59" s="17">
        <f t="shared" si="73"/>
        <v>3.2547802611506493</v>
      </c>
      <c r="S59" s="17">
        <f t="shared" si="74"/>
        <v>1.2585045143941016</v>
      </c>
      <c r="T59" s="17" t="str">
        <f t="shared" si="64"/>
        <v>1+0.0000586079163091426i</v>
      </c>
      <c r="U59" s="17">
        <f t="shared" si="75"/>
        <v>1.000000001717444</v>
      </c>
      <c r="V59" s="17">
        <f t="shared" si="76"/>
        <v>5.8607916242038725E-5</v>
      </c>
      <c r="W59" s="31" t="str">
        <f t="shared" si="65"/>
        <v>1-0.0010177409976008i</v>
      </c>
      <c r="X59" s="17">
        <f t="shared" si="77"/>
        <v>1.000000517898235</v>
      </c>
      <c r="Y59" s="17">
        <f t="shared" si="78"/>
        <v>-1.0177406462100831E-3</v>
      </c>
      <c r="Z59" s="31" t="str">
        <f t="shared" si="66"/>
        <v>0.999999781588943+0.00486955096753345i</v>
      </c>
      <c r="AA59" s="17">
        <f t="shared" si="79"/>
        <v>1.0000116377845605</v>
      </c>
      <c r="AB59" s="17">
        <f t="shared" si="80"/>
        <v>4.869513541834185E-3</v>
      </c>
      <c r="AC59" s="66" t="str">
        <f t="shared" si="81"/>
        <v>50.718725375563-160.283095838829i</v>
      </c>
      <c r="AD59" s="64">
        <f t="shared" si="82"/>
        <v>44.512191791839442</v>
      </c>
      <c r="AE59" s="61">
        <f t="shared" si="83"/>
        <v>-72.440954004592172</v>
      </c>
      <c r="AF59" s="31" t="str">
        <f t="shared" si="84"/>
        <v>-6627.51882264077</v>
      </c>
      <c r="AG59" s="31" t="str">
        <f t="shared" si="85"/>
        <v>161.502730159297i</v>
      </c>
      <c r="AH59" s="31">
        <f t="shared" si="86"/>
        <v>161.50273015929699</v>
      </c>
      <c r="AI59" s="31">
        <f t="shared" si="87"/>
        <v>1.5707963267948966</v>
      </c>
      <c r="AJ59" s="31" t="str">
        <f t="shared" si="67"/>
        <v>0.999996887239045+0.0788367502136101i</v>
      </c>
      <c r="AK59" s="31">
        <f t="shared" si="88"/>
        <v>1.0030996997666894</v>
      </c>
      <c r="AL59" s="31">
        <f t="shared" si="89"/>
        <v>7.8674270891111286E-2</v>
      </c>
      <c r="AM59" s="31" t="str">
        <f t="shared" si="68"/>
        <v>1+0.0936602783012812i</v>
      </c>
      <c r="AN59" s="31">
        <f t="shared" si="90"/>
        <v>1.0043765467848567</v>
      </c>
      <c r="AO59" s="31">
        <f t="shared" si="91"/>
        <v>9.3387840417720566E-2</v>
      </c>
      <c r="AP59" s="31" t="str">
        <f t="shared" si="69"/>
        <v>1+0.0755832777145509i</v>
      </c>
      <c r="AQ59" s="31">
        <f t="shared" si="92"/>
        <v>1.002852347990508</v>
      </c>
      <c r="AR59" s="31">
        <f t="shared" si="93"/>
        <v>7.543983754496196E-2</v>
      </c>
      <c r="AS59" s="58" t="str">
        <f t="shared" si="94"/>
        <v>-3.70983202913242+41.0386692720275i</v>
      </c>
      <c r="AT59" s="49">
        <f t="shared" si="95"/>
        <v>32.299211193044506</v>
      </c>
      <c r="AU59" s="61">
        <f t="shared" si="96"/>
        <v>95.165409733925841</v>
      </c>
      <c r="AV59" s="58" t="str">
        <f t="shared" si="70"/>
        <v>6389.64700815136+2676.05235925791i</v>
      </c>
      <c r="AW59" s="64">
        <f t="shared" si="97"/>
        <v>76.811402984883955</v>
      </c>
      <c r="AX59" s="61">
        <f t="shared" si="98"/>
        <v>22.724455729333684</v>
      </c>
    </row>
    <row r="60" spans="1:50" x14ac:dyDescent="0.35">
      <c r="N60" s="10">
        <v>42</v>
      </c>
      <c r="O60" s="50">
        <f t="shared" si="71"/>
        <v>26.302679918953825</v>
      </c>
      <c r="P60" s="48" t="str">
        <f t="shared" si="72"/>
        <v>547.187404092767</v>
      </c>
      <c r="Q60" s="17" t="str">
        <f t="shared" si="63"/>
        <v>1+3.16949944471202i</v>
      </c>
      <c r="R60" s="17">
        <f t="shared" si="73"/>
        <v>3.3235112050405071</v>
      </c>
      <c r="S60" s="17">
        <f t="shared" si="74"/>
        <v>1.265174123198455</v>
      </c>
      <c r="T60" s="17" t="str">
        <f t="shared" si="64"/>
        <v>1+0.0000599730700513224i</v>
      </c>
      <c r="U60" s="17">
        <f t="shared" si="75"/>
        <v>1.0000000017983846</v>
      </c>
      <c r="V60" s="17">
        <f t="shared" si="76"/>
        <v>5.9973069979419303E-5</v>
      </c>
      <c r="W60" s="31" t="str">
        <f t="shared" si="65"/>
        <v>1-0.00104144723080172i</v>
      </c>
      <c r="X60" s="17">
        <f t="shared" si="77"/>
        <v>1.0000005423060203</v>
      </c>
      <c r="Y60" s="17">
        <f t="shared" si="78"/>
        <v>-1.0414468542797942E-3</v>
      </c>
      <c r="Z60" s="31" t="str">
        <f t="shared" si="66"/>
        <v>0.999999771295547+0.00498297738063093i</v>
      </c>
      <c r="AA60" s="17">
        <f t="shared" si="79"/>
        <v>1.0000121862531086</v>
      </c>
      <c r="AB60" s="17">
        <f t="shared" si="80"/>
        <v>4.9829372782980467E-3</v>
      </c>
      <c r="AC60" s="66" t="str">
        <f t="shared" si="81"/>
        <v>48.6004549172108-157.30270813366i</v>
      </c>
      <c r="AD60" s="64">
        <f t="shared" si="82"/>
        <v>44.330677764827456</v>
      </c>
      <c r="AE60" s="61">
        <f t="shared" si="83"/>
        <v>-72.830873189603878</v>
      </c>
      <c r="AF60" s="31" t="str">
        <f t="shared" si="84"/>
        <v>-6627.51882264077</v>
      </c>
      <c r="AG60" s="31" t="str">
        <f t="shared" si="85"/>
        <v>165.264612006218i</v>
      </c>
      <c r="AH60" s="31">
        <f t="shared" si="86"/>
        <v>165.26461200621799</v>
      </c>
      <c r="AI60" s="31">
        <f t="shared" si="87"/>
        <v>1.5707963267948966</v>
      </c>
      <c r="AJ60" s="31" t="str">
        <f t="shared" si="67"/>
        <v>0.999996740539141+0.0806730940277754i</v>
      </c>
      <c r="AK60" s="31">
        <f t="shared" si="88"/>
        <v>1.0032455478041855</v>
      </c>
      <c r="AL60" s="31">
        <f t="shared" si="89"/>
        <v>8.0499024701497238E-2</v>
      </c>
      <c r="AM60" s="31" t="str">
        <f t="shared" si="68"/>
        <v>1+0.0958419064407661i</v>
      </c>
      <c r="AN60" s="31">
        <f t="shared" si="90"/>
        <v>1.0045823366106934</v>
      </c>
      <c r="AO60" s="31">
        <f t="shared" si="91"/>
        <v>9.5550055858292973E-2</v>
      </c>
      <c r="AP60" s="31" t="str">
        <f t="shared" si="69"/>
        <v>1+0.0773438384189099i</v>
      </c>
      <c r="AQ60" s="31">
        <f t="shared" si="92"/>
        <v>1.0029865748559998</v>
      </c>
      <c r="AR60" s="31">
        <f t="shared" si="93"/>
        <v>7.719016421529537E-2</v>
      </c>
      <c r="AS60" s="58" t="str">
        <f t="shared" si="94"/>
        <v>-3.70982483718074+40.1046110062929i</v>
      </c>
      <c r="AT60" s="49">
        <f t="shared" si="95"/>
        <v>32.100890361996932</v>
      </c>
      <c r="AU60" s="61">
        <f t="shared" si="96"/>
        <v>95.285031192062462</v>
      </c>
      <c r="AV60" s="58" t="str">
        <f t="shared" si="70"/>
        <v>6128.26474518671+2532.66783277366i</v>
      </c>
      <c r="AW60" s="64">
        <f t="shared" si="97"/>
        <v>76.431568126824402</v>
      </c>
      <c r="AX60" s="61">
        <f t="shared" si="98"/>
        <v>22.454158002458595</v>
      </c>
    </row>
    <row r="61" spans="1:50" ht="15.5" x14ac:dyDescent="0.35">
      <c r="A61" s="51" t="s">
        <v>215</v>
      </c>
      <c r="N61" s="10">
        <v>43</v>
      </c>
      <c r="O61" s="50">
        <f t="shared" si="71"/>
        <v>26.915348039269158</v>
      </c>
      <c r="P61" s="48" t="str">
        <f t="shared" si="72"/>
        <v>547.187404092767</v>
      </c>
      <c r="Q61" s="17" t="str">
        <f t="shared" si="63"/>
        <v>1+3.24332657081156i</v>
      </c>
      <c r="R61" s="17">
        <f t="shared" si="73"/>
        <v>3.3939898710709602</v>
      </c>
      <c r="S61" s="17">
        <f t="shared" si="74"/>
        <v>1.2717191491704374</v>
      </c>
      <c r="T61" s="17" t="str">
        <f t="shared" si="64"/>
        <v>1+0.0000613700223090811i</v>
      </c>
      <c r="U61" s="17">
        <f t="shared" si="75"/>
        <v>1.0000000018831399</v>
      </c>
      <c r="V61" s="17">
        <f t="shared" si="76"/>
        <v>6.1370022232035539E-5</v>
      </c>
      <c r="W61" s="31" t="str">
        <f t="shared" si="65"/>
        <v>1-0.0010657056531096i</v>
      </c>
      <c r="X61" s="17">
        <f t="shared" si="77"/>
        <v>1.0000005678641082</v>
      </c>
      <c r="Y61" s="17">
        <f t="shared" si="78"/>
        <v>-1.0657052496590999E-3</v>
      </c>
      <c r="Z61" s="31" t="str">
        <f t="shared" si="66"/>
        <v>0.999999760517038+0.00509904583429315i</v>
      </c>
      <c r="AA61" s="17">
        <f t="shared" si="79"/>
        <v>1.0000127605698605</v>
      </c>
      <c r="AB61" s="17">
        <f t="shared" si="80"/>
        <v>5.0990028638988926E-3</v>
      </c>
      <c r="AC61" s="66" t="str">
        <f t="shared" si="81"/>
        <v>46.5605794610257-154.350772798118i</v>
      </c>
      <c r="AD61" s="64">
        <f t="shared" si="82"/>
        <v>44.148405107689882</v>
      </c>
      <c r="AE61" s="61">
        <f t="shared" si="83"/>
        <v>-73.213835487008438</v>
      </c>
      <c r="AF61" s="31" t="str">
        <f t="shared" si="84"/>
        <v>-6627.51882264077</v>
      </c>
      <c r="AG61" s="31" t="str">
        <f t="shared" si="85"/>
        <v>169.114119337961i</v>
      </c>
      <c r="AH61" s="31">
        <f t="shared" si="86"/>
        <v>169.114119337961</v>
      </c>
      <c r="AI61" s="31">
        <f t="shared" si="87"/>
        <v>1.5707963267948966</v>
      </c>
      <c r="AJ61" s="31" t="str">
        <f t="shared" si="67"/>
        <v>0.999996586925483+0.0825522117842289i</v>
      </c>
      <c r="AK61" s="31">
        <f t="shared" si="88"/>
        <v>1.0033982467261358</v>
      </c>
      <c r="AL61" s="31">
        <f t="shared" si="89"/>
        <v>8.2365727240552841E-2</v>
      </c>
      <c r="AM61" s="31" t="str">
        <f t="shared" si="68"/>
        <v>1+0.0980743512276638i</v>
      </c>
      <c r="AN61" s="31">
        <f t="shared" si="90"/>
        <v>1.0047977798386734</v>
      </c>
      <c r="AO61" s="31">
        <f t="shared" si="91"/>
        <v>9.7761708284581472E-2</v>
      </c>
      <c r="AP61" s="31" t="str">
        <f t="shared" si="69"/>
        <v>1+0.0791454078501656i</v>
      </c>
      <c r="AQ61" s="31">
        <f t="shared" si="92"/>
        <v>1.0031271083884481</v>
      </c>
      <c r="AR61" s="31">
        <f t="shared" si="93"/>
        <v>7.8980770685409304E-2</v>
      </c>
      <c r="AS61" s="58" t="str">
        <f t="shared" si="94"/>
        <v>-3.70981731076345+39.1918166818582i</v>
      </c>
      <c r="AT61" s="49">
        <f t="shared" si="95"/>
        <v>31.902647946605477</v>
      </c>
      <c r="AU61" s="61">
        <f t="shared" si="96"/>
        <v>95.407389558250813</v>
      </c>
      <c r="AV61" s="58" t="str">
        <f t="shared" si="70"/>
        <v>5876.5559485233+2397.40686369379i</v>
      </c>
      <c r="AW61" s="64">
        <f t="shared" si="97"/>
        <v>76.051053054295352</v>
      </c>
      <c r="AX61" s="61">
        <f t="shared" si="98"/>
        <v>22.19355407124241</v>
      </c>
    </row>
    <row r="62" spans="1:50" x14ac:dyDescent="0.35">
      <c r="A62" s="31" t="s">
        <v>180</v>
      </c>
      <c r="N62" s="10">
        <v>44</v>
      </c>
      <c r="O62" s="50">
        <f t="shared" si="71"/>
        <v>27.542287033381665</v>
      </c>
      <c r="P62" s="48" t="str">
        <f t="shared" si="72"/>
        <v>547.187404092767</v>
      </c>
      <c r="Q62" s="17" t="str">
        <f t="shared" si="63"/>
        <v>1+3.31887335158945i</v>
      </c>
      <c r="R62" s="17">
        <f t="shared" si="73"/>
        <v>3.4662545093934729</v>
      </c>
      <c r="S62" s="17">
        <f t="shared" si="74"/>
        <v>1.2781408187882777</v>
      </c>
      <c r="T62" s="17" t="str">
        <f t="shared" si="64"/>
        <v>1+0.0000627995137649964i</v>
      </c>
      <c r="U62" s="17">
        <f t="shared" si="75"/>
        <v>1.0000000019718893</v>
      </c>
      <c r="V62" s="17">
        <f t="shared" si="76"/>
        <v>6.2799513682440598E-5</v>
      </c>
      <c r="W62" s="31" t="str">
        <f t="shared" si="65"/>
        <v>1-0.00109052912666104i</v>
      </c>
      <c r="X62" s="17">
        <f t="shared" si="77"/>
        <v>1.0000005946267112</v>
      </c>
      <c r="Y62" s="17">
        <f t="shared" si="78"/>
        <v>-1.0905286943560545E-3</v>
      </c>
      <c r="Z62" s="31" t="str">
        <f t="shared" si="66"/>
        <v>0.999999749230554+0.00521781786955057i</v>
      </c>
      <c r="AA62" s="17">
        <f t="shared" si="79"/>
        <v>1.0000133619529745</v>
      </c>
      <c r="AB62" s="17">
        <f t="shared" si="80"/>
        <v>5.2177718259767926E-3</v>
      </c>
      <c r="AC62" s="66" t="str">
        <f t="shared" si="81"/>
        <v>44.5968709161806-151.428760089838i</v>
      </c>
      <c r="AD62" s="64">
        <f t="shared" si="82"/>
        <v>43.965402003624888</v>
      </c>
      <c r="AE62" s="61">
        <f t="shared" si="83"/>
        <v>-73.589915388589489</v>
      </c>
      <c r="AF62" s="31" t="str">
        <f t="shared" si="84"/>
        <v>-6627.51882264077</v>
      </c>
      <c r="AG62" s="31" t="str">
        <f t="shared" si="85"/>
        <v>173.053293214267i</v>
      </c>
      <c r="AH62" s="31">
        <f t="shared" si="86"/>
        <v>173.053293214267</v>
      </c>
      <c r="AI62" s="31">
        <f t="shared" si="87"/>
        <v>1.5707963267948966</v>
      </c>
      <c r="AJ62" s="31" t="str">
        <f t="shared" si="67"/>
        <v>0.999996426072237+0.0844750998160781i</v>
      </c>
      <c r="AK62" s="31">
        <f t="shared" si="88"/>
        <v>1.0035581172240018</v>
      </c>
      <c r="AL62" s="31">
        <f t="shared" si="89"/>
        <v>8.427531627106237E-2</v>
      </c>
      <c r="AM62" s="31" t="str">
        <f t="shared" si="68"/>
        <v>1+0.10035879633375i</v>
      </c>
      <c r="AN62" s="31">
        <f t="shared" si="90"/>
        <v>1.0050233270932367</v>
      </c>
      <c r="AO62" s="31">
        <f t="shared" si="91"/>
        <v>0.1000238837516477</v>
      </c>
      <c r="AP62" s="31" t="str">
        <f t="shared" si="69"/>
        <v>1+0.0809889412242768i</v>
      </c>
      <c r="AQ62" s="31">
        <f t="shared" si="92"/>
        <v>1.0032742439635483</v>
      </c>
      <c r="AR62" s="31">
        <f t="shared" si="93"/>
        <v>8.0812560403541525E-2</v>
      </c>
      <c r="AS62" s="58" t="str">
        <f t="shared" si="94"/>
        <v>-3.70980943454536+38.2998023192596i</v>
      </c>
      <c r="AT62" s="49">
        <f t="shared" si="95"/>
        <v>31.704487573589088</v>
      </c>
      <c r="AU62" s="61">
        <f t="shared" si="96"/>
        <v>95.532545092783479</v>
      </c>
      <c r="AV62" s="58" t="str">
        <f t="shared" si="70"/>
        <v>5634.24568441533+2269.82318299004i</v>
      </c>
      <c r="AW62" s="64">
        <f t="shared" si="97"/>
        <v>75.669889577213979</v>
      </c>
      <c r="AX62" s="61">
        <f t="shared" si="98"/>
        <v>21.94262970419399</v>
      </c>
    </row>
    <row r="63" spans="1:50" x14ac:dyDescent="0.35">
      <c r="A63" s="31" t="s">
        <v>178</v>
      </c>
      <c r="B63" s="3">
        <f>RFBT_iso</f>
        <v>28700</v>
      </c>
      <c r="C63" s="2" t="s">
        <v>35</v>
      </c>
      <c r="E63" s="31" t="s">
        <v>181</v>
      </c>
      <c r="N63" s="10">
        <v>45</v>
      </c>
      <c r="O63" s="50">
        <f t="shared" si="71"/>
        <v>28.183829312644548</v>
      </c>
      <c r="P63" s="48" t="str">
        <f t="shared" si="72"/>
        <v>547.187404092767</v>
      </c>
      <c r="Q63" s="17" t="str">
        <f t="shared" si="63"/>
        <v>1+3.39617984294882i</v>
      </c>
      <c r="R63" s="17">
        <f t="shared" si="73"/>
        <v>3.5403442665441269</v>
      </c>
      <c r="S63" s="17">
        <f t="shared" si="74"/>
        <v>1.284440417599926</v>
      </c>
      <c r="T63" s="17" t="str">
        <f t="shared" si="64"/>
        <v>1+0.0000642623023543596i</v>
      </c>
      <c r="U63" s="17">
        <f t="shared" si="75"/>
        <v>1.0000000020648216</v>
      </c>
      <c r="V63" s="17">
        <f t="shared" si="76"/>
        <v>6.426230226589946E-5</v>
      </c>
      <c r="W63" s="31" t="str">
        <f t="shared" si="65"/>
        <v>1-0.00111593081319029i</v>
      </c>
      <c r="X63" s="17">
        <f t="shared" si="77"/>
        <v>1.000000622650596</v>
      </c>
      <c r="Y63" s="17">
        <f t="shared" si="78"/>
        <v>-1.1159303499671679E-3</v>
      </c>
      <c r="Z63" s="31" t="str">
        <f t="shared" si="66"/>
        <v>0.999999737412154+0.00533935646090839i</v>
      </c>
      <c r="AA63" s="17">
        <f t="shared" si="79"/>
        <v>1.0000139916780133</v>
      </c>
      <c r="AB63" s="17">
        <f t="shared" si="80"/>
        <v>5.3393071243674848E-3</v>
      </c>
      <c r="AC63" s="66" t="str">
        <f t="shared" si="81"/>
        <v>42.7071089721654-148.538013205859i</v>
      </c>
      <c r="AD63" s="64">
        <f t="shared" si="82"/>
        <v>43.781695823754305</v>
      </c>
      <c r="AE63" s="61">
        <f t="shared" si="83"/>
        <v>-73.959190868829182</v>
      </c>
      <c r="AF63" s="31" t="str">
        <f t="shared" si="84"/>
        <v>-6627.51882264077</v>
      </c>
      <c r="AG63" s="31" t="str">
        <f t="shared" si="85"/>
        <v>177.084222237266i</v>
      </c>
      <c r="AH63" s="31">
        <f t="shared" si="86"/>
        <v>177.084222237266</v>
      </c>
      <c r="AI63" s="31">
        <f t="shared" si="87"/>
        <v>1.5707963267948966</v>
      </c>
      <c r="AJ63" s="31" t="str">
        <f t="shared" si="67"/>
        <v>0.999996257638211+0.08644277766401i</v>
      </c>
      <c r="AK63" s="31">
        <f t="shared" si="88"/>
        <v>1.0037254948942449</v>
      </c>
      <c r="AL63" s="31">
        <f t="shared" si="89"/>
        <v>8.6228748628752891E-2</v>
      </c>
      <c r="AM63" s="31" t="str">
        <f t="shared" si="68"/>
        <v>1+0.102696453002058i</v>
      </c>
      <c r="AN63" s="31">
        <f t="shared" si="90"/>
        <v>1.0052594498233796</v>
      </c>
      <c r="AO63" s="31">
        <f t="shared" si="91"/>
        <v>0.10233768903169463</v>
      </c>
      <c r="AP63" s="31" t="str">
        <f t="shared" si="69"/>
        <v>1+0.0828754160070404i</v>
      </c>
      <c r="AQ63" s="31">
        <f t="shared" si="92"/>
        <v>1.003428290700606</v>
      </c>
      <c r="AR63" s="31">
        <f t="shared" si="93"/>
        <v>8.268645540954063E-2</v>
      </c>
      <c r="AS63" s="58" t="str">
        <f t="shared" si="94"/>
        <v>-3.70980119250937+37.4280949565769i</v>
      </c>
      <c r="AT63" s="49">
        <f t="shared" si="95"/>
        <v>31.506413034041024</v>
      </c>
      <c r="AU63" s="61">
        <f t="shared" si="96"/>
        <v>95.660559215379706</v>
      </c>
      <c r="AV63" s="58" t="str">
        <f t="shared" si="70"/>
        <v>5401.0599791366+2149.49222845515i</v>
      </c>
      <c r="AW63" s="64">
        <f t="shared" si="97"/>
        <v>75.288108857795336</v>
      </c>
      <c r="AX63" s="61">
        <f t="shared" si="98"/>
        <v>21.70136834655051</v>
      </c>
    </row>
    <row r="64" spans="1:50" x14ac:dyDescent="0.35">
      <c r="A64" s="31" t="s">
        <v>179</v>
      </c>
      <c r="B64" s="3">
        <f>RFBB_iso</f>
        <v>1620</v>
      </c>
      <c r="C64" s="2" t="s">
        <v>35</v>
      </c>
      <c r="E64" s="31" t="s">
        <v>182</v>
      </c>
      <c r="N64" s="10">
        <v>46</v>
      </c>
      <c r="O64" s="50">
        <f t="shared" si="71"/>
        <v>28.840315031266066</v>
      </c>
      <c r="P64" s="48" t="str">
        <f t="shared" si="72"/>
        <v>547.187404092767</v>
      </c>
      <c r="Q64" s="17" t="str">
        <f t="shared" si="63"/>
        <v>1+3.47528703381468i</v>
      </c>
      <c r="R64" s="17">
        <f t="shared" si="73"/>
        <v>3.6162992087769008</v>
      </c>
      <c r="S64" s="17">
        <f t="shared" si="74"/>
        <v>1.2906192849903217</v>
      </c>
      <c r="T64" s="17" t="str">
        <f t="shared" si="64"/>
        <v>1+0.0000657591636670432i</v>
      </c>
      <c r="U64" s="17">
        <f t="shared" si="75"/>
        <v>1.0000000021621338</v>
      </c>
      <c r="V64" s="17">
        <f t="shared" si="76"/>
        <v>6.5759163572256453E-5</v>
      </c>
      <c r="W64" s="31" t="str">
        <f t="shared" si="65"/>
        <v>1-0.00114192418100779i</v>
      </c>
      <c r="X64" s="17">
        <f t="shared" si="77"/>
        <v>1.0000006519952049</v>
      </c>
      <c r="Y64" s="17">
        <f t="shared" si="78"/>
        <v>-1.1419236846552895E-3</v>
      </c>
      <c r="Z64" s="31" t="str">
        <f t="shared" si="66"/>
        <v>0.99999972503677+0.00546372604973652i</v>
      </c>
      <c r="AA64" s="17">
        <f t="shared" si="79"/>
        <v>1.000014651080654</v>
      </c>
      <c r="AB64" s="17">
        <f t="shared" si="80"/>
        <v>5.4636731847223143E-3</v>
      </c>
      <c r="AC64" s="66" t="str">
        <f t="shared" si="81"/>
        <v>40.8890864671328-145.679753245553i</v>
      </c>
      <c r="AD64" s="64">
        <f t="shared" si="82"/>
        <v>43.597313130934161</v>
      </c>
      <c r="AE64" s="61">
        <f t="shared" si="83"/>
        <v>-74.321743087380639</v>
      </c>
      <c r="AF64" s="31" t="str">
        <f t="shared" si="84"/>
        <v>-6627.51882264077</v>
      </c>
      <c r="AG64" s="31" t="str">
        <f t="shared" si="85"/>
        <v>181.209043658882i</v>
      </c>
      <c r="AH64" s="31">
        <f t="shared" si="86"/>
        <v>181.209043658882</v>
      </c>
      <c r="AI64" s="31">
        <f t="shared" si="87"/>
        <v>1.5707963267948966</v>
      </c>
      <c r="AJ64" s="31" t="str">
        <f t="shared" si="67"/>
        <v>0.999996081266133+0.0884562886168647i</v>
      </c>
      <c r="AK64" s="31">
        <f t="shared" si="88"/>
        <v>1.0039007309208876</v>
      </c>
      <c r="AL64" s="31">
        <f t="shared" si="89"/>
        <v>8.8227000473707337E-2</v>
      </c>
      <c r="AM64" s="31" t="str">
        <f t="shared" si="68"/>
        <v>1+0.105088560689096i</v>
      </c>
      <c r="AN64" s="31">
        <f t="shared" si="90"/>
        <v>1.0055066412449527</v>
      </c>
      <c r="AO64" s="31">
        <f t="shared" si="91"/>
        <v>0.10470425178137131</v>
      </c>
      <c r="AP64" s="31" t="str">
        <f t="shared" si="69"/>
        <v>1+0.0848058324323566i</v>
      </c>
      <c r="AQ64" s="31">
        <f t="shared" si="92"/>
        <v>1.0035895720933656</v>
      </c>
      <c r="AR64" s="31">
        <f t="shared" si="93"/>
        <v>8.4603396596829153E-2</v>
      </c>
      <c r="AS64" s="58" t="str">
        <f t="shared" si="94"/>
        <v>-3.70979256792776+36.5762323986438i</v>
      </c>
      <c r="AT64" s="49">
        <f t="shared" si="95"/>
        <v>31.308428290558183</v>
      </c>
      <c r="AU64" s="61">
        <f t="shared" si="96"/>
        <v>95.791494515375319</v>
      </c>
      <c r="AV64" s="58" t="str">
        <f t="shared" si="70"/>
        <v>5176.72648140131+2036.01039507799i</v>
      </c>
      <c r="AW64" s="64">
        <f t="shared" si="97"/>
        <v>74.905741421492351</v>
      </c>
      <c r="AX64" s="61">
        <f t="shared" si="98"/>
        <v>21.469751427994645</v>
      </c>
    </row>
    <row r="65" spans="1:50" x14ac:dyDescent="0.35">
      <c r="A65" s="31" t="s">
        <v>168</v>
      </c>
      <c r="B65" s="3">
        <f>Rcomp_iso</f>
        <v>120000</v>
      </c>
      <c r="C65" s="2" t="s">
        <v>35</v>
      </c>
      <c r="E65" s="31" t="s">
        <v>175</v>
      </c>
      <c r="N65" s="10">
        <v>47</v>
      </c>
      <c r="O65" s="50">
        <f t="shared" si="71"/>
        <v>29.512092266663863</v>
      </c>
      <c r="P65" s="48" t="str">
        <f t="shared" si="72"/>
        <v>547.187404092767</v>
      </c>
      <c r="Q65" s="17" t="str">
        <f t="shared" si="63"/>
        <v>1+3.55623686786673i</v>
      </c>
      <c r="R65" s="17">
        <f t="shared" si="73"/>
        <v>3.6941603457855718</v>
      </c>
      <c r="S65" s="17">
        <f t="shared" si="74"/>
        <v>1.2966788091587798</v>
      </c>
      <c r="T65" s="17" t="str">
        <f t="shared" si="64"/>
        <v>1+0.0000672908913587284i</v>
      </c>
      <c r="U65" s="17">
        <f t="shared" si="75"/>
        <v>1.0000000022640321</v>
      </c>
      <c r="V65" s="17">
        <f t="shared" si="76"/>
        <v>6.7290891257162583E-5</v>
      </c>
      <c r="W65" s="31" t="str">
        <f t="shared" si="65"/>
        <v>1-0.00116852301214121i</v>
      </c>
      <c r="X65" s="17">
        <f t="shared" si="77"/>
        <v>1.0000006827227819</v>
      </c>
      <c r="Y65" s="17">
        <f t="shared" si="78"/>
        <v>-1.1685224802899432E-3</v>
      </c>
      <c r="Z65" s="31" t="str">
        <f t="shared" si="66"/>
        <v>0.999999712078152+0.00559099257843718i</v>
      </c>
      <c r="AA65" s="17">
        <f t="shared" si="79"/>
        <v>1.0000153415595177</v>
      </c>
      <c r="AB65" s="17">
        <f t="shared" si="80"/>
        <v>5.5909359326008178E-3</v>
      </c>
      <c r="AC65" s="66" t="str">
        <f t="shared" si="81"/>
        <v>39.1406142636766-142.855084247307i</v>
      </c>
      <c r="AD65" s="64">
        <f t="shared" si="82"/>
        <v>43.41227968543167</v>
      </c>
      <c r="AE65" s="61">
        <f t="shared" si="83"/>
        <v>-74.677656103631691</v>
      </c>
      <c r="AF65" s="31" t="str">
        <f t="shared" si="84"/>
        <v>-6627.51882264077</v>
      </c>
      <c r="AG65" s="31" t="str">
        <f t="shared" si="85"/>
        <v>185.429944514031i</v>
      </c>
      <c r="AH65" s="31">
        <f t="shared" si="86"/>
        <v>185.42994451403101</v>
      </c>
      <c r="AI65" s="31">
        <f t="shared" si="87"/>
        <v>1.5707963267948966</v>
      </c>
      <c r="AJ65" s="31" t="str">
        <f t="shared" si="67"/>
        <v>0.999995896581896+0.0905167002648015i</v>
      </c>
      <c r="AK65" s="31">
        <f t="shared" si="88"/>
        <v>1.0040841927883628</v>
      </c>
      <c r="AL65" s="31">
        <f t="shared" si="89"/>
        <v>9.0271067534475113E-2</v>
      </c>
      <c r="AM65" s="31" t="str">
        <f t="shared" si="68"/>
        <v>1+0.107536387722022i</v>
      </c>
      <c r="AN65" s="31">
        <f t="shared" si="90"/>
        <v>1.0057654173236923</v>
      </c>
      <c r="AO65" s="31">
        <f t="shared" si="91"/>
        <v>0.10712472069189202</v>
      </c>
      <c r="AP65" s="31" t="str">
        <f t="shared" si="69"/>
        <v>1+0.0867812140325664i</v>
      </c>
      <c r="AQ65" s="31">
        <f t="shared" si="92"/>
        <v>1.0037584266689701</v>
      </c>
      <c r="AR65" s="31">
        <f t="shared" si="93"/>
        <v>8.6564343968749236E-2</v>
      </c>
      <c r="AS65" s="58" t="str">
        <f t="shared" si="94"/>
        <v>-3.70978354333326+35.7437629719669i</v>
      </c>
      <c r="AT65" s="49">
        <f t="shared" si="95"/>
        <v>31.110537484649321</v>
      </c>
      <c r="AU65" s="61">
        <f t="shared" si="96"/>
        <v>95.925414761025422</v>
      </c>
      <c r="AV65" s="58" t="str">
        <f t="shared" si="70"/>
        <v>4960.97506400476+1928.99427944019i</v>
      </c>
      <c r="AW65" s="64">
        <f t="shared" si="97"/>
        <v>74.522817170080998</v>
      </c>
      <c r="AX65" s="61">
        <f t="shared" si="98"/>
        <v>21.247758657393753</v>
      </c>
    </row>
    <row r="66" spans="1:50" x14ac:dyDescent="0.35">
      <c r="A66" s="31" t="s">
        <v>173</v>
      </c>
      <c r="B66" s="3">
        <f>Ccomp_iso</f>
        <v>3.9000000000000002E-9</v>
      </c>
      <c r="C66" s="2" t="s">
        <v>151</v>
      </c>
      <c r="E66" s="31" t="s">
        <v>176</v>
      </c>
      <c r="N66" s="10">
        <v>48</v>
      </c>
      <c r="O66" s="50">
        <f t="shared" si="71"/>
        <v>30.199517204020164</v>
      </c>
      <c r="P66" s="48" t="str">
        <f t="shared" si="72"/>
        <v>547.187404092767</v>
      </c>
      <c r="Q66" s="17" t="str">
        <f t="shared" si="63"/>
        <v>1+3.63907226577848i</v>
      </c>
      <c r="R66" s="17">
        <f t="shared" si="73"/>
        <v>3.7739696548274102</v>
      </c>
      <c r="S66" s="17">
        <f t="shared" si="74"/>
        <v>1.3026204223088795</v>
      </c>
      <c r="T66" s="17" t="str">
        <f t="shared" si="64"/>
        <v>1+0.0000688582975717123i</v>
      </c>
      <c r="U66" s="17">
        <f t="shared" si="75"/>
        <v>1.0000000023707325</v>
      </c>
      <c r="V66" s="17">
        <f t="shared" si="76"/>
        <v>6.885829746288257E-5</v>
      </c>
      <c r="W66" s="31" t="str">
        <f t="shared" si="65"/>
        <v>1-0.0011957414096429i</v>
      </c>
      <c r="X66" s="17">
        <f t="shared" si="77"/>
        <v>1.000000714898504</v>
      </c>
      <c r="Y66" s="17">
        <f t="shared" si="78"/>
        <v>-1.195740839754022E-3</v>
      </c>
      <c r="Z66" s="31" t="str">
        <f t="shared" si="66"/>
        <v>0.999999698508813+0.00572122352540848i</v>
      </c>
      <c r="AA66" s="17">
        <f t="shared" si="79"/>
        <v>1.0000160645791369</v>
      </c>
      <c r="AB66" s="17">
        <f t="shared" si="80"/>
        <v>5.721162828353916E-3</v>
      </c>
      <c r="AC66" s="66" t="str">
        <f t="shared" si="81"/>
        <v>37.4595256523463-140.064998265032i</v>
      </c>
      <c r="AD66" s="64">
        <f t="shared" si="82"/>
        <v>43.226620452294142</v>
      </c>
      <c r="AE66" s="61">
        <f t="shared" si="83"/>
        <v>-75.02701660349976</v>
      </c>
      <c r="AF66" s="31" t="str">
        <f t="shared" si="84"/>
        <v>-6627.51882264077</v>
      </c>
      <c r="AG66" s="31" t="str">
        <f t="shared" si="85"/>
        <v>189.749162780217i</v>
      </c>
      <c r="AH66" s="31">
        <f t="shared" si="86"/>
        <v>189.74916278021701</v>
      </c>
      <c r="AI66" s="31">
        <f t="shared" si="87"/>
        <v>1.5707963267948966</v>
      </c>
      <c r="AJ66" s="31" t="str">
        <f t="shared" si="67"/>
        <v>0.999995703193758+0.0926251050653489i</v>
      </c>
      <c r="AK66" s="31">
        <f t="shared" si="88"/>
        <v>1.004276265025887</v>
      </c>
      <c r="AL66" s="31">
        <f t="shared" si="89"/>
        <v>9.2361965343843139E-2</v>
      </c>
      <c r="AM66" s="31" t="str">
        <f t="shared" si="68"/>
        <v>1+0.110041231971131i</v>
      </c>
      <c r="AN66" s="31">
        <f t="shared" si="90"/>
        <v>1.0060363178005673</v>
      </c>
      <c r="AO66" s="31">
        <f t="shared" si="91"/>
        <v>0.10960026562024063</v>
      </c>
      <c r="AP66" s="31" t="str">
        <f t="shared" si="69"/>
        <v>1+0.0888026081811414i</v>
      </c>
      <c r="AQ66" s="31">
        <f t="shared" si="92"/>
        <v>1.0039352086762239</v>
      </c>
      <c r="AR66" s="31">
        <f t="shared" si="93"/>
        <v>8.8570276888381927E-2</v>
      </c>
      <c r="AS66" s="58" t="str">
        <f t="shared" si="94"/>
        <v>-3.70977410048842+34.9302452852212i</v>
      </c>
      <c r="AT66" s="49">
        <f t="shared" si="95"/>
        <v>30.912744944429477</v>
      </c>
      <c r="AU66" s="61">
        <f t="shared" si="96"/>
        <v>96.062384907826186</v>
      </c>
      <c r="AV66" s="58" t="str">
        <f t="shared" si="70"/>
        <v>4753.53836718999+1828.07992225306i</v>
      </c>
      <c r="AW66" s="64">
        <f t="shared" si="97"/>
        <v>74.139365396723605</v>
      </c>
      <c r="AX66" s="61">
        <f t="shared" si="98"/>
        <v>21.035368304326393</v>
      </c>
    </row>
    <row r="67" spans="1:50" x14ac:dyDescent="0.35">
      <c r="A67" s="31" t="s">
        <v>174</v>
      </c>
      <c r="B67" s="3">
        <f>CHF</f>
        <v>7.2E-10</v>
      </c>
      <c r="C67" s="2" t="s">
        <v>151</v>
      </c>
      <c r="E67" s="31" t="s">
        <v>177</v>
      </c>
      <c r="N67" s="10">
        <v>49</v>
      </c>
      <c r="O67" s="50">
        <f t="shared" si="71"/>
        <v>30.902954325135919</v>
      </c>
      <c r="P67" s="48" t="str">
        <f t="shared" si="72"/>
        <v>547.187404092767</v>
      </c>
      <c r="Q67" s="17" t="str">
        <f t="shared" si="63"/>
        <v>1+3.72383714797436i</v>
      </c>
      <c r="R67" s="17">
        <f t="shared" si="73"/>
        <v>3.8557701052622182</v>
      </c>
      <c r="S67" s="17">
        <f t="shared" si="74"/>
        <v>1.3084455960518691</v>
      </c>
      <c r="T67" s="17" t="str">
        <f t="shared" si="64"/>
        <v>1+0.000070462213365516i</v>
      </c>
      <c r="U67" s="17">
        <f t="shared" si="75"/>
        <v>1.0000000024824618</v>
      </c>
      <c r="V67" s="17">
        <f t="shared" si="76"/>
        <v>7.0462213248902834E-5</v>
      </c>
      <c r="W67" s="31" t="str">
        <f t="shared" si="65"/>
        <v>1-0.00122359380506748i</v>
      </c>
      <c r="X67" s="17">
        <f t="shared" si="77"/>
        <v>1.0000007485906197</v>
      </c>
      <c r="Y67" s="17">
        <f t="shared" si="78"/>
        <v>-1.2235931944205702E-3</v>
      </c>
      <c r="Z67" s="31" t="str">
        <f t="shared" si="66"/>
        <v>0.999999684299972+0.00585448794082228i</v>
      </c>
      <c r="AA67" s="17">
        <f t="shared" si="79"/>
        <v>1.0000168216730621</v>
      </c>
      <c r="AB67" s="17">
        <f t="shared" si="80"/>
        <v>5.8544229028156206E-3</v>
      </c>
      <c r="AC67" s="66" t="str">
        <f t="shared" si="81"/>
        <v>35.8436803043661-137.31038045386i</v>
      </c>
      <c r="AD67" s="64">
        <f t="shared" si="82"/>
        <v>43.040359610238959</v>
      </c>
      <c r="AE67" s="61">
        <f t="shared" si="83"/>
        <v>-75.369913638514447</v>
      </c>
      <c r="AF67" s="31" t="str">
        <f t="shared" si="84"/>
        <v>-6627.51882264077</v>
      </c>
      <c r="AG67" s="31" t="str">
        <f t="shared" si="85"/>
        <v>194.168988564136i</v>
      </c>
      <c r="AH67" s="31">
        <f t="shared" si="86"/>
        <v>194.16898856413599</v>
      </c>
      <c r="AI67" s="31">
        <f t="shared" si="87"/>
        <v>1.5707963267948966</v>
      </c>
      <c r="AJ67" s="31" t="str">
        <f t="shared" si="67"/>
        <v>0.999995500691519+0.0947826209226401i</v>
      </c>
      <c r="AK67" s="31">
        <f t="shared" si="88"/>
        <v>1.0044773499846806</v>
      </c>
      <c r="AL67" s="31">
        <f t="shared" si="89"/>
        <v>9.4500729465153394E-2</v>
      </c>
      <c r="AM67" s="31" t="str">
        <f t="shared" si="68"/>
        <v>1+0.112604421537999i</v>
      </c>
      <c r="AN67" s="31">
        <f t="shared" si="90"/>
        <v>1.0063199072610596</v>
      </c>
      <c r="AO67" s="31">
        <f t="shared" si="91"/>
        <v>0.11213207769959643</v>
      </c>
      <c r="AP67" s="31" t="str">
        <f t="shared" si="69"/>
        <v>1+0.0908710866480155i</v>
      </c>
      <c r="AQ67" s="31">
        <f t="shared" si="92"/>
        <v>1.0041202888043799</v>
      </c>
      <c r="AR67" s="31">
        <f t="shared" si="93"/>
        <v>9.062219432086531E-2</v>
      </c>
      <c r="AS67" s="58" t="str">
        <f t="shared" si="94"/>
        <v>-3.70976422035455+34.1352479951965i</v>
      </c>
      <c r="AT67" s="49">
        <f t="shared" si="95"/>
        <v>30.715055192608823</v>
      </c>
      <c r="AU67" s="61">
        <f t="shared" si="96"/>
        <v>96.202471105759045</v>
      </c>
      <c r="AV67" s="58" t="str">
        <f t="shared" si="70"/>
        <v>4554.15228638833+1732.92205274108i</v>
      </c>
      <c r="AW67" s="64">
        <f t="shared" si="97"/>
        <v>73.755414802847781</v>
      </c>
      <c r="AX67" s="61">
        <f t="shared" si="98"/>
        <v>20.83255746724463</v>
      </c>
    </row>
    <row r="68" spans="1:50" x14ac:dyDescent="0.35">
      <c r="N68" s="10">
        <v>50</v>
      </c>
      <c r="O68" s="50">
        <f t="shared" si="71"/>
        <v>31.622776601683803</v>
      </c>
      <c r="P68" s="48" t="str">
        <f t="shared" si="72"/>
        <v>547.187404092767</v>
      </c>
      <c r="Q68" s="17" t="str">
        <f t="shared" si="63"/>
        <v>1+3.81057645791691i</v>
      </c>
      <c r="R68" s="17">
        <f t="shared" si="73"/>
        <v>3.9396056835209512</v>
      </c>
      <c r="S68" s="17">
        <f t="shared" si="74"/>
        <v>1.3141558370233841</v>
      </c>
      <c r="T68" s="17" t="str">
        <f t="shared" si="64"/>
        <v>1+0.0000721034891575237i</v>
      </c>
      <c r="U68" s="17">
        <f t="shared" si="75"/>
        <v>1.0000000025994564</v>
      </c>
      <c r="V68" s="17">
        <f t="shared" si="76"/>
        <v>7.2103489032570445E-5</v>
      </c>
      <c r="W68" s="31" t="str">
        <f t="shared" si="65"/>
        <v>1-0.0012520949661237i</v>
      </c>
      <c r="X68" s="17">
        <f t="shared" si="77"/>
        <v>1.0000007838705949</v>
      </c>
      <c r="Y68" s="17">
        <f t="shared" si="78"/>
        <v>-1.2520943118037751E-3</v>
      </c>
      <c r="Z68" s="31" t="str">
        <f t="shared" si="66"/>
        <v>0.999999669421488+0.00599085648323561i</v>
      </c>
      <c r="AA68" s="17">
        <f t="shared" si="79"/>
        <v>1.0000176144471096</v>
      </c>
      <c r="AB68" s="17">
        <f t="shared" si="80"/>
        <v>5.9907867938221908E-3</v>
      </c>
      <c r="AC68" s="66" t="str">
        <f t="shared" si="81"/>
        <v>34.2909677958663-134.592014137701i</v>
      </c>
      <c r="AD68" s="64">
        <f t="shared" si="82"/>
        <v>42.853520561906713</v>
      </c>
      <c r="AE68" s="61">
        <f t="shared" si="83"/>
        <v>-75.706438377179637</v>
      </c>
      <c r="AF68" s="31" t="str">
        <f t="shared" si="84"/>
        <v>-6627.51882264077</v>
      </c>
      <c r="AG68" s="31" t="str">
        <f t="shared" si="85"/>
        <v>198.691765315922i</v>
      </c>
      <c r="AH68" s="31">
        <f t="shared" si="86"/>
        <v>198.691765315922</v>
      </c>
      <c r="AI68" s="31">
        <f t="shared" si="87"/>
        <v>1.5707963267948966</v>
      </c>
      <c r="AJ68" s="31" t="str">
        <f t="shared" si="67"/>
        <v>0.999995288645643+0.0969903917801408i</v>
      </c>
      <c r="AK68" s="31">
        <f t="shared" si="88"/>
        <v>1.0046878686493375</v>
      </c>
      <c r="AL68" s="31">
        <f t="shared" si="89"/>
        <v>9.6688415707974706E-2</v>
      </c>
      <c r="AM68" s="31" t="str">
        <f t="shared" si="68"/>
        <v>1+0.115227315459663i</v>
      </c>
      <c r="AN68" s="31">
        <f t="shared" si="90"/>
        <v>1.0066167762500489</v>
      </c>
      <c r="AO68" s="31">
        <f t="shared" si="91"/>
        <v>0.11472136942702293</v>
      </c>
      <c r="AP68" s="31" t="str">
        <f t="shared" si="69"/>
        <v>1+0.0929877461678514i</v>
      </c>
      <c r="AQ68" s="31">
        <f t="shared" si="92"/>
        <v>1.0043140549337028</v>
      </c>
      <c r="AR68" s="31">
        <f t="shared" si="93"/>
        <v>9.2721115067159007E-2</v>
      </c>
      <c r="AS68" s="58" t="str">
        <f t="shared" si="94"/>
        <v>-3.70975388305921+33.3583495780695i</v>
      </c>
      <c r="AT68" s="49">
        <f t="shared" si="95"/>
        <v>30.517472954783248</v>
      </c>
      <c r="AU68" s="61">
        <f t="shared" si="96"/>
        <v>96.345740705351261</v>
      </c>
      <c r="AV68" s="58" t="str">
        <f t="shared" si="70"/>
        <v>4362.55640708733+1643.19333818093i</v>
      </c>
      <c r="AW68" s="64">
        <f t="shared" si="97"/>
        <v>73.370993516689964</v>
      </c>
      <c r="AX68" s="61">
        <f t="shared" si="98"/>
        <v>20.639302328171649</v>
      </c>
    </row>
    <row r="69" spans="1:50" x14ac:dyDescent="0.35">
      <c r="A69" s="31" t="s">
        <v>218</v>
      </c>
      <c r="B69" s="1">
        <f>-kopto_max*Rpullup/(Ccomp_iso*RLED*RFBT_iso)</f>
        <v>-6627.5188226407736</v>
      </c>
      <c r="C69" s="31" t="s">
        <v>144</v>
      </c>
      <c r="N69" s="10">
        <v>51</v>
      </c>
      <c r="O69" s="50">
        <f t="shared" si="71"/>
        <v>32.359365692962832</v>
      </c>
      <c r="P69" s="48" t="str">
        <f t="shared" si="72"/>
        <v>547.187404092767</v>
      </c>
      <c r="Q69" s="17" t="str">
        <f t="shared" si="63"/>
        <v>1+3.89933618593639i</v>
      </c>
      <c r="R69" s="17">
        <f t="shared" si="73"/>
        <v>4.0255214185187187</v>
      </c>
      <c r="S69" s="17">
        <f t="shared" si="74"/>
        <v>1.3197526827121999</v>
      </c>
      <c r="T69" s="17" t="str">
        <f t="shared" si="64"/>
        <v>1+0.0000737829951738853i</v>
      </c>
      <c r="U69" s="17">
        <f t="shared" si="75"/>
        <v>1.0000000027219651</v>
      </c>
      <c r="V69" s="17">
        <f t="shared" si="76"/>
        <v>7.378299503999546E-5</v>
      </c>
      <c r="W69" s="31" t="str">
        <f t="shared" si="65"/>
        <v>1-0.00128126000450439i</v>
      </c>
      <c r="X69" s="17">
        <f t="shared" si="77"/>
        <v>1.0000008208132627</v>
      </c>
      <c r="Y69" s="17">
        <f t="shared" si="78"/>
        <v>-1.2812593033879897E-3</v>
      </c>
      <c r="Z69" s="31" t="str">
        <f t="shared" si="66"/>
        <v>0.999999653841802+0.00613040145705472i</v>
      </c>
      <c r="AA69" s="17">
        <f t="shared" si="79"/>
        <v>1.0000184445827731</v>
      </c>
      <c r="AB69" s="17">
        <f t="shared" si="80"/>
        <v>6.1303267835772553E-3</v>
      </c>
      <c r="AC69" s="66" t="str">
        <f t="shared" si="81"/>
        <v>32.7993107264611-131.910585834349i</v>
      </c>
      <c r="AD69" s="64">
        <f t="shared" si="82"/>
        <v>42.666125945323415</v>
      </c>
      <c r="AE69" s="61">
        <f t="shared" si="83"/>
        <v>-76.036683868542511</v>
      </c>
      <c r="AF69" s="31" t="str">
        <f t="shared" si="84"/>
        <v>-6627.51882264077</v>
      </c>
      <c r="AG69" s="31" t="str">
        <f t="shared" si="85"/>
        <v>203.319891071675i</v>
      </c>
      <c r="AH69" s="31">
        <f t="shared" si="86"/>
        <v>203.31989107167499</v>
      </c>
      <c r="AI69" s="31">
        <f t="shared" si="87"/>
        <v>1.5707963267948966</v>
      </c>
      <c r="AJ69" s="31" t="str">
        <f t="shared" si="67"/>
        <v>0.999995066606353+0.0992495882271829i</v>
      </c>
      <c r="AK69" s="31">
        <f t="shared" si="88"/>
        <v>1.0049082614847535</v>
      </c>
      <c r="AL69" s="31">
        <f t="shared" si="89"/>
        <v>9.8926100331843417E-2</v>
      </c>
      <c r="AM69" s="31" t="str">
        <f t="shared" si="68"/>
        <v>1+0.117911304429197i</v>
      </c>
      <c r="AN69" s="31">
        <f t="shared" si="90"/>
        <v>1.0069275424340098</v>
      </c>
      <c r="AO69" s="31">
        <f t="shared" si="91"/>
        <v>0.11736937472630474</v>
      </c>
      <c r="AP69" s="31" t="str">
        <f t="shared" si="69"/>
        <v>1+0.0951537090215438i</v>
      </c>
      <c r="AQ69" s="31">
        <f t="shared" si="92"/>
        <v>1.0045169129191189</v>
      </c>
      <c r="AR69" s="31">
        <f t="shared" si="93"/>
        <v>9.4868077988127533E-2</v>
      </c>
      <c r="AS69" s="58" t="str">
        <f t="shared" si="94"/>
        <v>-3.70974306786304+32.5991381058814i</v>
      </c>
      <c r="AT69" s="49">
        <f t="shared" si="95"/>
        <v>30.320003168034585</v>
      </c>
      <c r="AU69" s="61">
        <f t="shared" si="96"/>
        <v>96.492262262441955</v>
      </c>
      <c r="AV69" s="58" t="str">
        <f t="shared" si="70"/>
        <v>4178.49438964349+1558.58364152635i</v>
      </c>
      <c r="AW69" s="64">
        <f t="shared" si="97"/>
        <v>72.986129113358004</v>
      </c>
      <c r="AX69" s="61">
        <f t="shared" si="98"/>
        <v>20.455578393899462</v>
      </c>
    </row>
    <row r="70" spans="1:50" x14ac:dyDescent="0.35">
      <c r="A70" s="31" t="s">
        <v>581</v>
      </c>
      <c r="B70" s="1">
        <f>1/(Ccomp_iso*(Rcomp_iso+RFBT_iso))</f>
        <v>1724.3460417636611</v>
      </c>
      <c r="E70" s="31" t="s">
        <v>230</v>
      </c>
      <c r="N70" s="10">
        <v>52</v>
      </c>
      <c r="O70" s="50">
        <f t="shared" si="71"/>
        <v>33.113112148259127</v>
      </c>
      <c r="P70" s="48" t="str">
        <f t="shared" si="72"/>
        <v>547.187404092767</v>
      </c>
      <c r="Q70" s="17" t="str">
        <f t="shared" si="63"/>
        <v>1+3.99016339361548i</v>
      </c>
      <c r="R70" s="17">
        <f t="shared" si="73"/>
        <v>4.1135634075274687</v>
      </c>
      <c r="S70" s="17">
        <f t="shared" si="74"/>
        <v>1.3252376974987778</v>
      </c>
      <c r="T70" s="17" t="str">
        <f t="shared" si="64"/>
        <v>1+0.0000755016219109218i</v>
      </c>
      <c r="U70" s="17">
        <f t="shared" si="75"/>
        <v>1.0000000028502474</v>
      </c>
      <c r="V70" s="17">
        <f t="shared" si="76"/>
        <v>7.5501621767456268E-5</v>
      </c>
      <c r="W70" s="31" t="str">
        <f t="shared" si="65"/>
        <v>1-0.00131110438389895i</v>
      </c>
      <c r="X70" s="17">
        <f t="shared" si="77"/>
        <v>1.0000008594969834</v>
      </c>
      <c r="Y70" s="17">
        <f t="shared" si="78"/>
        <v>-1.3111036326392267E-3</v>
      </c>
      <c r="Z70" s="31" t="str">
        <f t="shared" si="66"/>
        <v>0.999999637527869+0.00627319685087184i</v>
      </c>
      <c r="AA70" s="17">
        <f t="shared" si="79"/>
        <v>1.0000193138407873</v>
      </c>
      <c r="AB70" s="17">
        <f t="shared" si="80"/>
        <v>6.2731168368826001E-3</v>
      </c>
      <c r="AC70" s="66" t="str">
        <f t="shared" si="81"/>
        <v>31.3666674552877-129.266690216784i</v>
      </c>
      <c r="AD70" s="64">
        <f t="shared" si="82"/>
        <v>42.478197646428683</v>
      </c>
      <c r="AE70" s="61">
        <f t="shared" si="83"/>
        <v>-76.360744817841564</v>
      </c>
      <c r="AF70" s="31" t="str">
        <f t="shared" si="84"/>
        <v>-6627.51882264077</v>
      </c>
      <c r="AG70" s="31" t="str">
        <f t="shared" si="85"/>
        <v>208.055819724932i</v>
      </c>
      <c r="AH70" s="31">
        <f t="shared" si="86"/>
        <v>208.05581972493201</v>
      </c>
      <c r="AI70" s="31">
        <f t="shared" si="87"/>
        <v>1.5707963267948966</v>
      </c>
      <c r="AJ70" s="31" t="str">
        <f t="shared" si="67"/>
        <v>0.999994834102673+0.101561408119627i</v>
      </c>
      <c r="AK70" s="31">
        <f t="shared" si="88"/>
        <v>1.0051389893200213</v>
      </c>
      <c r="AL70" s="31">
        <f t="shared" si="89"/>
        <v>0.10121488023670382</v>
      </c>
      <c r="AM70" s="31" t="str">
        <f t="shared" si="68"/>
        <v>1+0.12065781153308i</v>
      </c>
      <c r="AN70" s="31">
        <f t="shared" si="90"/>
        <v>1.0072528518122708</v>
      </c>
      <c r="AO70" s="31">
        <f t="shared" si="91"/>
        <v>0.12007734898371168</v>
      </c>
      <c r="AP70" s="31" t="str">
        <f t="shared" si="69"/>
        <v>1+0.097370123631268i</v>
      </c>
      <c r="AQ70" s="31">
        <f t="shared" si="92"/>
        <v>1.0047292874082892</v>
      </c>
      <c r="AR70" s="31">
        <f t="shared" si="93"/>
        <v>9.7064142217730784E-2</v>
      </c>
      <c r="AS70" s="58" t="str">
        <f t="shared" si="94"/>
        <v>-3.70973175312525+31.8572110281009i</v>
      </c>
      <c r="AT70" s="49">
        <f t="shared" si="95"/>
        <v>30.122650989847276</v>
      </c>
      <c r="AU70" s="61">
        <f t="shared" si="96"/>
        <v>96.642105541534548</v>
      </c>
      <c r="AV70" s="58" t="str">
        <f t="shared" si="70"/>
        <v>4001.71430689163+1478.79928968997i</v>
      </c>
      <c r="AW70" s="64">
        <f t="shared" si="97"/>
        <v>72.600848636275956</v>
      </c>
      <c r="AX70" s="61">
        <f t="shared" si="98"/>
        <v>20.281360723692945</v>
      </c>
    </row>
    <row r="71" spans="1:50" x14ac:dyDescent="0.35">
      <c r="A71" s="31" t="s">
        <v>580</v>
      </c>
      <c r="B71" s="1">
        <f>1/(Rcomp_iso*Ccomp_iso)</f>
        <v>2136.7521367521367</v>
      </c>
      <c r="E71" s="31" t="s">
        <v>582</v>
      </c>
      <c r="N71" s="10">
        <v>53</v>
      </c>
      <c r="O71" s="50">
        <f t="shared" si="71"/>
        <v>33.884415613920268</v>
      </c>
      <c r="P71" s="48" t="str">
        <f t="shared" si="72"/>
        <v>547.187404092767</v>
      </c>
      <c r="Q71" s="17" t="str">
        <f t="shared" si="63"/>
        <v>1+4.0831062387419i</v>
      </c>
      <c r="R71" s="17">
        <f t="shared" si="73"/>
        <v>4.2037788425240725</v>
      </c>
      <c r="S71" s="17">
        <f t="shared" si="74"/>
        <v>1.330612468900519</v>
      </c>
      <c r="T71" s="17" t="str">
        <f t="shared" si="64"/>
        <v>1+0.000077260280607277i</v>
      </c>
      <c r="U71" s="17">
        <f t="shared" si="75"/>
        <v>1.0000000029845755</v>
      </c>
      <c r="V71" s="17">
        <f t="shared" si="76"/>
        <v>7.7260280453550901E-5</v>
      </c>
      <c r="W71" s="31" t="str">
        <f t="shared" si="65"/>
        <v>1-0.00134164392819237i</v>
      </c>
      <c r="X71" s="17">
        <f t="shared" si="77"/>
        <v>1.0000009000038101</v>
      </c>
      <c r="Y71" s="17">
        <f t="shared" si="78"/>
        <v>-1.3416431232031124E-3</v>
      </c>
      <c r="Z71" s="31" t="str">
        <f t="shared" si="66"/>
        <v>0.999999620445084+0.00641931837669483i</v>
      </c>
      <c r="AA71" s="17">
        <f t="shared" si="79"/>
        <v>1.0000202240648601</v>
      </c>
      <c r="AB71" s="17">
        <f t="shared" si="80"/>
        <v>6.4192326402543074E-3</v>
      </c>
      <c r="AC71" s="66" t="str">
        <f t="shared" si="81"/>
        <v>29.991034477656-126.660834992058i</v>
      </c>
      <c r="AD71" s="64">
        <f t="shared" si="82"/>
        <v>42.289756812534669</v>
      </c>
      <c r="AE71" s="61">
        <f t="shared" si="83"/>
        <v>-76.678717374059701</v>
      </c>
      <c r="AF71" s="31" t="str">
        <f t="shared" si="84"/>
        <v>-6627.51882264077</v>
      </c>
      <c r="AG71" s="31" t="str">
        <f t="shared" si="85"/>
        <v>212.90206232775i</v>
      </c>
      <c r="AH71" s="31">
        <f t="shared" si="86"/>
        <v>212.90206232775</v>
      </c>
      <c r="AI71" s="31">
        <f t="shared" si="87"/>
        <v>1.5707963267948966</v>
      </c>
      <c r="AJ71" s="31" t="str">
        <f t="shared" si="67"/>
        <v>0.999994590641433+0.10392707721498i</v>
      </c>
      <c r="AK71" s="31">
        <f t="shared" si="88"/>
        <v>1.0053805342707682</v>
      </c>
      <c r="AL71" s="31">
        <f t="shared" si="89"/>
        <v>0.10355587313857403</v>
      </c>
      <c r="AM71" s="31" t="str">
        <f t="shared" si="68"/>
        <v>1+0.123468293005732i</v>
      </c>
      <c r="AN71" s="31">
        <f t="shared" si="90"/>
        <v>1.007593379979121</v>
      </c>
      <c r="AO71" s="31">
        <f t="shared" si="91"/>
        <v>0.12284656905430055</v>
      </c>
      <c r="AP71" s="31" t="str">
        <f t="shared" si="69"/>
        <v>1+0.0996381651693869i</v>
      </c>
      <c r="AQ71" s="31">
        <f t="shared" si="92"/>
        <v>1.0049516226955018</v>
      </c>
      <c r="AR71" s="31">
        <f t="shared" si="93"/>
        <v>9.9310387364021147E-2</v>
      </c>
      <c r="AS71" s="58" t="str">
        <f t="shared" si="94"/>
        <v>-3.70971991626833+31.1321749581588i</v>
      </c>
      <c r="AT71" s="49">
        <f t="shared" si="95"/>
        <v>29.925421807349004</v>
      </c>
      <c r="AU71" s="61">
        <f t="shared" si="96"/>
        <v>96.795341517609145</v>
      </c>
      <c r="AV71" s="58" t="str">
        <f t="shared" si="70"/>
        <v>3831.96893740798+1403.56235471577i</v>
      </c>
      <c r="AW71" s="64">
        <f t="shared" si="97"/>
        <v>72.215178619883659</v>
      </c>
      <c r="AX71" s="61">
        <f t="shared" si="98"/>
        <v>20.116624143549419</v>
      </c>
    </row>
    <row r="72" spans="1:50" x14ac:dyDescent="0.35">
      <c r="A72" s="31" t="s">
        <v>583</v>
      </c>
      <c r="B72" s="1">
        <f>Ccomp_iso*Copto*Rcomp_iso*Rpullup</f>
        <v>1.1934000000000002E-10</v>
      </c>
      <c r="E72" s="31" t="s">
        <v>586</v>
      </c>
      <c r="I72" s="31">
        <f>Copto</f>
        <v>5.0000000000000002E-11</v>
      </c>
      <c r="N72" s="10">
        <v>54</v>
      </c>
      <c r="O72" s="50">
        <f t="shared" si="71"/>
        <v>34.67368504525318</v>
      </c>
      <c r="P72" s="48" t="str">
        <f t="shared" si="72"/>
        <v>547.187404092767</v>
      </c>
      <c r="Q72" s="17" t="str">
        <f t="shared" si="63"/>
        <v>1+4.17821400084242i</v>
      </c>
      <c r="R72" s="17">
        <f t="shared" si="73"/>
        <v>4.2962160370302174</v>
      </c>
      <c r="S72" s="17">
        <f t="shared" si="74"/>
        <v>1.3358786040199331</v>
      </c>
      <c r="T72" s="17" t="str">
        <f t="shared" si="64"/>
        <v>1+0.0000790599037270713i</v>
      </c>
      <c r="U72" s="17">
        <f t="shared" si="75"/>
        <v>1.0000000031252341</v>
      </c>
      <c r="V72" s="17">
        <f t="shared" si="76"/>
        <v>7.9059903562350825E-5</v>
      </c>
      <c r="W72" s="31" t="str">
        <f t="shared" si="65"/>
        <v>1-0.00137289482985527i</v>
      </c>
      <c r="X72" s="17">
        <f t="shared" si="77"/>
        <v>1.000000942419663</v>
      </c>
      <c r="Y72" s="17">
        <f t="shared" si="78"/>
        <v>-1.3728939672937839E-3</v>
      </c>
      <c r="Z72" s="31" t="str">
        <f t="shared" si="66"/>
        <v>0.999999602557212+0.00656884351009088i</v>
      </c>
      <c r="AA72" s="17">
        <f t="shared" si="79"/>
        <v>1.0000211771855845</v>
      </c>
      <c r="AB72" s="17">
        <f t="shared" si="80"/>
        <v>6.5687516419447589E-3</v>
      </c>
      <c r="AC72" s="66" t="str">
        <f t="shared" si="81"/>
        <v>28.6704484652969-124.093445681717i</v>
      </c>
      <c r="AD72" s="64">
        <f t="shared" si="82"/>
        <v>42.100823866588364</v>
      </c>
      <c r="AE72" s="61">
        <f t="shared" si="83"/>
        <v>-76.990698929165475</v>
      </c>
      <c r="AF72" s="31" t="str">
        <f t="shared" si="84"/>
        <v>-6627.51882264077</v>
      </c>
      <c r="AG72" s="31" t="str">
        <f t="shared" si="85"/>
        <v>217.861188422107i</v>
      </c>
      <c r="AH72" s="31">
        <f t="shared" si="86"/>
        <v>217.86118842210701</v>
      </c>
      <c r="AI72" s="31">
        <f t="shared" si="87"/>
        <v>1.5707963267948966</v>
      </c>
      <c r="AJ72" s="31" t="str">
        <f t="shared" si="67"/>
        <v>0.999994335706218+0.10634784982231i</v>
      </c>
      <c r="AK72" s="31">
        <f t="shared" si="88"/>
        <v>1.0056334007014429</v>
      </c>
      <c r="AL72" s="31">
        <f t="shared" si="89"/>
        <v>0.10595021772887292</v>
      </c>
      <c r="AM72" s="31" t="str">
        <f t="shared" si="68"/>
        <v>1+0.126344239001633i</v>
      </c>
      <c r="AN72" s="31">
        <f t="shared" si="90"/>
        <v>1.0079498334386001</v>
      </c>
      <c r="AO72" s="31">
        <f t="shared" si="91"/>
        <v>0.12567833323624783</v>
      </c>
      <c r="AP72" s="31" t="str">
        <f t="shared" si="69"/>
        <v>1+0.101959036181546i</v>
      </c>
      <c r="AQ72" s="31">
        <f t="shared" si="92"/>
        <v>1.0051843836128125</v>
      </c>
      <c r="AR72" s="31">
        <f t="shared" si="93"/>
        <v>0.10160791369656205</v>
      </c>
      <c r="AS72" s="58" t="str">
        <f t="shared" si="94"/>
        <v>-3.70970753374157+30.423645464837i</v>
      </c>
      <c r="AT72" s="49">
        <f t="shared" si="95"/>
        <v>29.72832124688086</v>
      </c>
      <c r="AU72" s="61">
        <f t="shared" si="96"/>
        <v>96.952042376261645</v>
      </c>
      <c r="AV72" s="58" t="str">
        <f t="shared" si="70"/>
        <v>3669.0160172631+1332.60994975949i</v>
      </c>
      <c r="AW72" s="64">
        <f t="shared" si="97"/>
        <v>71.82914511346921</v>
      </c>
      <c r="AX72" s="61">
        <f t="shared" si="98"/>
        <v>19.961343447096226</v>
      </c>
    </row>
    <row r="73" spans="1:50" x14ac:dyDescent="0.35">
      <c r="A73" s="31" t="s">
        <v>584</v>
      </c>
      <c r="B73" s="1">
        <f>(Ccomp_iso*Rcomp_iso)+(Ccomp_iso*Rpullup)+(Copto*Rpullup)</f>
        <v>4.8814500000000005E-4</v>
      </c>
      <c r="E73" s="31" t="s">
        <v>588</v>
      </c>
      <c r="N73" s="10">
        <v>55</v>
      </c>
      <c r="O73" s="50">
        <f t="shared" si="71"/>
        <v>35.481338923357555</v>
      </c>
      <c r="P73" s="48" t="str">
        <f t="shared" si="72"/>
        <v>547.187404092767</v>
      </c>
      <c r="Q73" s="17" t="str">
        <f t="shared" si="63"/>
        <v>1+4.27553710731138i</v>
      </c>
      <c r="R73" s="17">
        <f t="shared" si="73"/>
        <v>4.3909244534604053</v>
      </c>
      <c r="S73" s="17">
        <f t="shared" si="74"/>
        <v>1.3410377261912665</v>
      </c>
      <c r="T73" s="17" t="str">
        <f t="shared" si="64"/>
        <v>1+0.0000809014454543031i</v>
      </c>
      <c r="U73" s="17">
        <f t="shared" si="75"/>
        <v>1.0000000032725218</v>
      </c>
      <c r="V73" s="17">
        <f t="shared" si="76"/>
        <v>8.0901445277801925E-5</v>
      </c>
      <c r="W73" s="31" t="str">
        <f t="shared" si="65"/>
        <v>1-0.00140487365852938i</v>
      </c>
      <c r="X73" s="17">
        <f t="shared" si="77"/>
        <v>1.0000009868345112</v>
      </c>
      <c r="Y73" s="17">
        <f t="shared" si="78"/>
        <v>-1.4048727342781449E-3</v>
      </c>
      <c r="Z73" s="31" t="str">
        <f t="shared" si="66"/>
        <v>0.99999958382631+0.00672185153126491i</v>
      </c>
      <c r="AA73" s="17">
        <f t="shared" si="79"/>
        <v>1.0000221752245304</v>
      </c>
      <c r="AB73" s="17">
        <f t="shared" si="80"/>
        <v>6.7217530928906904E-3</v>
      </c>
      <c r="AC73" s="66" t="str">
        <f t="shared" si="81"/>
        <v>27.4029879928723-121.564870290108i</v>
      </c>
      <c r="AD73" s="64">
        <f t="shared" si="82"/>
        <v>41.911418522118623</v>
      </c>
      <c r="AE73" s="61">
        <f t="shared" si="83"/>
        <v>-77.296787928787936</v>
      </c>
      <c r="AF73" s="31" t="str">
        <f t="shared" si="84"/>
        <v>-6627.51882264077</v>
      </c>
      <c r="AG73" s="31" t="str">
        <f t="shared" si="85"/>
        <v>222.935827402299i</v>
      </c>
      <c r="AH73" s="31">
        <f t="shared" si="86"/>
        <v>222.935827402299</v>
      </c>
      <c r="AI73" s="31">
        <f t="shared" si="87"/>
        <v>1.5707963267948966</v>
      </c>
      <c r="AJ73" s="31" t="str">
        <f t="shared" si="67"/>
        <v>0.999994068756276+0.108825009467295i</v>
      </c>
      <c r="AK73" s="31">
        <f t="shared" si="88"/>
        <v>1.0058981162291181</v>
      </c>
      <c r="AL73" s="31">
        <f t="shared" si="89"/>
        <v>0.10839907381571909</v>
      </c>
      <c r="AM73" s="31" t="str">
        <f t="shared" si="68"/>
        <v>1+0.129287174385415i</v>
      </c>
      <c r="AN73" s="31">
        <f t="shared" si="90"/>
        <v>1.0083229509738258</v>
      </c>
      <c r="AO73" s="31">
        <f t="shared" si="91"/>
        <v>0.12857396121052131</v>
      </c>
      <c r="AP73" s="31" t="str">
        <f t="shared" si="69"/>
        <v>1+0.104333967224276i</v>
      </c>
      <c r="AQ73" s="31">
        <f t="shared" si="92"/>
        <v>1.0054280564599123</v>
      </c>
      <c r="AR73" s="31">
        <f t="shared" si="93"/>
        <v>0.10395784231876874</v>
      </c>
      <c r="AS73" s="58" t="str">
        <f t="shared" si="94"/>
        <v>-3.70969458098373+29.7312468684072i</v>
      </c>
      <c r="AT73" s="49">
        <f t="shared" si="95"/>
        <v>29.531355183904864</v>
      </c>
      <c r="AU73" s="61">
        <f t="shared" si="96"/>
        <v>97.112281512025802</v>
      </c>
      <c r="AV73" s="58" t="str">
        <f t="shared" si="70"/>
        <v>3512.61845306118+1265.69354150129i</v>
      </c>
      <c r="AW73" s="64">
        <f t="shared" si="97"/>
        <v>71.442773706023488</v>
      </c>
      <c r="AX73" s="61">
        <f t="shared" si="98"/>
        <v>19.815493583237892</v>
      </c>
    </row>
    <row r="74" spans="1:50" x14ac:dyDescent="0.35">
      <c r="A74" s="31" t="s">
        <v>585</v>
      </c>
      <c r="B74" s="1">
        <v>1</v>
      </c>
      <c r="E74" s="31" t="s">
        <v>587</v>
      </c>
      <c r="N74" s="10">
        <v>56</v>
      </c>
      <c r="O74" s="50">
        <f t="shared" si="71"/>
        <v>36.307805477010156</v>
      </c>
      <c r="P74" s="48" t="str">
        <f t="shared" si="72"/>
        <v>547.187404092767</v>
      </c>
      <c r="Q74" s="17" t="str">
        <f t="shared" si="63"/>
        <v>1+4.37512716014807i</v>
      </c>
      <c r="R74" s="17">
        <f t="shared" si="73"/>
        <v>4.4879547309955479</v>
      </c>
      <c r="S74" s="17">
        <f t="shared" si="74"/>
        <v>1.3460914718206631</v>
      </c>
      <c r="T74" s="17" t="str">
        <f t="shared" si="64"/>
        <v>1+0.0000827858821987723i</v>
      </c>
      <c r="U74" s="17">
        <f t="shared" si="75"/>
        <v>1.0000000034267511</v>
      </c>
      <c r="V74" s="17">
        <f t="shared" si="76"/>
        <v>8.2785882009647895E-5</v>
      </c>
      <c r="W74" s="31" t="str">
        <f t="shared" si="65"/>
        <v>1-0.00143759736981294i</v>
      </c>
      <c r="X74" s="17">
        <f t="shared" si="77"/>
        <v>1.0000010333425651</v>
      </c>
      <c r="Y74" s="17">
        <f t="shared" si="78"/>
        <v>-1.4375963794599539E-3</v>
      </c>
      <c r="Z74" s="31" t="str">
        <f t="shared" si="66"/>
        <v>0.999999564212648+0.00687842356709506i</v>
      </c>
      <c r="AA74" s="17">
        <f t="shared" si="79"/>
        <v>1.000023220298536</v>
      </c>
      <c r="AB74" s="17">
        <f t="shared" si="80"/>
        <v>6.8783180886089756E-3</v>
      </c>
      <c r="AC74" s="66" t="str">
        <f t="shared" si="81"/>
        <v>26.1867749729162-119.075383849139i</v>
      </c>
      <c r="AD74" s="64">
        <f t="shared" si="82"/>
        <v>41.721559798757824</v>
      </c>
      <c r="AE74" s="61">
        <f t="shared" si="83"/>
        <v>-77.597083694046887</v>
      </c>
      <c r="AF74" s="31" t="str">
        <f t="shared" si="84"/>
        <v>-6627.51882264077</v>
      </c>
      <c r="AG74" s="31" t="str">
        <f t="shared" si="85"/>
        <v>228.128669909085i</v>
      </c>
      <c r="AH74" s="31">
        <f t="shared" si="86"/>
        <v>228.128669909085</v>
      </c>
      <c r="AI74" s="31">
        <f t="shared" si="87"/>
        <v>1.5707963267948966</v>
      </c>
      <c r="AJ74" s="31" t="str">
        <f t="shared" si="67"/>
        <v>0.999993789225371+0.11135986957277i</v>
      </c>
      <c r="AK74" s="31">
        <f t="shared" si="88"/>
        <v>1.0061752327704057</v>
      </c>
      <c r="AL74" s="31">
        <f t="shared" si="89"/>
        <v>0.11090362244542334</v>
      </c>
      <c r="AM74" s="31" t="str">
        <f t="shared" si="68"/>
        <v>1+0.132298659540376i</v>
      </c>
      <c r="AN74" s="31">
        <f t="shared" si="90"/>
        <v>1.0087135050727636</v>
      </c>
      <c r="AO74" s="31">
        <f t="shared" si="91"/>
        <v>0.13153479394308812</v>
      </c>
      <c r="AP74" s="31" t="str">
        <f t="shared" si="69"/>
        <v>1+0.106764217517452i</v>
      </c>
      <c r="AQ74" s="31">
        <f t="shared" si="92"/>
        <v>1.005683149974242</v>
      </c>
      <c r="AR74" s="31">
        <f t="shared" si="93"/>
        <v>0.10636131532358994</v>
      </c>
      <c r="AS74" s="58" t="str">
        <f t="shared" si="94"/>
        <v>-3.70968103238448+29.0546120414051i</v>
      </c>
      <c r="AT74" s="49">
        <f t="shared" si="95"/>
        <v>29.334529753252845</v>
      </c>
      <c r="AU74" s="61">
        <f t="shared" si="96"/>
        <v>97.276133524728621</v>
      </c>
      <c r="AV74" s="58" t="str">
        <f t="shared" si="70"/>
        <v>3362.54449900178+1202.57828034271i</v>
      </c>
      <c r="AW74" s="64">
        <f t="shared" si="97"/>
        <v>71.056089552010661</v>
      </c>
      <c r="AX74" s="61">
        <f t="shared" si="98"/>
        <v>19.679049830681759</v>
      </c>
    </row>
    <row r="75" spans="1:50" x14ac:dyDescent="0.35">
      <c r="N75" s="10">
        <v>57</v>
      </c>
      <c r="O75" s="50">
        <f t="shared" si="71"/>
        <v>37.15352290971726</v>
      </c>
      <c r="P75" s="48" t="str">
        <f t="shared" si="72"/>
        <v>547.187404092767</v>
      </c>
      <c r="Q75" s="17" t="str">
        <f t="shared" si="63"/>
        <v>1+4.47703696331672i</v>
      </c>
      <c r="R75" s="17">
        <f t="shared" si="73"/>
        <v>4.5873587139991789</v>
      </c>
      <c r="S75" s="17">
        <f t="shared" si="74"/>
        <v>1.3510414874144392</v>
      </c>
      <c r="T75" s="17" t="str">
        <f t="shared" si="64"/>
        <v>1+0.0000847142131137837i</v>
      </c>
      <c r="U75" s="17">
        <f t="shared" si="75"/>
        <v>1.0000000035882488</v>
      </c>
      <c r="V75" s="17">
        <f t="shared" si="76"/>
        <v>8.4714212911133252E-5</v>
      </c>
      <c r="W75" s="31" t="str">
        <f t="shared" si="65"/>
        <v>1-0.00147108331425083i</v>
      </c>
      <c r="X75" s="17">
        <f t="shared" si="77"/>
        <v>1.0000010820424734</v>
      </c>
      <c r="Y75" s="17">
        <f t="shared" si="78"/>
        <v>-1.4710822530685486E-3</v>
      </c>
      <c r="Z75" s="31" t="str">
        <f t="shared" si="66"/>
        <v>0.999999543674623+0.00703864263414716i</v>
      </c>
      <c r="AA75" s="17">
        <f t="shared" si="79"/>
        <v>1.0000243146241923</v>
      </c>
      <c r="AB75" s="17">
        <f t="shared" si="80"/>
        <v>7.0385296120614362E-3</v>
      </c>
      <c r="AC75" s="66" t="str">
        <f t="shared" si="81"/>
        <v>25.0199758207943-116.625192830075i</v>
      </c>
      <c r="AD75" s="64">
        <f t="shared" si="82"/>
        <v>41.53126603823538</v>
      </c>
      <c r="AE75" s="61">
        <f t="shared" si="83"/>
        <v>-77.891686254226315</v>
      </c>
      <c r="AF75" s="31" t="str">
        <f t="shared" si="84"/>
        <v>-6627.51882264077</v>
      </c>
      <c r="AG75" s="31" t="str">
        <f t="shared" si="85"/>
        <v>233.442469256296i</v>
      </c>
      <c r="AH75" s="31">
        <f t="shared" si="86"/>
        <v>233.44246925629599</v>
      </c>
      <c r="AI75" s="31">
        <f t="shared" si="87"/>
        <v>1.5707963267948966</v>
      </c>
      <c r="AJ75" s="31" t="str">
        <f t="shared" si="67"/>
        <v>0.999993496520581+0.113953774155114i</v>
      </c>
      <c r="AK75" s="31">
        <f t="shared" si="88"/>
        <v>1.0064653276331241</v>
      </c>
      <c r="AL75" s="31">
        <f t="shared" si="89"/>
        <v>0.11346506600224372</v>
      </c>
      <c r="AM75" s="31" t="str">
        <f t="shared" si="68"/>
        <v>1+0.135380291195804i</v>
      </c>
      <c r="AN75" s="31">
        <f t="shared" si="90"/>
        <v>1.0091223034123569</v>
      </c>
      <c r="AO75" s="31">
        <f t="shared" si="91"/>
        <v>0.13456219354662316</v>
      </c>
      <c r="AP75" s="31" t="str">
        <f t="shared" si="69"/>
        <v>1+0.109251075611946i</v>
      </c>
      <c r="AQ75" s="31">
        <f t="shared" si="92"/>
        <v>1.0059501963429238</v>
      </c>
      <c r="AR75" s="31">
        <f t="shared" si="93"/>
        <v>0.1088194959308211</v>
      </c>
      <c r="AS75" s="58" t="str">
        <f t="shared" si="94"/>
        <v>-3.70966686124507+28.3933822139381i</v>
      </c>
      <c r="AT75" s="49">
        <f t="shared" si="95"/>
        <v>29.137851359722827</v>
      </c>
      <c r="AU75" s="61">
        <f t="shared" si="96"/>
        <v>97.44367421371922</v>
      </c>
      <c r="AV75" s="58" t="str">
        <f t="shared" si="70"/>
        <v>3218.567900627+1143.04234949135i</v>
      </c>
      <c r="AW75" s="64">
        <f t="shared" si="97"/>
        <v>70.669117397958203</v>
      </c>
      <c r="AX75" s="61">
        <f t="shared" si="98"/>
        <v>19.551987959492944</v>
      </c>
    </row>
    <row r="76" spans="1:50" x14ac:dyDescent="0.35">
      <c r="N76" s="10">
        <v>58</v>
      </c>
      <c r="O76" s="50">
        <f t="shared" si="71"/>
        <v>38.018939632056139</v>
      </c>
      <c r="P76" s="48" t="str">
        <f t="shared" si="72"/>
        <v>547.187404092767</v>
      </c>
      <c r="Q76" s="17" t="str">
        <f t="shared" si="63"/>
        <v>1+4.5813205507439i</v>
      </c>
      <c r="R76" s="17">
        <f t="shared" si="73"/>
        <v>4.6891894809943855</v>
      </c>
      <c r="S76" s="17">
        <f t="shared" si="74"/>
        <v>1.3558894267897406</v>
      </c>
      <c r="T76" s="17" t="str">
        <f t="shared" si="64"/>
        <v>1+0.0000866874606259132i</v>
      </c>
      <c r="U76" s="17">
        <f t="shared" si="75"/>
        <v>1.0000000037573578</v>
      </c>
      <c r="V76" s="17">
        <f t="shared" si="76"/>
        <v>8.6687460408769329E-5</v>
      </c>
      <c r="W76" s="31" t="str">
        <f t="shared" si="65"/>
        <v>1-0.00150534924653402i</v>
      </c>
      <c r="X76" s="17">
        <f t="shared" si="77"/>
        <v>1.0000011330375351</v>
      </c>
      <c r="Y76" s="17">
        <f t="shared" si="78"/>
        <v>-1.5053481094567886E-3</v>
      </c>
      <c r="Z76" s="31" t="str">
        <f t="shared" si="66"/>
        <v>0.999999522168671+0.00720259368269134i</v>
      </c>
      <c r="AA76" s="17">
        <f t="shared" si="79"/>
        <v>1.0000254605225452</v>
      </c>
      <c r="AB76" s="17">
        <f t="shared" si="80"/>
        <v>7.2024725775110777E-3</v>
      </c>
      <c r="AC76" s="66" t="str">
        <f t="shared" si="81"/>
        <v>23.900802370557-114.214439414828i</v>
      </c>
      <c r="AD76" s="64">
        <f t="shared" si="82"/>
        <v>41.340554920748588</v>
      </c>
      <c r="AE76" s="61">
        <f t="shared" si="83"/>
        <v>-78.180696189966341</v>
      </c>
      <c r="AF76" s="31" t="str">
        <f t="shared" si="84"/>
        <v>-6627.51882264077</v>
      </c>
      <c r="AG76" s="31" t="str">
        <f t="shared" si="85"/>
        <v>238.880042890683i</v>
      </c>
      <c r="AH76" s="31">
        <f t="shared" si="86"/>
        <v>238.880042890683</v>
      </c>
      <c r="AI76" s="31">
        <f t="shared" si="87"/>
        <v>1.5707963267948966</v>
      </c>
      <c r="AJ76" s="31" t="str">
        <f t="shared" si="67"/>
        <v>0.999993190021038+0.116608098536872i</v>
      </c>
      <c r="AK76" s="31">
        <f t="shared" si="88"/>
        <v>1.0067690046544127</v>
      </c>
      <c r="AL76" s="31">
        <f t="shared" si="89"/>
        <v>0.11608462828439382</v>
      </c>
      <c r="AM76" s="31" t="str">
        <f t="shared" si="68"/>
        <v>1+0.138533703273594i</v>
      </c>
      <c r="AN76" s="31">
        <f t="shared" si="90"/>
        <v>1.0095501904029816</v>
      </c>
      <c r="AO76" s="31">
        <f t="shared" si="91"/>
        <v>0.1376575430985949</v>
      </c>
      <c r="AP76" s="31" t="str">
        <f t="shared" si="69"/>
        <v>1+0.111795860072839i</v>
      </c>
      <c r="AQ76" s="31">
        <f t="shared" si="92"/>
        <v>1.0062297522581141</v>
      </c>
      <c r="AR76" s="31">
        <f t="shared" si="93"/>
        <v>0.11133356860424677</v>
      </c>
      <c r="AS76" s="58" t="str">
        <f t="shared" si="94"/>
        <v>-3.70965203973811+27.7472067834215i</v>
      </c>
      <c r="AT76" s="49">
        <f t="shared" si="95"/>
        <v>28.941326689026848</v>
      </c>
      <c r="AU76" s="61">
        <f t="shared" si="96"/>
        <v>97.614980569802512</v>
      </c>
      <c r="AV76" s="58" t="str">
        <f t="shared" si="70"/>
        <v>3080.46800783049+1086.8763338083i</v>
      </c>
      <c r="AW76" s="64">
        <f t="shared" si="97"/>
        <v>70.281881609775454</v>
      </c>
      <c r="AX76" s="61">
        <f t="shared" si="98"/>
        <v>19.434284379836196</v>
      </c>
    </row>
    <row r="77" spans="1:50" x14ac:dyDescent="0.35">
      <c r="N77" s="10">
        <v>59</v>
      </c>
      <c r="O77" s="50">
        <f t="shared" si="71"/>
        <v>38.904514499428053</v>
      </c>
      <c r="P77" s="48" t="str">
        <f t="shared" si="72"/>
        <v>547.187404092767</v>
      </c>
      <c r="Q77" s="17" t="str">
        <f t="shared" si="63"/>
        <v>1+4.68803321496804i</v>
      </c>
      <c r="R77" s="17">
        <f t="shared" si="73"/>
        <v>4.7935013742194315</v>
      </c>
      <c r="S77" s="17">
        <f t="shared" si="74"/>
        <v>1.3606369484615419</v>
      </c>
      <c r="T77" s="17" t="str">
        <f t="shared" si="64"/>
        <v>1+0.0000887066709771108i</v>
      </c>
      <c r="U77" s="17">
        <f t="shared" si="75"/>
        <v>1.0000000039344368</v>
      </c>
      <c r="V77" s="17">
        <f t="shared" si="76"/>
        <v>8.8706670744436949E-5</v>
      </c>
      <c r="W77" s="31" t="str">
        <f t="shared" si="65"/>
        <v>1-0.00154041333491338i</v>
      </c>
      <c r="X77" s="17">
        <f t="shared" si="77"/>
        <v>1.0000011864359173</v>
      </c>
      <c r="Y77" s="17">
        <f t="shared" si="78"/>
        <v>-1.5404121165132532E-3</v>
      </c>
      <c r="Z77" s="31" t="str">
        <f t="shared" si="66"/>
        <v>0.999999499649174+0.00737036364174368i</v>
      </c>
      <c r="AA77" s="17">
        <f t="shared" si="79"/>
        <v>1.0000266604240158</v>
      </c>
      <c r="AB77" s="17">
        <f t="shared" si="80"/>
        <v>7.3702338753918956E-3</v>
      </c>
      <c r="AC77" s="66" t="str">
        <f t="shared" si="81"/>
        <v>22.827512561789-111.843205620867i</v>
      </c>
      <c r="AD77" s="64">
        <f t="shared" si="82"/>
        <v>41.149443481622953</v>
      </c>
      <c r="AE77" s="61">
        <f t="shared" si="83"/>
        <v>-78.464214486628705</v>
      </c>
      <c r="AF77" s="31" t="str">
        <f t="shared" si="84"/>
        <v>-6627.51882264077</v>
      </c>
      <c r="AG77" s="31" t="str">
        <f t="shared" si="85"/>
        <v>244.444273885762i</v>
      </c>
      <c r="AH77" s="31">
        <f t="shared" si="86"/>
        <v>244.44427388576199</v>
      </c>
      <c r="AI77" s="31">
        <f t="shared" si="87"/>
        <v>1.5707963267948966</v>
      </c>
      <c r="AJ77" s="31" t="str">
        <f t="shared" si="67"/>
        <v>0.999992869076618+0.119324250075965i</v>
      </c>
      <c r="AK77" s="31">
        <f t="shared" si="88"/>
        <v>1.0070868953870253</v>
      </c>
      <c r="AL77" s="31">
        <f t="shared" si="89"/>
        <v>0.11876355455411147</v>
      </c>
      <c r="AM77" s="31" t="str">
        <f t="shared" si="68"/>
        <v>1+0.14176056775457i</v>
      </c>
      <c r="AN77" s="31">
        <f t="shared" si="90"/>
        <v>1.0099980487951934</v>
      </c>
      <c r="AO77" s="31">
        <f t="shared" si="91"/>
        <v>0.14082224641235006</v>
      </c>
      <c r="AP77" s="31" t="str">
        <f t="shared" si="69"/>
        <v>1+0.114399920178536i</v>
      </c>
      <c r="AQ77" s="31">
        <f t="shared" si="92"/>
        <v>1.006522400017434</v>
      </c>
      <c r="AR77" s="31">
        <f t="shared" si="93"/>
        <v>0.11390473914665865</v>
      </c>
      <c r="AS77" s="58" t="str">
        <f t="shared" si="94"/>
        <v>-3.70963653886609+27.1157431286424i</v>
      </c>
      <c r="AT77" s="49">
        <f t="shared" si="95"/>
        <v>28.744962719093866</v>
      </c>
      <c r="AU77" s="61">
        <f t="shared" si="96"/>
        <v>97.790130764698731</v>
      </c>
      <c r="AV77" s="58" t="str">
        <f t="shared" si="70"/>
        <v>2948.02985960873+1033.88260908641i</v>
      </c>
      <c r="AW77" s="64">
        <f t="shared" si="97"/>
        <v>69.894406200716816</v>
      </c>
      <c r="AX77" s="61">
        <f t="shared" si="98"/>
        <v>19.325916278070011</v>
      </c>
    </row>
    <row r="78" spans="1:50" x14ac:dyDescent="0.35">
      <c r="N78" s="10">
        <v>60</v>
      </c>
      <c r="O78" s="50">
        <f t="shared" si="71"/>
        <v>39.810717055349755</v>
      </c>
      <c r="P78" s="48" t="str">
        <f t="shared" si="72"/>
        <v>547.187404092767</v>
      </c>
      <c r="Q78" s="17" t="str">
        <f t="shared" si="63"/>
        <v>1+4.7972315364562i</v>
      </c>
      <c r="R78" s="17">
        <f t="shared" si="73"/>
        <v>4.9003500297805171</v>
      </c>
      <c r="S78" s="17">
        <f t="shared" si="74"/>
        <v>1.365285713199744</v>
      </c>
      <c r="T78" s="17" t="str">
        <f t="shared" si="64"/>
        <v>1+0.0000907729147794318i</v>
      </c>
      <c r="U78" s="17">
        <f t="shared" si="75"/>
        <v>1.0000000041198609</v>
      </c>
      <c r="V78" s="17">
        <f t="shared" si="76"/>
        <v>9.0772914530117275E-5</v>
      </c>
      <c r="W78" s="31" t="str">
        <f t="shared" si="65"/>
        <v>1-0.00157629417083268i</v>
      </c>
      <c r="X78" s="17">
        <f t="shared" si="77"/>
        <v>1.0000012423508848</v>
      </c>
      <c r="Y78" s="17">
        <f t="shared" si="78"/>
        <v>-1.5762928652935102E-3</v>
      </c>
      <c r="Z78" s="31" t="str">
        <f t="shared" si="66"/>
        <v>0.999999476068366+0.00754204146515715i</v>
      </c>
      <c r="AA78" s="17">
        <f t="shared" si="79"/>
        <v>1.0000279168735584</v>
      </c>
      <c r="AB78" s="17">
        <f t="shared" si="80"/>
        <v>7.5419024182156666E-3</v>
      </c>
      <c r="AC78" s="66" t="str">
        <f t="shared" si="81"/>
        <v>21.7984109167274-109.511517275424i</v>
      </c>
      <c r="AD78" s="64">
        <f t="shared" si="82"/>
        <v>40.957948128182636</v>
      </c>
      <c r="AE78" s="61">
        <f t="shared" si="83"/>
        <v>-78.742342397478382</v>
      </c>
      <c r="AF78" s="31" t="str">
        <f t="shared" si="84"/>
        <v>-6627.51882264077</v>
      </c>
      <c r="AG78" s="31" t="str">
        <f t="shared" si="85"/>
        <v>250.138112470457i</v>
      </c>
      <c r="AH78" s="31">
        <f t="shared" si="86"/>
        <v>250.138112470457</v>
      </c>
      <c r="AI78" s="31">
        <f t="shared" si="87"/>
        <v>1.5707963267948966</v>
      </c>
      <c r="AJ78" s="31" t="str">
        <f t="shared" si="67"/>
        <v>0.999992533006552+0.122103668911891i</v>
      </c>
      <c r="AK78" s="31">
        <f t="shared" si="88"/>
        <v>1.0074196603355547</v>
      </c>
      <c r="AL78" s="31">
        <f t="shared" si="89"/>
        <v>0.12150311155950408</v>
      </c>
      <c r="AM78" s="31" t="str">
        <f t="shared" si="68"/>
        <v>1+0.145062595564992i</v>
      </c>
      <c r="AN78" s="31">
        <f t="shared" si="90"/>
        <v>1.0104668013507681</v>
      </c>
      <c r="AO78" s="31">
        <f t="shared" si="91"/>
        <v>0.14405772775769396</v>
      </c>
      <c r="AP78" s="31" t="str">
        <f t="shared" si="69"/>
        <v>1+0.117064636636174i</v>
      </c>
      <c r="AQ78" s="31">
        <f t="shared" si="92"/>
        <v>1.0068287486711727</v>
      </c>
      <c r="AR78" s="31">
        <f t="shared" si="93"/>
        <v>0.11653423477070854</v>
      </c>
      <c r="AS78" s="58" t="str">
        <f t="shared" si="94"/>
        <v>-3.70962032841953+26.4986564280545i</v>
      </c>
      <c r="AT78" s="49">
        <f t="shared" si="95"/>
        <v>28.548766731731043</v>
      </c>
      <c r="AU78" s="61">
        <f t="shared" si="96"/>
        <v>97.969204137842013</v>
      </c>
      <c r="AV78" s="58" t="str">
        <f t="shared" si="70"/>
        <v>2821.04424293248+983.874752240891i</v>
      </c>
      <c r="AW78" s="64">
        <f t="shared" si="97"/>
        <v>69.506714859913671</v>
      </c>
      <c r="AX78" s="61">
        <f t="shared" si="98"/>
        <v>19.226861740363642</v>
      </c>
    </row>
    <row r="79" spans="1:50" x14ac:dyDescent="0.35">
      <c r="N79" s="10">
        <v>61</v>
      </c>
      <c r="O79" s="50">
        <f t="shared" si="71"/>
        <v>40.738027780411279</v>
      </c>
      <c r="P79" s="48" t="str">
        <f t="shared" si="72"/>
        <v>547.187404092767</v>
      </c>
      <c r="Q79" s="17" t="str">
        <f t="shared" si="63"/>
        <v>1+4.90897341360387i</v>
      </c>
      <c r="R79" s="17">
        <f t="shared" si="73"/>
        <v>5.0097924084206955</v>
      </c>
      <c r="S79" s="17">
        <f t="shared" si="74"/>
        <v>1.3698373817499823</v>
      </c>
      <c r="T79" s="17" t="str">
        <f t="shared" si="64"/>
        <v>1+0.0000928872875826908i</v>
      </c>
      <c r="U79" s="17">
        <f t="shared" si="75"/>
        <v>1.000000004314024</v>
      </c>
      <c r="V79" s="17">
        <f t="shared" si="76"/>
        <v>9.2887287315545467E-5</v>
      </c>
      <c r="W79" s="31" t="str">
        <f t="shared" si="65"/>
        <v>1-0.00161301077878608i</v>
      </c>
      <c r="X79" s="17">
        <f t="shared" si="77"/>
        <v>1.00000130090104</v>
      </c>
      <c r="Y79" s="17">
        <f t="shared" si="78"/>
        <v>-1.613009379875754E-3</v>
      </c>
      <c r="Z79" s="31" t="str">
        <f t="shared" si="66"/>
        <v>0.999999451376229+0.00771771817878619i</v>
      </c>
      <c r="AA79" s="17">
        <f t="shared" si="79"/>
        <v>1.0000292325360527</v>
      </c>
      <c r="AB79" s="17">
        <f t="shared" si="80"/>
        <v>7.7175691875392563E-3</v>
      </c>
      <c r="AC79" s="66" t="str">
        <f t="shared" si="81"/>
        <v>20.8118488260258-107.219347836026i</v>
      </c>
      <c r="AD79" s="64">
        <f t="shared" si="82"/>
        <v>40.766084656757727</v>
      </c>
      <c r="AE79" s="61">
        <f t="shared" si="83"/>
        <v>-79.015181316319413</v>
      </c>
      <c r="AF79" s="31" t="str">
        <f t="shared" si="84"/>
        <v>-6627.51882264077</v>
      </c>
      <c r="AG79" s="31" t="str">
        <f t="shared" si="85"/>
        <v>255.964577593354i</v>
      </c>
      <c r="AH79" s="31">
        <f t="shared" si="86"/>
        <v>255.96457759335399</v>
      </c>
      <c r="AI79" s="31">
        <f t="shared" si="87"/>
        <v>1.5707963267948966</v>
      </c>
      <c r="AJ79" s="31" t="str">
        <f t="shared" si="67"/>
        <v>0.999992181097993+0.124947828729308i</v>
      </c>
      <c r="AK79" s="31">
        <f t="shared" si="88"/>
        <v>1.0077679902444261</v>
      </c>
      <c r="AL79" s="31">
        <f t="shared" si="89"/>
        <v>0.12430458752571516</v>
      </c>
      <c r="AM79" s="31" t="str">
        <f t="shared" si="68"/>
        <v>1+0.148441537483714i</v>
      </c>
      <c r="AN79" s="31">
        <f t="shared" si="90"/>
        <v>1.0109574125800398</v>
      </c>
      <c r="AO79" s="31">
        <f t="shared" si="91"/>
        <v>0.14736543152725301</v>
      </c>
      <c r="AP79" s="31" t="str">
        <f t="shared" si="69"/>
        <v>1+0.119791422313689i</v>
      </c>
      <c r="AQ79" s="31">
        <f t="shared" si="92"/>
        <v>1.0071494352180002</v>
      </c>
      <c r="AR79" s="31">
        <f t="shared" si="93"/>
        <v>0.11922330414339009</v>
      </c>
      <c r="AS79" s="58" t="str">
        <f t="shared" si="94"/>
        <v>-3.70960337693356+25.895619482203i</v>
      </c>
      <c r="AT79" s="49">
        <f t="shared" si="95"/>
        <v>28.352746324643793</v>
      </c>
      <c r="AU79" s="61">
        <f t="shared" si="96"/>
        <v>98.152281180318525</v>
      </c>
      <c r="AV79" s="58" t="str">
        <f t="shared" si="70"/>
        <v>2699.30772800644+936.676972725033i</v>
      </c>
      <c r="AW79" s="64">
        <f t="shared" si="97"/>
        <v>69.118830981401516</v>
      </c>
      <c r="AX79" s="61">
        <f t="shared" si="98"/>
        <v>19.137099863999101</v>
      </c>
    </row>
    <row r="80" spans="1:50" x14ac:dyDescent="0.35">
      <c r="N80" s="10">
        <v>62</v>
      </c>
      <c r="O80" s="50">
        <f t="shared" si="71"/>
        <v>41.686938347033561</v>
      </c>
      <c r="P80" s="48" t="str">
        <f t="shared" si="72"/>
        <v>547.187404092767</v>
      </c>
      <c r="Q80" s="17" t="str">
        <f t="shared" si="63"/>
        <v>1+5.02331809343338i</v>
      </c>
      <c r="R80" s="17">
        <f t="shared" si="73"/>
        <v>5.1218868269237623</v>
      </c>
      <c r="S80" s="17">
        <f t="shared" si="74"/>
        <v>1.3742936127116372</v>
      </c>
      <c r="T80" s="17" t="str">
        <f t="shared" si="64"/>
        <v>1+0.0000950509104553347i</v>
      </c>
      <c r="U80" s="17">
        <f t="shared" si="75"/>
        <v>1.0000000045173378</v>
      </c>
      <c r="V80" s="17">
        <f t="shared" si="76"/>
        <v>9.5050910169083323E-5</v>
      </c>
      <c r="W80" s="31" t="str">
        <f t="shared" si="65"/>
        <v>1-0.00165058262640513i</v>
      </c>
      <c r="X80" s="17">
        <f t="shared" si="77"/>
        <v>1.0000013622105755</v>
      </c>
      <c r="Y80" s="17">
        <f t="shared" si="78"/>
        <v>-1.6505811274458199E-3</v>
      </c>
      <c r="Z80" s="31" t="str">
        <f t="shared" si="66"/>
        <v>0.999999425520387+0.00789748692874971i</v>
      </c>
      <c r="AA80" s="17">
        <f t="shared" si="79"/>
        <v>1.0000306102019547</v>
      </c>
      <c r="AB80" s="17">
        <f t="shared" si="80"/>
        <v>7.8973272820162099E-3</v>
      </c>
      <c r="AC80" s="66" t="str">
        <f t="shared" si="81"/>
        <v>19.8662246606452-104.966622055605i</v>
      </c>
      <c r="AD80" s="64">
        <f t="shared" si="82"/>
        <v>40.573868269760865</v>
      </c>
      <c r="AE80" s="61">
        <f t="shared" si="83"/>
        <v>-79.28283265921138</v>
      </c>
      <c r="AF80" s="31" t="str">
        <f t="shared" si="84"/>
        <v>-6627.51882264077</v>
      </c>
      <c r="AG80" s="31" t="str">
        <f t="shared" si="85"/>
        <v>261.926758523383i</v>
      </c>
      <c r="AH80" s="31">
        <f t="shared" si="86"/>
        <v>261.926758523383</v>
      </c>
      <c r="AI80" s="31">
        <f t="shared" si="87"/>
        <v>1.5707963267948966</v>
      </c>
      <c r="AJ80" s="31" t="str">
        <f t="shared" si="67"/>
        <v>0.999991812604494+0.127858237539397i</v>
      </c>
      <c r="AK80" s="31">
        <f t="shared" si="88"/>
        <v>1.008132607439469</v>
      </c>
      <c r="AL80" s="31">
        <f t="shared" si="89"/>
        <v>0.12716929211281455</v>
      </c>
      <c r="AM80" s="31" t="str">
        <f t="shared" si="68"/>
        <v>1+0.151899185070466i</v>
      </c>
      <c r="AN80" s="31">
        <f t="shared" si="90"/>
        <v>1.0114708905475587</v>
      </c>
      <c r="AO80" s="31">
        <f t="shared" si="91"/>
        <v>0.15074682184471136</v>
      </c>
      <c r="AP80" s="31" t="str">
        <f t="shared" si="69"/>
        <v>1+0.122581722988943i</v>
      </c>
      <c r="AQ80" s="31">
        <f t="shared" si="92"/>
        <v>1.0074851258509665</v>
      </c>
      <c r="AR80" s="31">
        <f t="shared" si="93"/>
        <v>0.12197321740183219</v>
      </c>
      <c r="AS80" s="58" t="str">
        <f t="shared" si="94"/>
        <v>-3.7095856516449+25.3063125401908i</v>
      </c>
      <c r="AT80" s="49">
        <f t="shared" si="95"/>
        <v>28.156909423816874</v>
      </c>
      <c r="AU80" s="61">
        <f t="shared" si="96"/>
        <v>98.339443515738481</v>
      </c>
      <c r="AV80" s="58" t="str">
        <f t="shared" si="70"/>
        <v>2582.62268207374+892.123565335039i</v>
      </c>
      <c r="AW80" s="64">
        <f t="shared" si="97"/>
        <v>68.73077769357775</v>
      </c>
      <c r="AX80" s="61">
        <f t="shared" si="98"/>
        <v>19.056610856527133</v>
      </c>
    </row>
    <row r="81" spans="14:50" x14ac:dyDescent="0.35">
      <c r="N81" s="10">
        <v>63</v>
      </c>
      <c r="O81" s="50">
        <f t="shared" si="71"/>
        <v>42.657951880159267</v>
      </c>
      <c r="P81" s="48" t="str">
        <f t="shared" si="72"/>
        <v>547.187404092767</v>
      </c>
      <c r="Q81" s="17" t="str">
        <f t="shared" si="63"/>
        <v>1+5.1403262030075i</v>
      </c>
      <c r="R81" s="17">
        <f t="shared" si="73"/>
        <v>5.2366929901728536</v>
      </c>
      <c r="S81" s="17">
        <f t="shared" si="74"/>
        <v>1.3786560605665132</v>
      </c>
      <c r="T81" s="17" t="str">
        <f t="shared" si="64"/>
        <v>1+0.0000972649305788495i</v>
      </c>
      <c r="U81" s="17">
        <f t="shared" si="75"/>
        <v>1.0000000047302333</v>
      </c>
      <c r="V81" s="17">
        <f t="shared" si="76"/>
        <v>9.7264930272125617E-5</v>
      </c>
      <c r="W81" s="31" t="str">
        <f t="shared" si="65"/>
        <v>1-0.00168902963478073i</v>
      </c>
      <c r="X81" s="17">
        <f t="shared" si="77"/>
        <v>1.0000014264095363</v>
      </c>
      <c r="Y81" s="17">
        <f t="shared" si="78"/>
        <v>-1.689028028617015E-3</v>
      </c>
      <c r="Z81" s="31" t="str">
        <f t="shared" si="66"/>
        <v>0.999999398445997+0.00808144303081842i</v>
      </c>
      <c r="AA81" s="17">
        <f t="shared" si="79"/>
        <v>1.0000320527932174</v>
      </c>
      <c r="AB81" s="17">
        <f t="shared" si="80"/>
        <v>8.0812719665575555E-3</v>
      </c>
      <c r="AC81" s="66" t="str">
        <f t="shared" si="81"/>
        <v>18.9599837264157-102.753219491538i</v>
      </c>
      <c r="AD81" s="64">
        <f t="shared" si="82"/>
        <v>40.381313592773864</v>
      </c>
      <c r="AE81" s="61">
        <f t="shared" si="83"/>
        <v>-79.545397754894594</v>
      </c>
      <c r="AF81" s="31" t="str">
        <f t="shared" si="84"/>
        <v>-6627.51882264077</v>
      </c>
      <c r="AG81" s="31" t="str">
        <f t="shared" si="85"/>
        <v>268.027816487791i</v>
      </c>
      <c r="AH81" s="31">
        <f t="shared" si="86"/>
        <v>268.02781648779097</v>
      </c>
      <c r="AI81" s="31">
        <f t="shared" si="87"/>
        <v>1.5707963267948966</v>
      </c>
      <c r="AJ81" s="31" t="str">
        <f t="shared" si="67"/>
        <v>0.999991426744432+0.130836438479433i</v>
      </c>
      <c r="AK81" s="31">
        <f t="shared" si="88"/>
        <v>1.0085142672249845</v>
      </c>
      <c r="AL81" s="31">
        <f t="shared" si="89"/>
        <v>0.13009855633767037</v>
      </c>
      <c r="AM81" s="31" t="str">
        <f t="shared" si="68"/>
        <v>1+0.155437371615765i</v>
      </c>
      <c r="AN81" s="31">
        <f t="shared" si="90"/>
        <v>1.0120082887480801</v>
      </c>
      <c r="AO81" s="31">
        <f t="shared" si="91"/>
        <v>0.15420338211084048</v>
      </c>
      <c r="AP81" s="31" t="str">
        <f t="shared" si="69"/>
        <v>1+0.125437018116286i</v>
      </c>
      <c r="AQ81" s="31">
        <f t="shared" si="92"/>
        <v>1.0078365172556041</v>
      </c>
      <c r="AR81" s="31">
        <f t="shared" si="93"/>
        <v>0.12478526613790683</v>
      </c>
      <c r="AS81" s="58" t="str">
        <f t="shared" si="94"/>
        <v>-3.7095671184468+24.730423130088i</v>
      </c>
      <c r="AT81" s="49">
        <f t="shared" si="95"/>
        <v>27.96126429625383</v>
      </c>
      <c r="AU81" s="61">
        <f t="shared" si="96"/>
        <v>98.530773877819669</v>
      </c>
      <c r="AV81" s="58" t="str">
        <f t="shared" si="70"/>
        <v>2470.79726380674+850.058384434199i</v>
      </c>
      <c r="AW81" s="64">
        <f t="shared" si="97"/>
        <v>68.34257788902768</v>
      </c>
      <c r="AX81" s="61">
        <f t="shared" si="98"/>
        <v>18.985376122925079</v>
      </c>
    </row>
    <row r="82" spans="14:50" x14ac:dyDescent="0.35">
      <c r="N82" s="10">
        <v>64</v>
      </c>
      <c r="O82" s="50">
        <f t="shared" si="71"/>
        <v>43.651583224016633</v>
      </c>
      <c r="P82" s="48" t="str">
        <f t="shared" si="72"/>
        <v>547.187404092767</v>
      </c>
      <c r="Q82" s="17" t="str">
        <f t="shared" si="63"/>
        <v>1+5.2600597815747i</v>
      </c>
      <c r="R82" s="17">
        <f t="shared" si="73"/>
        <v>5.3542720238833299</v>
      </c>
      <c r="S82" s="17">
        <f t="shared" si="74"/>
        <v>1.3829263738516291</v>
      </c>
      <c r="T82" s="17" t="str">
        <f t="shared" si="64"/>
        <v>1+0.0000995305218560105i</v>
      </c>
      <c r="U82" s="17">
        <f t="shared" si="75"/>
        <v>1.0000000049531623</v>
      </c>
      <c r="V82" s="17">
        <f t="shared" si="76"/>
        <v>9.9530521527349942E-5</v>
      </c>
      <c r="W82" s="31" t="str">
        <f t="shared" si="65"/>
        <v>1-0.00172837218902564i</v>
      </c>
      <c r="X82" s="17">
        <f t="shared" si="77"/>
        <v>1.0000014936340964</v>
      </c>
      <c r="Y82" s="17">
        <f t="shared" si="78"/>
        <v>-1.7283704679903508E-3</v>
      </c>
      <c r="Z82" s="31" t="str">
        <f t="shared" si="66"/>
        <v>0.99999937009563+0.00826968402095262i</v>
      </c>
      <c r="AA82" s="17">
        <f t="shared" si="79"/>
        <v>1.0000335633694817</v>
      </c>
      <c r="AB82" s="17">
        <f t="shared" si="80"/>
        <v>8.2695007226268949E-3</v>
      </c>
      <c r="AC82" s="66" t="str">
        <f t="shared" si="81"/>
        <v>18.0916180768786-100.578977858906i</v>
      </c>
      <c r="AD82" s="64">
        <f t="shared" si="82"/>
        <v>40.188434691588341</v>
      </c>
      <c r="AE82" s="61">
        <f t="shared" si="83"/>
        <v>-79.802977743550912</v>
      </c>
      <c r="AF82" s="31" t="str">
        <f t="shared" si="84"/>
        <v>-6627.51882264077</v>
      </c>
      <c r="AG82" s="31" t="str">
        <f t="shared" si="85"/>
        <v>274.270986348268i</v>
      </c>
      <c r="AH82" s="31">
        <f t="shared" si="86"/>
        <v>274.27098634826802</v>
      </c>
      <c r="AI82" s="31">
        <f t="shared" si="87"/>
        <v>1.5707963267948966</v>
      </c>
      <c r="AJ82" s="31" t="str">
        <f t="shared" si="67"/>
        <v>0.999991022699344+0.133884010630975i</v>
      </c>
      <c r="AK82" s="31">
        <f t="shared" si="88"/>
        <v>1.0089137593381878</v>
      </c>
      <c r="AL82" s="31">
        <f t="shared" si="89"/>
        <v>0.13309373245688169</v>
      </c>
      <c r="AM82" s="31" t="str">
        <f t="shared" si="68"/>
        <v>1+0.159057973112951i</v>
      </c>
      <c r="AN82" s="31">
        <f t="shared" si="90"/>
        <v>1.0125707080548993</v>
      </c>
      <c r="AO82" s="31">
        <f t="shared" si="91"/>
        <v>0.15773661448302156</v>
      </c>
      <c r="AP82" s="31" t="str">
        <f t="shared" si="69"/>
        <v>1+0.128358821610989i</v>
      </c>
      <c r="AQ82" s="31">
        <f t="shared" si="92"/>
        <v>1.0082043379619836</v>
      </c>
      <c r="AR82" s="31">
        <f t="shared" si="93"/>
        <v>0.12766076334905616</v>
      </c>
      <c r="AS82" s="58" t="str">
        <f t="shared" si="94"/>
        <v>-3.70954774184435+24.167645893201i</v>
      </c>
      <c r="AT82" s="49">
        <f t="shared" si="95"/>
        <v>27.765819563074725</v>
      </c>
      <c r="AU82" s="61">
        <f t="shared" si="96"/>
        <v>98.726356084455901</v>
      </c>
      <c r="AV82" s="58" t="str">
        <f t="shared" si="70"/>
        <v>2363.64540021075+810.334339510554i</v>
      </c>
      <c r="AW82" s="64">
        <f t="shared" si="97"/>
        <v>67.95425425466307</v>
      </c>
      <c r="AX82" s="61">
        <f t="shared" si="98"/>
        <v>18.923378340904982</v>
      </c>
    </row>
    <row r="83" spans="14:50" x14ac:dyDescent="0.35">
      <c r="N83" s="10">
        <v>65</v>
      </c>
      <c r="O83" s="50">
        <f t="shared" si="71"/>
        <v>44.668359215096324</v>
      </c>
      <c r="P83" s="48" t="str">
        <f t="shared" ref="P83:P146" si="99">COMPLEX(Adc,0)</f>
        <v>547.187404092767</v>
      </c>
      <c r="Q83" s="17" t="str">
        <f t="shared" ref="Q83:Q146" si="100">IMSUM(COMPLEX(1,0),IMDIV(COMPLEX(0,2*PI()*O83),COMPLEX(wp_lf,0)))</f>
        <v>1+5.38258231346322i</v>
      </c>
      <c r="R83" s="17">
        <f t="shared" si="73"/>
        <v>5.4746865080301239</v>
      </c>
      <c r="S83" s="17">
        <f t="shared" si="74"/>
        <v>1.387106193469599</v>
      </c>
      <c r="T83" s="17" t="str">
        <f t="shared" ref="T83:T146" si="101">IMSUM(COMPLEX(1,0),IMDIV(COMPLEX(0,2*PI()*O83),COMPLEX(wz_esr,0)))</f>
        <v>1+0.000101848885533302i</v>
      </c>
      <c r="U83" s="17">
        <f t="shared" si="75"/>
        <v>1.0000000051865976</v>
      </c>
      <c r="V83" s="17">
        <f t="shared" si="76"/>
        <v>1.0184888518113587E-4</v>
      </c>
      <c r="W83" s="31" t="str">
        <f t="shared" ref="W83:W146" si="102">IMSUB(COMPLEX(1,0),IMDIV(COMPLEX(0,2*PI()*O83),COMPLEX(wz_rhp,0)))</f>
        <v>1-0.00176863114908288i</v>
      </c>
      <c r="X83" s="17">
        <f t="shared" si="77"/>
        <v>1.0000015640268476</v>
      </c>
      <c r="Y83" s="17">
        <f t="shared" si="78"/>
        <v>-1.7686293049604986E-3</v>
      </c>
      <c r="Z83" s="31" t="str">
        <f t="shared" ref="Z83:Z146" si="103">IMSUM(COMPLEX(1,0),IMDIV(COMPLEX(0,2*PI()*O83),COMPLEX(Q*(wsl/2),0)),IMDIV(IMPOWER(COMPLEX(0,2*PI()*O83),2),IMPOWER(COMPLEX(wsl/2,0),2)))</f>
        <v>0.999999340409152+0.00846230970701694i</v>
      </c>
      <c r="AA83" s="17">
        <f t="shared" si="79"/>
        <v>1.0000351451345679</v>
      </c>
      <c r="AB83" s="17">
        <f t="shared" si="80"/>
        <v>8.4621132996950694E-3</v>
      </c>
      <c r="AC83" s="66" t="str">
        <f t="shared" si="81"/>
        <v>17.259666199093-98.4436962291271i</v>
      </c>
      <c r="AD83" s="64">
        <f t="shared" si="82"/>
        <v>39.995245089153293</v>
      </c>
      <c r="AE83" s="61">
        <f t="shared" si="83"/>
        <v>-80.055673483527514</v>
      </c>
      <c r="AF83" s="31" t="str">
        <f t="shared" ref="AF83:AF146" si="104">COMPLEX(Adc_ea_iso,0)</f>
        <v>-6627.51882264077</v>
      </c>
      <c r="AG83" s="31" t="str">
        <f t="shared" si="85"/>
        <v>280.659578316113i</v>
      </c>
      <c r="AH83" s="31">
        <f t="shared" si="86"/>
        <v>280.65957831611303</v>
      </c>
      <c r="AI83" s="31">
        <f t="shared" si="87"/>
        <v>1.5707963267948966</v>
      </c>
      <c r="AJ83" s="31" t="str">
        <f t="shared" ref="AJ83:AJ146" si="105">IMSUM(IMPRODUCT(COMPLEX(wpA_ea_iso,0),IMPOWER(COMPLEX(0,2*PI()*O83),2)),COMPLEX(0,wpB_ea_iso*2*PI()*O83),COMPLEX(1,0))</f>
        <v>0.999990599612199+0.137002569857119i</v>
      </c>
      <c r="AK83" s="31">
        <f t="shared" si="88"/>
        <v>1.0093319094629971</v>
      </c>
      <c r="AL83" s="31">
        <f t="shared" si="89"/>
        <v>0.13615619380769836</v>
      </c>
      <c r="AM83" s="31" t="str">
        <f t="shared" ref="AM83:AM146" si="106">IMSUM(COMPLEX(1,0),IMDIV(COMPLEX(0,2*PI()*O83),COMPLEX(wz1_ea_iso,0)))</f>
        <v>1+0.162762909252864i</v>
      </c>
      <c r="AN83" s="31">
        <f t="shared" si="90"/>
        <v>1.0131592987425304</v>
      </c>
      <c r="AO83" s="31">
        <f t="shared" si="91"/>
        <v>0.16134803928377184</v>
      </c>
      <c r="AP83" s="31" t="str">
        <f t="shared" ref="AP83:AP146" si="107">IMSUM(COMPLEX(1,0),IMDIV(COMPLEX(0,2*PI()*O83),COMPLEX(wz2_ea_iso,0)))</f>
        <v>1+0.131348682651941i</v>
      </c>
      <c r="AQ83" s="31">
        <f t="shared" si="92"/>
        <v>1.0085893497526137</v>
      </c>
      <c r="AR83" s="31">
        <f t="shared" si="93"/>
        <v>0.13060104335253406</v>
      </c>
      <c r="AS83" s="58" t="str">
        <f t="shared" si="94"/>
        <v>-3.70952748490904+23.6176824221061i</v>
      </c>
      <c r="AT83" s="49">
        <f t="shared" si="95"/>
        <v>27.570584212966068</v>
      </c>
      <c r="AU83" s="61">
        <f t="shared" si="96"/>
        <v>98.926275008030103</v>
      </c>
      <c r="AV83" s="58" t="str">
        <f t="shared" ref="AV83:AV146" si="108">IMPRODUCT(AC83,AS83)</f>
        <v>2260.98674785192+772.812911879721i</v>
      </c>
      <c r="AW83" s="64">
        <f t="shared" si="97"/>
        <v>67.565829302119369</v>
      </c>
      <c r="AX83" s="61">
        <f t="shared" si="98"/>
        <v>18.870601524502568</v>
      </c>
    </row>
    <row r="84" spans="14:50" x14ac:dyDescent="0.35">
      <c r="N84" s="10">
        <v>66</v>
      </c>
      <c r="O84" s="50">
        <f t="shared" ref="O84:O118" si="109">10^(1+(N84/100))</f>
        <v>45.70881896148753</v>
      </c>
      <c r="P84" s="48" t="str">
        <f t="shared" si="99"/>
        <v>547.187404092767</v>
      </c>
      <c r="Q84" s="17" t="str">
        <f t="shared" si="100"/>
        <v>1+5.50795876174125i</v>
      </c>
      <c r="R84" s="17">
        <f t="shared" ref="R84:R147" si="110">IMABS(Q84)</f>
        <v>5.598000510989813</v>
      </c>
      <c r="S84" s="17">
        <f t="shared" ref="S84:S147" si="111">IMARGUMENT(Q84)</f>
        <v>1.3911971511301431</v>
      </c>
      <c r="T84" s="17" t="str">
        <f t="shared" si="101"/>
        <v>1+0.000104221250837833i</v>
      </c>
      <c r="U84" s="17">
        <f t="shared" ref="U84:U147" si="112">IMABS(T84)</f>
        <v>1.0000000054310345</v>
      </c>
      <c r="V84" s="17">
        <f t="shared" ref="V84:V147" si="113">IMARGUMENT(T84)</f>
        <v>1.0422125046048019E-4</v>
      </c>
      <c r="W84" s="31" t="str">
        <f t="shared" si="102"/>
        <v>1-0.00180982786078597i</v>
      </c>
      <c r="X84" s="17">
        <f t="shared" ref="X84:X147" si="114">IMABS(W84)</f>
        <v>1.0000016377371017</v>
      </c>
      <c r="Y84" s="17">
        <f t="shared" ref="Y84:Y147" si="115">IMARGUMENT(W84)</f>
        <v>-1.8098258847734118E-3</v>
      </c>
      <c r="Z84" s="31" t="str">
        <f t="shared" si="103"/>
        <v>0.999999309323593+0.00865942222169984i</v>
      </c>
      <c r="AA84" s="17">
        <f t="shared" ref="AA84:AA147" si="116">IMABS(Z84)</f>
        <v>1.0000368014432655</v>
      </c>
      <c r="AB84" s="17">
        <f t="shared" ref="AB84:AB147" si="117">IMARGUMENT(Z84)</f>
        <v>8.6592117678810105E-3</v>
      </c>
      <c r="AC84" s="66" t="str">
        <f t="shared" ref="AC84:AC147" si="118">(IMDIV(IMPRODUCT(P84,T84,W84),IMPRODUCT(Q84,Z84)))</f>
        <v>16.4627125861625-96.347138075794i</v>
      </c>
      <c r="AD84" s="64">
        <f t="shared" ref="AD84:AD147" si="119">20*LOG(IMABS(AC84))</f>
        <v>39.801757782382928</v>
      </c>
      <c r="AE84" s="61">
        <f t="shared" ref="AE84:AE147" si="120">(180/PI())*IMARGUMENT(AC84)</f>
        <v>-80.303585465654592</v>
      </c>
      <c r="AF84" s="31" t="str">
        <f t="shared" si="104"/>
        <v>-6627.51882264077</v>
      </c>
      <c r="AG84" s="31" t="str">
        <f t="shared" ref="AG84:AG147" si="121">COMPLEX(0,1*2*PI()*O84)</f>
        <v>287.19697970735i</v>
      </c>
      <c r="AH84" s="31">
        <f t="shared" ref="AH84:AH147" si="122">IMABS(AG84)</f>
        <v>287.19697970735001</v>
      </c>
      <c r="AI84" s="31">
        <f t="shared" ref="AI84:AI147" si="123">IMARGUMENT(AG84)</f>
        <v>1.5707963267948966</v>
      </c>
      <c r="AJ84" s="31" t="str">
        <f t="shared" si="105"/>
        <v>0.999990156585571+0.140193769659244i</v>
      </c>
      <c r="AK84" s="31">
        <f t="shared" ref="AK84:AK147" si="124">IMABS(AJ84)</f>
        <v>1.0097695808050984</v>
      </c>
      <c r="AL84" s="31">
        <f t="shared" ref="AL84:AL147" si="125">IMARGUMENT(AJ84)</f>
        <v>0.13928733460366591</v>
      </c>
      <c r="AM84" s="31" t="str">
        <f t="shared" si="106"/>
        <v>1+0.166554144441684i</v>
      </c>
      <c r="AN84" s="31">
        <f t="shared" ref="AN84:AN147" si="126">IMABS(AM84)</f>
        <v>1.0137752625856982</v>
      </c>
      <c r="AO84" s="31">
        <f t="shared" ref="AO84:AO147" si="127">IMARGUMENT(AM84)</f>
        <v>0.16503919433357631</v>
      </c>
      <c r="AP84" s="31" t="str">
        <f t="shared" si="107"/>
        <v>1+0.13440818650304i</v>
      </c>
      <c r="AQ84" s="31">
        <f t="shared" ref="AQ84:AQ147" si="128">IMABS(AP84)</f>
        <v>1.0089923491280972</v>
      </c>
      <c r="AR84" s="31">
        <f t="shared" ref="AR84:AR147" si="129">IMARGUMENT(AP84)</f>
        <v>0.13360746166012277</v>
      </c>
      <c r="AS84" s="58" t="str">
        <f t="shared" ref="AS84:AS147" si="130">IMDIV(IMPRODUCT(AF84,AM84,AP84),IMPRODUCT(AG84,AJ84))</f>
        <v>-3.70950630923255+23.080241102369i</v>
      </c>
      <c r="AT84" s="49">
        <f t="shared" ref="AT84:AT147" si="131">20*LOG(IMABS(AS84))</f>
        <v>27.375567615979698</v>
      </c>
      <c r="AU84" s="61">
        <f t="shared" ref="AU84:AU147" si="132">(180/PI())*IMARGUMENT(AS84)</f>
        <v>99.130616541717799</v>
      </c>
      <c r="AV84" s="58" t="str">
        <f t="shared" si="108"/>
        <v>2162.64664010711+737.363692256293i</v>
      </c>
      <c r="AW84" s="64">
        <f t="shared" ref="AW84:AW147" si="133">20*LOG(IMABS(AV84))</f>
        <v>67.177325398362626</v>
      </c>
      <c r="AX84" s="61">
        <f t="shared" ref="AX84:AX147" si="134">(180/PI())*IMARGUMENT(AV84)</f>
        <v>18.827031076063211</v>
      </c>
    </row>
    <row r="85" spans="14:50" x14ac:dyDescent="0.35">
      <c r="N85" s="10">
        <v>67</v>
      </c>
      <c r="O85" s="50">
        <f t="shared" si="109"/>
        <v>46.773514128719818</v>
      </c>
      <c r="P85" s="48" t="str">
        <f t="shared" si="99"/>
        <v>547.187404092767</v>
      </c>
      <c r="Q85" s="17" t="str">
        <f t="shared" si="100"/>
        <v>1+5.63625560266119i</v>
      </c>
      <c r="R85" s="17">
        <f t="shared" si="110"/>
        <v>5.7242796244182239</v>
      </c>
      <c r="S85" s="17">
        <f t="shared" si="111"/>
        <v>1.3952008679163657</v>
      </c>
      <c r="T85" s="17" t="str">
        <f t="shared" si="101"/>
        <v>1+0.000106648875629089i</v>
      </c>
      <c r="U85" s="17">
        <f t="shared" si="112"/>
        <v>1.0000000056869913</v>
      </c>
      <c r="V85" s="17">
        <f t="shared" si="113"/>
        <v>1.0664887522474818E-4</v>
      </c>
      <c r="W85" s="31" t="str">
        <f t="shared" si="102"/>
        <v>1-0.00185198416717675i</v>
      </c>
      <c r="X85" s="17">
        <f t="shared" si="114"/>
        <v>1.0000017149212073</v>
      </c>
      <c r="Y85" s="17">
        <f t="shared" si="115"/>
        <v>-1.8519820498413425E-3</v>
      </c>
      <c r="Z85" s="31" t="str">
        <f t="shared" si="103"/>
        <v>0.999999276773017+0.00886112607666568i</v>
      </c>
      <c r="AA85" s="17">
        <f t="shared" si="116"/>
        <v>1.0000385358084476</v>
      </c>
      <c r="AB85" s="17">
        <f t="shared" si="117"/>
        <v>8.8609005718052174E-3</v>
      </c>
      <c r="AC85" s="66" t="str">
        <f t="shared" si="118"/>
        <v>15.6993872093389-94.2890341702329i</v>
      </c>
      <c r="AD85" s="64">
        <f t="shared" si="119"/>
        <v>39.607985258788581</v>
      </c>
      <c r="AE85" s="61">
        <f t="shared" si="120"/>
        <v>-80.546813734796388</v>
      </c>
      <c r="AF85" s="31" t="str">
        <f t="shared" si="104"/>
        <v>-6627.51882264077</v>
      </c>
      <c r="AG85" s="31" t="str">
        <f t="shared" si="121"/>
        <v>293.886656738729i</v>
      </c>
      <c r="AH85" s="31">
        <f t="shared" si="122"/>
        <v>293.88665673872902</v>
      </c>
      <c r="AI85" s="31">
        <f t="shared" si="123"/>
        <v>1.5707963267948966</v>
      </c>
      <c r="AJ85" s="31" t="str">
        <f t="shared" si="105"/>
        <v>0.999989692679741+0.143459302053727i</v>
      </c>
      <c r="AK85" s="31">
        <f t="shared" si="124"/>
        <v>1.0102276757303106</v>
      </c>
      <c r="AL85" s="31">
        <f t="shared" si="125"/>
        <v>0.14248856968158158</v>
      </c>
      <c r="AM85" s="31" t="str">
        <f t="shared" si="106"/>
        <v>1+0.170433688842491i</v>
      </c>
      <c r="AN85" s="31">
        <f t="shared" si="126"/>
        <v>1.0144198550365913</v>
      </c>
      <c r="AO85" s="31">
        <f t="shared" si="127"/>
        <v>0.16881163420315048</v>
      </c>
      <c r="AP85" s="31" t="str">
        <f t="shared" si="107"/>
        <v>1+0.137538955353725i</v>
      </c>
      <c r="AQ85" s="31">
        <f t="shared" si="128"/>
        <v>1.0094141688324936</v>
      </c>
      <c r="AR85" s="31">
        <f t="shared" si="129"/>
        <v>0.13668139481022334</v>
      </c>
      <c r="AS85" s="58" t="str">
        <f t="shared" si="130"/>
        <v>-3.70948417488082+22.5550369578593i</v>
      </c>
      <c r="AT85" s="49">
        <f t="shared" si="131"/>
        <v>27.180779537670961</v>
      </c>
      <c r="AU85" s="61">
        <f t="shared" si="132"/>
        <v>99.339467561523534</v>
      </c>
      <c r="AV85" s="58" t="str">
        <f t="shared" si="108"/>
        <v>2068.45602202209+703.863938841658i</v>
      </c>
      <c r="AW85" s="64">
        <f t="shared" si="133"/>
        <v>66.788764796459532</v>
      </c>
      <c r="AX85" s="61">
        <f t="shared" si="134"/>
        <v>18.792653826727172</v>
      </c>
    </row>
    <row r="86" spans="14:50" x14ac:dyDescent="0.35">
      <c r="N86" s="10">
        <v>68</v>
      </c>
      <c r="O86" s="50">
        <f t="shared" si="109"/>
        <v>47.863009232263877</v>
      </c>
      <c r="P86" s="48" t="str">
        <f t="shared" si="99"/>
        <v>547.187404092767</v>
      </c>
      <c r="Q86" s="17" t="str">
        <f t="shared" si="100"/>
        <v>1+5.76754086090634i</v>
      </c>
      <c r="R86" s="17">
        <f t="shared" si="110"/>
        <v>5.8535909988847239</v>
      </c>
      <c r="S86" s="17">
        <f t="shared" si="111"/>
        <v>1.3991189529695507</v>
      </c>
      <c r="T86" s="17" t="str">
        <f t="shared" si="101"/>
        <v>1+0.000109133047065868i</v>
      </c>
      <c r="U86" s="17">
        <f t="shared" si="112"/>
        <v>1.0000000059550109</v>
      </c>
      <c r="V86" s="17">
        <f t="shared" si="113"/>
        <v>1.09133046632609E-4</v>
      </c>
      <c r="W86" s="31" t="str">
        <f t="shared" si="102"/>
        <v>1-0.00189512242008688i</v>
      </c>
      <c r="X86" s="17">
        <f t="shared" si="114"/>
        <v>1.0000017957428813</v>
      </c>
      <c r="Y86" s="17">
        <f t="shared" si="115"/>
        <v>-1.8951201513213352E-3</v>
      </c>
      <c r="Z86" s="31" t="str">
        <f t="shared" si="103"/>
        <v>0.999999242688379+0.00906752821796825i</v>
      </c>
      <c r="AA86" s="17">
        <f t="shared" si="116"/>
        <v>1.0000403519085195</v>
      </c>
      <c r="AB86" s="17">
        <f t="shared" si="117"/>
        <v>9.0672865856833776E-3</v>
      </c>
      <c r="AC86" s="66" t="str">
        <f t="shared" si="118"/>
        <v>14.9683649016764-92.2690853297648i</v>
      </c>
      <c r="AD86" s="64">
        <f t="shared" si="119"/>
        <v>39.413939512897727</v>
      </c>
      <c r="AE86" s="61">
        <f t="shared" si="120"/>
        <v>-80.78545781827664</v>
      </c>
      <c r="AF86" s="31" t="str">
        <f t="shared" si="104"/>
        <v>-6627.51882264077</v>
      </c>
      <c r="AG86" s="31" t="str">
        <f t="shared" si="121"/>
        <v>300.732156365561i</v>
      </c>
      <c r="AH86" s="31">
        <f t="shared" si="122"/>
        <v>300.73215636556102</v>
      </c>
      <c r="AI86" s="31">
        <f t="shared" si="123"/>
        <v>1.5707963267948966</v>
      </c>
      <c r="AJ86" s="31" t="str">
        <f t="shared" si="105"/>
        <v>0.999989206910703+0.146800898469067i</v>
      </c>
      <c r="AK86" s="31">
        <f t="shared" si="124"/>
        <v>1.0107071374682293</v>
      </c>
      <c r="AL86" s="31">
        <f t="shared" si="125"/>
        <v>0.14576133419612475</v>
      </c>
      <c r="AM86" s="31" t="str">
        <f t="shared" si="106"/>
        <v>1+0.17440359944108i</v>
      </c>
      <c r="AN86" s="31">
        <f t="shared" si="126"/>
        <v>1.01509438748227</v>
      </c>
      <c r="AO86" s="31">
        <f t="shared" si="127"/>
        <v>0.17266692938002595</v>
      </c>
      <c r="AP86" s="31" t="str">
        <f t="shared" si="107"/>
        <v>1+0.140742649179082i</v>
      </c>
      <c r="AQ86" s="31">
        <f t="shared" si="128"/>
        <v>1.0098556794403575</v>
      </c>
      <c r="AR86" s="31">
        <f t="shared" si="129"/>
        <v>0.13982424015402053</v>
      </c>
      <c r="AS86" s="58" t="str">
        <f t="shared" si="130"/>
        <v>-3.70946104034769+22.041791499582i</v>
      </c>
      <c r="AT86" s="49">
        <f t="shared" si="131"/>
        <v>26.986230153567679</v>
      </c>
      <c r="AU86" s="61">
        <f t="shared" si="132"/>
        <v>99.552915883774077</v>
      </c>
      <c r="AV86" s="58" t="str">
        <f t="shared" si="108"/>
        <v>1978.25137425534+672.198155511692i</v>
      </c>
      <c r="AW86" s="64">
        <f t="shared" si="133"/>
        <v>66.400169666465402</v>
      </c>
      <c r="AX86" s="61">
        <f t="shared" si="134"/>
        <v>18.767458065497458</v>
      </c>
    </row>
    <row r="87" spans="14:50" x14ac:dyDescent="0.35">
      <c r="N87" s="10">
        <v>69</v>
      </c>
      <c r="O87" s="50">
        <f t="shared" si="109"/>
        <v>48.977881936844632</v>
      </c>
      <c r="P87" s="48" t="str">
        <f t="shared" si="99"/>
        <v>547.187404092767</v>
      </c>
      <c r="Q87" s="17" t="str">
        <f t="shared" si="100"/>
        <v>1+5.90188414565838i</v>
      </c>
      <c r="R87" s="17">
        <f t="shared" si="110"/>
        <v>5.9860033802841901</v>
      </c>
      <c r="S87" s="17">
        <f t="shared" si="111"/>
        <v>1.4029530022863501</v>
      </c>
      <c r="T87" s="17" t="str">
        <f t="shared" si="101"/>
        <v>1+0.000111675082288749i</v>
      </c>
      <c r="U87" s="17">
        <f t="shared" si="112"/>
        <v>1.000000006235662</v>
      </c>
      <c r="V87" s="17">
        <f t="shared" si="113"/>
        <v>1.1167508182450364E-4</v>
      </c>
      <c r="W87" s="31" t="str">
        <f t="shared" si="102"/>
        <v>1-0.00193926549198905i</v>
      </c>
      <c r="X87" s="17">
        <f t="shared" si="114"/>
        <v>1.0000018803735564</v>
      </c>
      <c r="Y87" s="17">
        <f t="shared" si="115"/>
        <v>-1.9392630609632168E-3</v>
      </c>
      <c r="Z87" s="31" t="str">
        <f t="shared" si="103"/>
        <v>0.999999206997382+0.00927873808275492i</v>
      </c>
      <c r="AA87" s="17">
        <f t="shared" si="116"/>
        <v>1.0000422535952176</v>
      </c>
      <c r="AB87" s="17">
        <f t="shared" si="117"/>
        <v>9.2784791696876867E-3</v>
      </c>
      <c r="AC87" s="66" t="str">
        <f t="shared" si="118"/>
        <v>14.2683646643572-90.2869650221454i</v>
      </c>
      <c r="AD87" s="64">
        <f t="shared" si="119"/>
        <v>39.219632062431458</v>
      </c>
      <c r="AE87" s="61">
        <f t="shared" si="120"/>
        <v>-81.019616660832241</v>
      </c>
      <c r="AF87" s="31" t="str">
        <f t="shared" si="104"/>
        <v>-6627.51882264077</v>
      </c>
      <c r="AG87" s="31" t="str">
        <f t="shared" si="121"/>
        <v>307.737108162359i</v>
      </c>
      <c r="AH87" s="31">
        <f t="shared" si="122"/>
        <v>307.73710816235899</v>
      </c>
      <c r="AI87" s="31">
        <f t="shared" si="123"/>
        <v>1.5707963267948966</v>
      </c>
      <c r="AJ87" s="31" t="str">
        <f t="shared" si="105"/>
        <v>0.999988698248075+0.150220330663915i</v>
      </c>
      <c r="AK87" s="31">
        <f t="shared" si="124"/>
        <v>1.0112089518831682</v>
      </c>
      <c r="AL87" s="31">
        <f t="shared" si="125"/>
        <v>0.14910708325837879</v>
      </c>
      <c r="AM87" s="31" t="str">
        <f t="shared" si="106"/>
        <v>1+0.178465981136597i</v>
      </c>
      <c r="AN87" s="31">
        <f t="shared" si="126"/>
        <v>1.0158002295840693</v>
      </c>
      <c r="AO87" s="31">
        <f t="shared" si="127"/>
        <v>0.17660666534417116</v>
      </c>
      <c r="AP87" s="31" t="str">
        <f t="shared" si="107"/>
        <v>1+0.144020966619984i</v>
      </c>
      <c r="AQ87" s="31">
        <f t="shared" si="128"/>
        <v>1.0103177910074406</v>
      </c>
      <c r="AR87" s="31">
        <f t="shared" si="129"/>
        <v>0.14303741559225991</v>
      </c>
      <c r="AS87" s="58" t="str">
        <f t="shared" si="130"/>
        <v>-3.70943686250849+21.5402325779458i</v>
      </c>
      <c r="AT87" s="49">
        <f t="shared" si="131"/>
        <v>26.791930063958041</v>
      </c>
      <c r="AU87" s="61">
        <f t="shared" si="132"/>
        <v>99.771050217784705</v>
      </c>
      <c r="AV87" s="58" t="str">
        <f t="shared" si="108"/>
        <v>1891.87462748019+642.257689634358i</v>
      </c>
      <c r="AW87" s="64">
        <f t="shared" si="133"/>
        <v>66.011562126389506</v>
      </c>
      <c r="AX87" s="61">
        <f t="shared" si="134"/>
        <v>18.751433556952467</v>
      </c>
    </row>
    <row r="88" spans="14:50" x14ac:dyDescent="0.35">
      <c r="N88" s="10">
        <v>70</v>
      </c>
      <c r="O88" s="50">
        <f t="shared" si="109"/>
        <v>50.118723362727238</v>
      </c>
      <c r="P88" s="48" t="str">
        <f t="shared" si="99"/>
        <v>547.187404092767</v>
      </c>
      <c r="Q88" s="17" t="str">
        <f t="shared" si="100"/>
        <v>1+6.03935668750509i</v>
      </c>
      <c r="R88" s="17">
        <f t="shared" si="110"/>
        <v>6.1215871470487491</v>
      </c>
      <c r="S88" s="17">
        <f t="shared" si="111"/>
        <v>1.4067045976224157</v>
      </c>
      <c r="T88" s="17" t="str">
        <f t="shared" si="101"/>
        <v>1+0.000114276329118453i</v>
      </c>
      <c r="U88" s="17">
        <f t="shared" si="112"/>
        <v>1.0000000065295396</v>
      </c>
      <c r="V88" s="17">
        <f t="shared" si="113"/>
        <v>1.1427632862100512E-4</v>
      </c>
      <c r="W88" s="31" t="str">
        <f t="shared" si="102"/>
        <v>1-0.00198443678812428i</v>
      </c>
      <c r="X88" s="17">
        <f t="shared" si="114"/>
        <v>1.0000019689927446</v>
      </c>
      <c r="Y88" s="17">
        <f t="shared" si="115"/>
        <v>-1.9844341832334451E-3</v>
      </c>
      <c r="Z88" s="31" t="str">
        <f t="shared" si="103"/>
        <v>0.99999916962432+0.00949486765729165i</v>
      </c>
      <c r="AA88" s="17">
        <f t="shared" si="116"/>
        <v>1.0000442449017739</v>
      </c>
      <c r="AB88" s="17">
        <f t="shared" si="117"/>
        <v>9.4945902276045938E-3</v>
      </c>
      <c r="AC88" s="66" t="str">
        <f t="shared" si="118"/>
        <v>13.5981489059866-88.3423218299899i</v>
      </c>
      <c r="AD88" s="64">
        <f t="shared" si="119"/>
        <v>39.025073964213107</v>
      </c>
      <c r="AE88" s="61">
        <f t="shared" si="120"/>
        <v>-81.249388565753534</v>
      </c>
      <c r="AF88" s="31" t="str">
        <f t="shared" si="104"/>
        <v>-6627.51882264077</v>
      </c>
      <c r="AG88" s="31" t="str">
        <f t="shared" si="121"/>
        <v>314.905226247286i</v>
      </c>
      <c r="AH88" s="31">
        <f t="shared" si="122"/>
        <v>314.90522624728601</v>
      </c>
      <c r="AI88" s="31">
        <f t="shared" si="123"/>
        <v>1.5707963267948966</v>
      </c>
      <c r="AJ88" s="31" t="str">
        <f t="shared" si="105"/>
        <v>0.999988165612917+0.153719411666481i</v>
      </c>
      <c r="AK88" s="31">
        <f t="shared" si="124"/>
        <v>1.0117341493144212</v>
      </c>
      <c r="AL88" s="31">
        <f t="shared" si="125"/>
        <v>0.15252729151423261</v>
      </c>
      <c r="AM88" s="31" t="str">
        <f t="shared" si="106"/>
        <v>1+0.182622987857589i</v>
      </c>
      <c r="AN88" s="31">
        <f t="shared" si="126"/>
        <v>1.0165388117007796</v>
      </c>
      <c r="AO88" s="31">
        <f t="shared" si="127"/>
        <v>0.180632441547184</v>
      </c>
      <c r="AP88" s="31" t="str">
        <f t="shared" si="107"/>
        <v>1+0.14737564588373i</v>
      </c>
      <c r="AQ88" s="31">
        <f t="shared" si="128"/>
        <v>1.0108014547870647</v>
      </c>
      <c r="AR88" s="31">
        <f t="shared" si="129"/>
        <v>0.14632235925898471</v>
      </c>
      <c r="AS88" s="58" t="str">
        <f t="shared" si="130"/>
        <v>-3.70941159657397+21.050094238386i</v>
      </c>
      <c r="AT88" s="49">
        <f t="shared" si="131"/>
        <v>26.597890308981235</v>
      </c>
      <c r="AU88" s="61">
        <f t="shared" si="132"/>
        <v>99.993960113406899</v>
      </c>
      <c r="AV88" s="58" t="str">
        <f t="shared" si="108"/>
        <v>1809.17306851531+613.940349003058i</v>
      </c>
      <c r="AW88" s="64">
        <f t="shared" si="133"/>
        <v>65.622964273194356</v>
      </c>
      <c r="AX88" s="61">
        <f t="shared" si="134"/>
        <v>18.744571547653337</v>
      </c>
    </row>
    <row r="89" spans="14:50" x14ac:dyDescent="0.35">
      <c r="N89" s="10">
        <v>71</v>
      </c>
      <c r="O89" s="50">
        <f t="shared" si="109"/>
        <v>51.28613839913649</v>
      </c>
      <c r="P89" s="48" t="str">
        <f t="shared" si="99"/>
        <v>547.187404092767</v>
      </c>
      <c r="Q89" s="17" t="str">
        <f t="shared" si="100"/>
        <v>1+6.18003137620787i</v>
      </c>
      <c r="R89" s="17">
        <f t="shared" si="110"/>
        <v>6.2604143481812562</v>
      </c>
      <c r="S89" s="17">
        <f t="shared" si="111"/>
        <v>1.4103753054966732</v>
      </c>
      <c r="T89" s="17" t="str">
        <f t="shared" si="101"/>
        <v>1+0.000116938166770482i</v>
      </c>
      <c r="U89" s="17">
        <f t="shared" si="112"/>
        <v>1.0000000068372674</v>
      </c>
      <c r="V89" s="17">
        <f t="shared" si="113"/>
        <v>1.1693816623745698E-4</v>
      </c>
      <c r="W89" s="31" t="str">
        <f t="shared" si="102"/>
        <v>1-0.0020306602589117i</v>
      </c>
      <c r="X89" s="17">
        <f t="shared" si="114"/>
        <v>1.000002061788418</v>
      </c>
      <c r="Y89" s="17">
        <f t="shared" si="115"/>
        <v>-2.0306574677211929E-3</v>
      </c>
      <c r="Z89" s="31" t="str">
        <f t="shared" si="103"/>
        <v>0.99999913048992+0.00971603153633972i</v>
      </c>
      <c r="AA89" s="17">
        <f t="shared" si="116"/>
        <v>1.0000463300514686</v>
      </c>
      <c r="AB89" s="17">
        <f t="shared" si="117"/>
        <v>9.7157342658179269E-3</v>
      </c>
      <c r="AC89" s="66" t="str">
        <f t="shared" si="118"/>
        <v>12.9565226243625-86.4347817793005i</v>
      </c>
      <c r="AD89" s="64">
        <f t="shared" si="119"/>
        <v>38.830275829785123</v>
      </c>
      <c r="AE89" s="61">
        <f t="shared" si="120"/>
        <v>-81.474871141883256</v>
      </c>
      <c r="AF89" s="31" t="str">
        <f t="shared" si="104"/>
        <v>-6627.51882264077</v>
      </c>
      <c r="AG89" s="31" t="str">
        <f t="shared" si="121"/>
        <v>322.240311251433i</v>
      </c>
      <c r="AH89" s="31">
        <f t="shared" si="122"/>
        <v>322.24031125143301</v>
      </c>
      <c r="AI89" s="31">
        <f t="shared" si="123"/>
        <v>1.5707963267948966</v>
      </c>
      <c r="AJ89" s="31" t="str">
        <f t="shared" si="105"/>
        <v>0.999987607875437+0.157299996735831i</v>
      </c>
      <c r="AK89" s="31">
        <f t="shared" si="124"/>
        <v>1.0122838064878501</v>
      </c>
      <c r="AL89" s="31">
        <f t="shared" si="125"/>
        <v>0.15602345265848697</v>
      </c>
      <c r="AM89" s="31" t="str">
        <f t="shared" si="106"/>
        <v>1+0.186876823704044i</v>
      </c>
      <c r="AN89" s="31">
        <f t="shared" si="126"/>
        <v>1.0173116273972851</v>
      </c>
      <c r="AO89" s="31">
        <f t="shared" si="127"/>
        <v>0.18474587028937672</v>
      </c>
      <c r="AP89" s="31" t="str">
        <f t="shared" si="107"/>
        <v>1+0.15080846566567i</v>
      </c>
      <c r="AQ89" s="31">
        <f t="shared" si="128"/>
        <v>1.0113076650141803</v>
      </c>
      <c r="AR89" s="31">
        <f t="shared" si="129"/>
        <v>0.14968052914840185</v>
      </c>
      <c r="AS89" s="58" t="str">
        <f t="shared" si="130"/>
        <v>-3.70938519604454+20.5711165802694i</v>
      </c>
      <c r="AT89" s="49">
        <f t="shared" si="131"/>
        <v>26.404122384004815</v>
      </c>
      <c r="AU89" s="61">
        <f t="shared" si="132"/>
        <v>100.22173590315042</v>
      </c>
      <c r="AV89" s="58" t="str">
        <f t="shared" si="108"/>
        <v>1729.99923935711+587.150037336137i</v>
      </c>
      <c r="AW89" s="64">
        <f t="shared" si="133"/>
        <v>65.234398213789945</v>
      </c>
      <c r="AX89" s="61">
        <f t="shared" si="134"/>
        <v>18.746864761267179</v>
      </c>
    </row>
    <row r="90" spans="14:50" x14ac:dyDescent="0.35">
      <c r="N90" s="10">
        <v>72</v>
      </c>
      <c r="O90" s="50">
        <f t="shared" si="109"/>
        <v>52.480746024977286</v>
      </c>
      <c r="P90" s="48" t="str">
        <f t="shared" si="99"/>
        <v>547.187404092767</v>
      </c>
      <c r="Q90" s="17" t="str">
        <f t="shared" si="100"/>
        <v>1+6.32398279934871i</v>
      </c>
      <c r="R90" s="17">
        <f t="shared" si="110"/>
        <v>6.4025587421325811</v>
      </c>
      <c r="S90" s="17">
        <f t="shared" si="111"/>
        <v>1.4139666762906171</v>
      </c>
      <c r="T90" s="17" t="str">
        <f t="shared" si="101"/>
        <v>1+0.000119662006586393i</v>
      </c>
      <c r="U90" s="17">
        <f t="shared" si="112"/>
        <v>1.0000000071594979</v>
      </c>
      <c r="V90" s="17">
        <f t="shared" si="113"/>
        <v>1.1966200601524641E-4</v>
      </c>
      <c r="W90" s="31" t="str">
        <f t="shared" si="102"/>
        <v>1-0.00207796041264737i</v>
      </c>
      <c r="X90" s="17">
        <f t="shared" si="114"/>
        <v>1.0000021589574077</v>
      </c>
      <c r="Y90" s="17">
        <f t="shared" si="115"/>
        <v>-2.077957421833206E-3</v>
      </c>
      <c r="Z90" s="31" t="str">
        <f t="shared" si="103"/>
        <v>0.999999089511172+0.00994234698391527i</v>
      </c>
      <c r="AA90" s="17">
        <f t="shared" si="116"/>
        <v>1.0000485134665826</v>
      </c>
      <c r="AB90" s="17">
        <f t="shared" si="117"/>
        <v>9.9420284536467767E-3</v>
      </c>
      <c r="AC90" s="66" t="str">
        <f t="shared" si="118"/>
        <v>12.3423325394758-84.5639505364468i</v>
      </c>
      <c r="AD90" s="64">
        <f t="shared" si="119"/>
        <v>38.635247840715401</v>
      </c>
      <c r="AE90" s="61">
        <f t="shared" si="120"/>
        <v>-81.696161256152166</v>
      </c>
      <c r="AF90" s="31" t="str">
        <f t="shared" si="104"/>
        <v>-6627.51882264077</v>
      </c>
      <c r="AG90" s="31" t="str">
        <f t="shared" si="121"/>
        <v>329.746252333961i</v>
      </c>
      <c r="AH90" s="31">
        <f t="shared" si="122"/>
        <v>329.74625233396102</v>
      </c>
      <c r="AI90" s="31">
        <f t="shared" si="123"/>
        <v>1.5707963267948966</v>
      </c>
      <c r="AJ90" s="31" t="str">
        <f t="shared" si="105"/>
        <v>0.999987023852599+0.160963984345561i</v>
      </c>
      <c r="AK90" s="31">
        <f t="shared" si="124"/>
        <v>1.0128590485008151</v>
      </c>
      <c r="AL90" s="31">
        <f t="shared" si="125"/>
        <v>0.15959707888025046</v>
      </c>
      <c r="AM90" s="31" t="str">
        <f t="shared" si="106"/>
        <v>1+0.191229744116034i</v>
      </c>
      <c r="AN90" s="31">
        <f t="shared" si="126"/>
        <v>1.0181202360402646</v>
      </c>
      <c r="AO90" s="31">
        <f t="shared" si="127"/>
        <v>0.18894857548892183</v>
      </c>
      <c r="AP90" s="31" t="str">
        <f t="shared" si="107"/>
        <v>1+0.154321246092294i</v>
      </c>
      <c r="AQ90" s="31">
        <f t="shared" si="128"/>
        <v>1.0118374607591272</v>
      </c>
      <c r="AR90" s="31">
        <f t="shared" si="129"/>
        <v>0.15311340268083334</v>
      </c>
      <c r="AS90" s="58" t="str">
        <f t="shared" si="130"/>
        <v>-3.70935761266557+20.1030456190044i</v>
      </c>
      <c r="AT90" s="49">
        <f t="shared" si="131"/>
        <v>26.210638255267511</v>
      </c>
      <c r="AU90" s="61">
        <f t="shared" si="132"/>
        <v>100.45446863856822</v>
      </c>
      <c r="AV90" s="58" t="str">
        <f t="shared" si="108"/>
        <v>1654.21083019407+561.796407765448i</v>
      </c>
      <c r="AW90" s="64">
        <f t="shared" si="133"/>
        <v>64.845886095982934</v>
      </c>
      <c r="AX90" s="61">
        <f t="shared" si="134"/>
        <v>18.758307382416017</v>
      </c>
    </row>
    <row r="91" spans="14:50" x14ac:dyDescent="0.35">
      <c r="N91" s="10">
        <v>73</v>
      </c>
      <c r="O91" s="50">
        <f t="shared" si="109"/>
        <v>53.703179637025293</v>
      </c>
      <c r="P91" s="48" t="str">
        <f t="shared" si="99"/>
        <v>547.187404092767</v>
      </c>
      <c r="Q91" s="17" t="str">
        <f t="shared" si="100"/>
        <v>1+6.47128728187755i</v>
      </c>
      <c r="R91" s="17">
        <f t="shared" si="110"/>
        <v>6.5480958365459303</v>
      </c>
      <c r="S91" s="17">
        <f t="shared" si="111"/>
        <v>1.417480243437204</v>
      </c>
      <c r="T91" s="17" t="str">
        <f t="shared" si="101"/>
        <v>1+0.000122449292782109i</v>
      </c>
      <c r="U91" s="17">
        <f t="shared" si="112"/>
        <v>1.0000000074969146</v>
      </c>
      <c r="V91" s="17">
        <f t="shared" si="113"/>
        <v>1.2244929217011442E-4</v>
      </c>
      <c r="W91" s="31" t="str">
        <f t="shared" si="102"/>
        <v>1-0.00212636232849887i</v>
      </c>
      <c r="X91" s="17">
        <f t="shared" si="114"/>
        <v>1.0000022607058208</v>
      </c>
      <c r="Y91" s="17">
        <f t="shared" si="115"/>
        <v>-2.1263591237841465E-3</v>
      </c>
      <c r="Z91" s="31" t="str">
        <f t="shared" si="103"/>
        <v>0.999999046601156+0.0101739339954642i</v>
      </c>
      <c r="AA91" s="17">
        <f t="shared" si="116"/>
        <v>1.0000507997777737</v>
      </c>
      <c r="AB91" s="17">
        <f t="shared" si="117"/>
        <v>1.0173592685068501E-2</v>
      </c>
      <c r="AC91" s="66" t="str">
        <f t="shared" si="118"/>
        <v>11.7544661857728-82.7294154781177i</v>
      </c>
      <c r="AD91" s="64">
        <f t="shared" si="119"/>
        <v>38.43999976357599</v>
      </c>
      <c r="AE91" s="61">
        <f t="shared" si="120"/>
        <v>-81.913354991344121</v>
      </c>
      <c r="AF91" s="31" t="str">
        <f t="shared" si="104"/>
        <v>-6627.51882264077</v>
      </c>
      <c r="AG91" s="31" t="str">
        <f t="shared" si="121"/>
        <v>337.427029244183i</v>
      </c>
      <c r="AH91" s="31">
        <f t="shared" si="122"/>
        <v>337.42702924418302</v>
      </c>
      <c r="AI91" s="31">
        <f t="shared" si="123"/>
        <v>1.5707963267948966</v>
      </c>
      <c r="AJ91" s="31" t="str">
        <f t="shared" si="105"/>
        <v>0.999986412305612+0.164713317190402i</v>
      </c>
      <c r="AK91" s="31">
        <f t="shared" si="124"/>
        <v>1.013461050882428</v>
      </c>
      <c r="AL91" s="31">
        <f t="shared" si="125"/>
        <v>0.16324970023506979</v>
      </c>
      <c r="AM91" s="31" t="str">
        <f t="shared" si="106"/>
        <v>1+0.195684057069579i</v>
      </c>
      <c r="AN91" s="31">
        <f t="shared" si="126"/>
        <v>1.0189662654824301</v>
      </c>
      <c r="AO91" s="31">
        <f t="shared" si="127"/>
        <v>0.19324219133705528</v>
      </c>
      <c r="AP91" s="31" t="str">
        <f t="shared" si="107"/>
        <v>1+0.157915849686277i</v>
      </c>
      <c r="AQ91" s="31">
        <f t="shared" si="128"/>
        <v>1.0123919278531111</v>
      </c>
      <c r="AR91" s="31">
        <f t="shared" si="129"/>
        <v>0.15662247620351577</v>
      </c>
      <c r="AS91" s="58" t="str">
        <f t="shared" si="130"/>
        <v>-3.70932879638257+19.6456331512823i</v>
      </c>
      <c r="AT91" s="49">
        <f t="shared" si="131"/>
        <v>26.01745037576308</v>
      </c>
      <c r="AU91" s="61">
        <f t="shared" si="132"/>
        <v>100.69225002057711</v>
      </c>
      <c r="AV91" s="58" t="str">
        <f t="shared" si="108"/>
        <v>1581.67056739412+537.794533715725i</v>
      </c>
      <c r="AW91" s="64">
        <f t="shared" si="133"/>
        <v>64.457450139339045</v>
      </c>
      <c r="AX91" s="61">
        <f t="shared" si="134"/>
        <v>18.778895029233041</v>
      </c>
    </row>
    <row r="92" spans="14:50" x14ac:dyDescent="0.35">
      <c r="N92" s="10">
        <v>74</v>
      </c>
      <c r="O92" s="50">
        <f t="shared" si="109"/>
        <v>54.95408738576247</v>
      </c>
      <c r="P92" s="48" t="str">
        <f t="shared" si="99"/>
        <v>547.187404092767</v>
      </c>
      <c r="Q92" s="17" t="str">
        <f t="shared" si="100"/>
        <v>1+6.62202292658087i</v>
      </c>
      <c r="R92" s="17">
        <f t="shared" si="110"/>
        <v>6.6971029288911685</v>
      </c>
      <c r="S92" s="17">
        <f t="shared" si="111"/>
        <v>1.4209175226941035</v>
      </c>
      <c r="T92" s="17" t="str">
        <f t="shared" si="101"/>
        <v>1+0.000125301503213667i</v>
      </c>
      <c r="U92" s="17">
        <f t="shared" si="112"/>
        <v>1.0000000078502334</v>
      </c>
      <c r="V92" s="17">
        <f t="shared" si="113"/>
        <v>1.2530150255790298E-4</v>
      </c>
      <c r="W92" s="31" t="str">
        <f t="shared" si="102"/>
        <v>1-0.00217589166980269i</v>
      </c>
      <c r="X92" s="17">
        <f t="shared" si="114"/>
        <v>1.0000023672494773</v>
      </c>
      <c r="Y92" s="17">
        <f t="shared" si="115"/>
        <v>-2.1758882358894347E-3</v>
      </c>
      <c r="Z92" s="31" t="str">
        <f t="shared" si="103"/>
        <v>0.999999001668853+0.0104109153614854i</v>
      </c>
      <c r="AA92" s="17">
        <f t="shared" si="116"/>
        <v>1.0000531938338915</v>
      </c>
      <c r="AB92" s="17">
        <f t="shared" si="117"/>
        <v>1.0410549641857864E-2</v>
      </c>
      <c r="AC92" s="66" t="str">
        <f t="shared" si="118"/>
        <v>11.1918509710334-80.9307476388906i</v>
      </c>
      <c r="AD92" s="64">
        <f t="shared" si="119"/>
        <v>38.244540964580395</v>
      </c>
      <c r="AE92" s="61">
        <f t="shared" si="120"/>
        <v>-82.126547608791782</v>
      </c>
      <c r="AF92" s="31" t="str">
        <f t="shared" si="104"/>
        <v>-6627.51882264077</v>
      </c>
      <c r="AG92" s="31" t="str">
        <f t="shared" si="121"/>
        <v>345.286714431686i</v>
      </c>
      <c r="AH92" s="31">
        <f t="shared" si="122"/>
        <v>345.28671443168599</v>
      </c>
      <c r="AI92" s="31">
        <f t="shared" si="123"/>
        <v>1.5707963267948966</v>
      </c>
      <c r="AJ92" s="31" t="str">
        <f t="shared" si="105"/>
        <v>0.999985771937304+0.168549983216255i</v>
      </c>
      <c r="AK92" s="31">
        <f t="shared" si="124"/>
        <v>1.0140910417310891</v>
      </c>
      <c r="AL92" s="31">
        <f t="shared" si="125"/>
        <v>0.16698286393896705</v>
      </c>
      <c r="AM92" s="31" t="str">
        <f t="shared" si="106"/>
        <v>1+0.200242124300368i</v>
      </c>
      <c r="AN92" s="31">
        <f t="shared" si="126"/>
        <v>1.0198514148366535</v>
      </c>
      <c r="AO92" s="31">
        <f t="shared" si="127"/>
        <v>0.19762836083318738</v>
      </c>
      <c r="AP92" s="31" t="str">
        <f t="shared" si="107"/>
        <v>1+0.161594182354029i</v>
      </c>
      <c r="AQ92" s="31">
        <f t="shared" si="128"/>
        <v>1.012972200887402</v>
      </c>
      <c r="AR92" s="31">
        <f t="shared" si="129"/>
        <v>0.16020926442185601</v>
      </c>
      <c r="AS92" s="58" t="str">
        <f t="shared" si="130"/>
        <v>-3.70929869529869+19.1986366233798i</v>
      </c>
      <c r="AT92" s="49">
        <f t="shared" si="131"/>
        <v>25.824571701338247</v>
      </c>
      <c r="AU92" s="61">
        <f t="shared" si="132"/>
        <v>100.93517232338785</v>
      </c>
      <c r="AV92" s="58" t="str">
        <f t="shared" si="108"/>
        <v>1512.24609737268+515.064596562375i</v>
      </c>
      <c r="AW92" s="64">
        <f t="shared" si="133"/>
        <v>64.069112665918638</v>
      </c>
      <c r="AX92" s="61">
        <f t="shared" si="134"/>
        <v>18.808624714596082</v>
      </c>
    </row>
    <row r="93" spans="14:50" x14ac:dyDescent="0.35">
      <c r="N93" s="10">
        <v>75</v>
      </c>
      <c r="O93" s="50">
        <f t="shared" si="109"/>
        <v>56.234132519034915</v>
      </c>
      <c r="P93" s="48" t="str">
        <f t="shared" si="99"/>
        <v>547.187404092767</v>
      </c>
      <c r="Q93" s="17" t="str">
        <f t="shared" si="100"/>
        <v>1+6.77626965549269i</v>
      </c>
      <c r="R93" s="17">
        <f t="shared" si="110"/>
        <v>6.849659148012476</v>
      </c>
      <c r="S93" s="17">
        <f t="shared" si="111"/>
        <v>1.4242800114962606</v>
      </c>
      <c r="T93" s="17" t="str">
        <f t="shared" si="101"/>
        <v>1+0.000128220150160789i</v>
      </c>
      <c r="U93" s="17">
        <f t="shared" si="112"/>
        <v>1.0000000082202034</v>
      </c>
      <c r="V93" s="17">
        <f t="shared" si="113"/>
        <v>1.282201494581252E-4</v>
      </c>
      <c r="W93" s="31" t="str">
        <f t="shared" si="102"/>
        <v>1-0.00222657469767116i</v>
      </c>
      <c r="X93" s="17">
        <f t="shared" si="114"/>
        <v>1.00000247881437</v>
      </c>
      <c r="Y93" s="17">
        <f t="shared" si="115"/>
        <v>-2.2265710181673067E-3</v>
      </c>
      <c r="Z93" s="31" t="str">
        <f t="shared" si="103"/>
        <v>0.999998954618955+0.0106534167326361i</v>
      </c>
      <c r="AA93" s="17">
        <f t="shared" si="116"/>
        <v>1.0000557007122564</v>
      </c>
      <c r="AB93" s="17">
        <f t="shared" si="117"/>
        <v>1.0653024858173607E-2</v>
      </c>
      <c r="AC93" s="66" t="str">
        <f t="shared" si="118"/>
        <v>10.6534532085764-79.1675035411548i</v>
      </c>
      <c r="AD93" s="64">
        <f t="shared" si="119"/>
        <v>38.048880423869136</v>
      </c>
      <c r="AE93" s="61">
        <f t="shared" si="120"/>
        <v>-82.335833515716061</v>
      </c>
      <c r="AF93" s="31" t="str">
        <f t="shared" si="104"/>
        <v>-6627.51882264077</v>
      </c>
      <c r="AG93" s="31" t="str">
        <f t="shared" si="121"/>
        <v>353.32947520559i</v>
      </c>
      <c r="AH93" s="31">
        <f t="shared" si="122"/>
        <v>353.32947520558997</v>
      </c>
      <c r="AI93" s="31">
        <f t="shared" si="123"/>
        <v>1.5707963267948966</v>
      </c>
      <c r="AJ93" s="31" t="str">
        <f t="shared" si="105"/>
        <v>0.999985101389368+0.172476016674233i</v>
      </c>
      <c r="AK93" s="31">
        <f t="shared" si="124"/>
        <v>1.0147503039312256</v>
      </c>
      <c r="AL93" s="31">
        <f t="shared" si="125"/>
        <v>0.17079813357942511</v>
      </c>
      <c r="AM93" s="31" t="str">
        <f t="shared" si="106"/>
        <v>1+0.204906362555978i</v>
      </c>
      <c r="AN93" s="31">
        <f t="shared" si="126"/>
        <v>1.0207774573411788</v>
      </c>
      <c r="AO93" s="31">
        <f t="shared" si="127"/>
        <v>0.20210873419363137</v>
      </c>
      <c r="AP93" s="31" t="str">
        <f t="shared" si="107"/>
        <v>1+0.165358194396216i</v>
      </c>
      <c r="AQ93" s="31">
        <f t="shared" si="128"/>
        <v>1.0135794652882313</v>
      </c>
      <c r="AR93" s="31">
        <f t="shared" si="129"/>
        <v>0.16387529975645798</v>
      </c>
      <c r="AS93" s="58" t="str">
        <f t="shared" si="130"/>
        <v>-3.70926725563273+18.7618190024516i</v>
      </c>
      <c r="AT93" s="49">
        <f t="shared" si="131"/>
        <v>25.63201570697273</v>
      </c>
      <c r="AU93" s="61">
        <f t="shared" si="132"/>
        <v>101.18332831170005</v>
      </c>
      <c r="AV93" s="58" t="str">
        <f t="shared" si="108"/>
        <v>1445.8098671691+493.531589445791i</v>
      </c>
      <c r="AW93" s="64">
        <f t="shared" si="133"/>
        <v>63.680896130841838</v>
      </c>
      <c r="AX93" s="61">
        <f t="shared" si="134"/>
        <v>18.847494795984037</v>
      </c>
    </row>
    <row r="94" spans="14:50" x14ac:dyDescent="0.35">
      <c r="N94" s="10">
        <v>76</v>
      </c>
      <c r="O94" s="50">
        <f t="shared" si="109"/>
        <v>57.543993733715695</v>
      </c>
      <c r="P94" s="48" t="str">
        <f t="shared" si="99"/>
        <v>547.187404092767</v>
      </c>
      <c r="Q94" s="17" t="str">
        <f t="shared" si="100"/>
        <v>1+6.9341092522704i</v>
      </c>
      <c r="R94" s="17">
        <f t="shared" si="110"/>
        <v>7.0058454966136647</v>
      </c>
      <c r="S94" s="17">
        <f t="shared" si="111"/>
        <v>1.4275691883829369</v>
      </c>
      <c r="T94" s="17" t="str">
        <f t="shared" si="101"/>
        <v>1+0.000131206781128722i</v>
      </c>
      <c r="U94" s="17">
        <f t="shared" si="112"/>
        <v>1.0000000086076097</v>
      </c>
      <c r="V94" s="17">
        <f t="shared" si="113"/>
        <v>1.3120678037580418E-4</v>
      </c>
      <c r="W94" s="31" t="str">
        <f t="shared" si="102"/>
        <v>1-0.00227843828491653i</v>
      </c>
      <c r="X94" s="17">
        <f t="shared" si="114"/>
        <v>1.0000025956371403</v>
      </c>
      <c r="Y94" s="17">
        <f t="shared" si="115"/>
        <v>-2.2784343422576703E-3</v>
      </c>
      <c r="Z94" s="31" t="str">
        <f t="shared" si="103"/>
        <v>0.999998905351664+0.010901566686353i</v>
      </c>
      <c r="AA94" s="17">
        <f t="shared" si="116"/>
        <v>1.0000583257294264</v>
      </c>
      <c r="AB94" s="17">
        <f t="shared" si="117"/>
        <v>1.0901146786623741E-2</v>
      </c>
      <c r="AC94" s="66" t="str">
        <f t="shared" si="118"/>
        <v>10.1382771288925-77.4392269121519i</v>
      </c>
      <c r="AD94" s="64">
        <f t="shared" si="119"/>
        <v>37.853026749433724</v>
      </c>
      <c r="AE94" s="61">
        <f t="shared" si="120"/>
        <v>-82.541306236934801</v>
      </c>
      <c r="AF94" s="31" t="str">
        <f t="shared" si="104"/>
        <v>-6627.51882264077</v>
      </c>
      <c r="AG94" s="31" t="str">
        <f t="shared" si="121"/>
        <v>361.559575944117i</v>
      </c>
      <c r="AH94" s="31">
        <f t="shared" si="122"/>
        <v>361.559575944117</v>
      </c>
      <c r="AI94" s="31">
        <f t="shared" si="123"/>
        <v>1.5707963267948966</v>
      </c>
      <c r="AJ94" s="31" t="str">
        <f t="shared" si="105"/>
        <v>0.999984399239481+0.176493499199241i</v>
      </c>
      <c r="AK94" s="31">
        <f t="shared" si="124"/>
        <v>1.0154401774511082</v>
      </c>
      <c r="AL94" s="31">
        <f t="shared" si="125"/>
        <v>0.17469708823810418</v>
      </c>
      <c r="AM94" s="31" t="str">
        <f t="shared" si="106"/>
        <v>1+0.209679244877272i</v>
      </c>
      <c r="AN94" s="31">
        <f t="shared" si="126"/>
        <v>1.0217462433169515</v>
      </c>
      <c r="AO94" s="31">
        <f t="shared" si="127"/>
        <v>0.20668496712757362</v>
      </c>
      <c r="AP94" s="31" t="str">
        <f t="shared" si="107"/>
        <v>1+0.169209881541847i</v>
      </c>
      <c r="AQ94" s="31">
        <f t="shared" si="128"/>
        <v>1.0142149594693455</v>
      </c>
      <c r="AR94" s="31">
        <f t="shared" si="129"/>
        <v>0.16762213162114864</v>
      </c>
      <c r="AS94" s="58" t="str">
        <f t="shared" si="130"/>
        <v>-3.70923442167949+18.334948650745i</v>
      </c>
      <c r="AT94" s="49">
        <f t="shared" si="131"/>
        <v>25.439796403205641</v>
      </c>
      <c r="AU94" s="61">
        <f t="shared" si="132"/>
        <v>101.43681115082042</v>
      </c>
      <c r="AV94" s="58" t="str">
        <f t="shared" si="108"/>
        <v>1382.23900248468+473.125036616069i</v>
      </c>
      <c r="AW94" s="64">
        <f t="shared" si="133"/>
        <v>63.292823152639357</v>
      </c>
      <c r="AX94" s="61">
        <f t="shared" si="134"/>
        <v>18.895504913885638</v>
      </c>
    </row>
    <row r="95" spans="14:50" x14ac:dyDescent="0.35">
      <c r="N95" s="10">
        <v>77</v>
      </c>
      <c r="O95" s="50">
        <f t="shared" si="109"/>
        <v>58.884365535558949</v>
      </c>
      <c r="P95" s="48" t="str">
        <f t="shared" si="99"/>
        <v>547.187404092767</v>
      </c>
      <c r="Q95" s="17" t="str">
        <f t="shared" si="100"/>
        <v>1+7.09562540555744i</v>
      </c>
      <c r="R95" s="17">
        <f t="shared" si="110"/>
        <v>7.1657448947050986</v>
      </c>
      <c r="S95" s="17">
        <f t="shared" si="111"/>
        <v>1.4307865124945813</v>
      </c>
      <c r="T95" s="17" t="str">
        <f t="shared" si="101"/>
        <v>1+0.000134262979668736i</v>
      </c>
      <c r="U95" s="17">
        <f t="shared" si="112"/>
        <v>1.0000000090132739</v>
      </c>
      <c r="V95" s="17">
        <f t="shared" si="113"/>
        <v>1.3426297886197001E-4</v>
      </c>
      <c r="W95" s="31" t="str">
        <f t="shared" si="102"/>
        <v>1-0.00233150993029927i</v>
      </c>
      <c r="X95" s="17">
        <f t="shared" si="114"/>
        <v>1.0000027179655839</v>
      </c>
      <c r="Y95" s="17">
        <f t="shared" si="115"/>
        <v>-2.3315057056648085E-3</v>
      </c>
      <c r="Z95" s="31" t="str">
        <f t="shared" si="103"/>
        <v>0.999998853762478+0.0111554967950264i</v>
      </c>
      <c r="AA95" s="17">
        <f t="shared" si="116"/>
        <v>1.0000610744524625</v>
      </c>
      <c r="AB95" s="17">
        <f t="shared" si="117"/>
        <v>1.1155046865844115E-2</v>
      </c>
      <c r="AC95" s="66" t="str">
        <f t="shared" si="118"/>
        <v>9.64536387624102-75.7454502929239i</v>
      </c>
      <c r="AD95" s="64">
        <f t="shared" si="119"/>
        <v>37.656988190673658</v>
      </c>
      <c r="AE95" s="61">
        <f t="shared" si="120"/>
        <v>-82.743058390676651</v>
      </c>
      <c r="AF95" s="31" t="str">
        <f t="shared" si="104"/>
        <v>-6627.51882264077</v>
      </c>
      <c r="AG95" s="31" t="str">
        <f t="shared" si="121"/>
        <v>369.981380355616i</v>
      </c>
      <c r="AH95" s="31">
        <f t="shared" si="122"/>
        <v>369.98138035561601</v>
      </c>
      <c r="AI95" s="31">
        <f t="shared" si="123"/>
        <v>1.5707963267948966</v>
      </c>
      <c r="AJ95" s="31" t="str">
        <f t="shared" si="105"/>
        <v>0.999983663998289+0.180604560913692i</v>
      </c>
      <c r="AK95" s="31">
        <f t="shared" si="124"/>
        <v>1.0161620617235572</v>
      </c>
      <c r="AL95" s="31">
        <f t="shared" si="125"/>
        <v>0.17868132151993141</v>
      </c>
      <c r="AM95" s="31" t="str">
        <f t="shared" si="106"/>
        <v>1+0.214563301909633i</v>
      </c>
      <c r="AN95" s="31">
        <f t="shared" si="126"/>
        <v>1.0227597032178988</v>
      </c>
      <c r="AO95" s="31">
        <f t="shared" si="127"/>
        <v>0.21135871897378641</v>
      </c>
      <c r="AP95" s="31" t="str">
        <f t="shared" si="107"/>
        <v>1+0.173151286006428i</v>
      </c>
      <c r="AQ95" s="31">
        <f t="shared" si="128"/>
        <v>1.0148799770641255</v>
      </c>
      <c r="AR95" s="31">
        <f t="shared" si="129"/>
        <v>0.17145132561692783</v>
      </c>
      <c r="AS95" s="58" t="str">
        <f t="shared" si="130"/>
        <v>-3.70920013577185+17.9177992026696i</v>
      </c>
      <c r="AT95" s="49">
        <f t="shared" si="131"/>
        <v>25.247928352667891</v>
      </c>
      <c r="AU95" s="61">
        <f t="shared" si="132"/>
        <v>101.69571430935055</v>
      </c>
      <c r="AV95" s="58" t="str">
        <f t="shared" si="108"/>
        <v>1321.41518386508+453.778727681783i</v>
      </c>
      <c r="AW95" s="64">
        <f t="shared" si="133"/>
        <v>62.90491654334155</v>
      </c>
      <c r="AX95" s="61">
        <f t="shared" si="134"/>
        <v>18.952655918673916</v>
      </c>
    </row>
    <row r="96" spans="14:50" x14ac:dyDescent="0.35">
      <c r="N96" s="10">
        <v>78</v>
      </c>
      <c r="O96" s="50">
        <f t="shared" si="109"/>
        <v>60.255958607435822</v>
      </c>
      <c r="P96" s="48" t="str">
        <f t="shared" si="99"/>
        <v>547.187404092767</v>
      </c>
      <c r="Q96" s="17" t="str">
        <f t="shared" si="100"/>
        <v>1+7.26090375335621i</v>
      </c>
      <c r="R96" s="17">
        <f t="shared" si="110"/>
        <v>7.3294422240373995</v>
      </c>
      <c r="S96" s="17">
        <f t="shared" si="111"/>
        <v>1.4339334231350991</v>
      </c>
      <c r="T96" s="17" t="str">
        <f t="shared" si="101"/>
        <v>1+0.00013739036621775i</v>
      </c>
      <c r="U96" s="17">
        <f t="shared" si="112"/>
        <v>1.0000000094380563</v>
      </c>
      <c r="V96" s="17">
        <f t="shared" si="113"/>
        <v>1.3739036535328466E-4</v>
      </c>
      <c r="W96" s="31" t="str">
        <f t="shared" si="102"/>
        <v>1-0.00238581777310823i</v>
      </c>
      <c r="X96" s="17">
        <f t="shared" si="114"/>
        <v>1.0000028460591732</v>
      </c>
      <c r="Y96" s="17">
        <f t="shared" si="115"/>
        <v>-2.3858132463315425E-3</v>
      </c>
      <c r="Z96" s="31" t="str">
        <f t="shared" si="103"/>
        <v>0.999998799741968+0.0114153416957609i</v>
      </c>
      <c r="AA96" s="17">
        <f t="shared" si="116"/>
        <v>1.0000639527107291</v>
      </c>
      <c r="AB96" s="17">
        <f t="shared" si="117"/>
        <v>1.1414859589621029E-2</v>
      </c>
      <c r="AC96" s="66" t="str">
        <f t="shared" si="118"/>
        <v>9.1737904952087-74.0856965439172i</v>
      </c>
      <c r="AD96" s="64">
        <f t="shared" si="119"/>
        <v>37.460772651580193</v>
      </c>
      <c r="AE96" s="61">
        <f t="shared" si="120"/>
        <v>-82.941181668248433</v>
      </c>
      <c r="AF96" s="31" t="str">
        <f t="shared" si="104"/>
        <v>-6627.51882264077</v>
      </c>
      <c r="AG96" s="31" t="str">
        <f t="shared" si="121"/>
        <v>378.599353792262i</v>
      </c>
      <c r="AH96" s="31">
        <f t="shared" si="122"/>
        <v>378.59935379226198</v>
      </c>
      <c r="AI96" s="31">
        <f t="shared" si="123"/>
        <v>1.5707963267948966</v>
      </c>
      <c r="AJ96" s="31" t="str">
        <f t="shared" si="105"/>
        <v>0.999982894106248+0.184811381556924i</v>
      </c>
      <c r="AK96" s="31">
        <f t="shared" si="124"/>
        <v>1.0169174181112675</v>
      </c>
      <c r="AL96" s="31">
        <f t="shared" si="125"/>
        <v>0.18275244048297434</v>
      </c>
      <c r="AM96" s="31" t="str">
        <f t="shared" si="106"/>
        <v>1+0.219561123244747i</v>
      </c>
      <c r="AN96" s="31">
        <f t="shared" si="126"/>
        <v>1.0238198507747811</v>
      </c>
      <c r="AO96" s="31">
        <f t="shared" si="127"/>
        <v>0.21613165069156845</v>
      </c>
      <c r="AP96" s="31" t="str">
        <f t="shared" si="107"/>
        <v>1+0.177184497574778i</v>
      </c>
      <c r="AQ96" s="31">
        <f t="shared" si="128"/>
        <v>1.0155758692391359</v>
      </c>
      <c r="AR96" s="31">
        <f t="shared" si="129"/>
        <v>0.17536446263664823</v>
      </c>
      <c r="AS96" s="58" t="str">
        <f t="shared" si="130"/>
        <v>-3.70916433824573+17.5101494446571i</v>
      </c>
      <c r="AT96" s="49">
        <f t="shared" si="131"/>
        <v>25.056426686675763</v>
      </c>
      <c r="AU96" s="61">
        <f t="shared" si="132"/>
        <v>101.96013145409201</v>
      </c>
      <c r="AV96" s="58" t="str">
        <f t="shared" si="108"/>
        <v>1263.22452164414+435.430466139872i</v>
      </c>
      <c r="AW96" s="64">
        <f t="shared" si="133"/>
        <v>62.517199338255963</v>
      </c>
      <c r="AX96" s="61">
        <f t="shared" si="134"/>
        <v>19.018949785843592</v>
      </c>
    </row>
    <row r="97" spans="14:50" x14ac:dyDescent="0.35">
      <c r="N97" s="10">
        <v>79</v>
      </c>
      <c r="O97" s="50">
        <f t="shared" si="109"/>
        <v>61.659500186148257</v>
      </c>
      <c r="P97" s="48" t="str">
        <f t="shared" si="99"/>
        <v>547.187404092767</v>
      </c>
      <c r="Q97" s="17" t="str">
        <f t="shared" si="100"/>
        <v>1+7.43003192843444i</v>
      </c>
      <c r="R97" s="17">
        <f t="shared" si="110"/>
        <v>7.4970243735468278</v>
      </c>
      <c r="S97" s="17">
        <f t="shared" si="111"/>
        <v>1.4370113393952704</v>
      </c>
      <c r="T97" s="17" t="str">
        <f t="shared" si="101"/>
        <v>1+0.000140590598957511i</v>
      </c>
      <c r="U97" s="17">
        <f t="shared" si="112"/>
        <v>1.0000000098828583</v>
      </c>
      <c r="V97" s="17">
        <f t="shared" si="113"/>
        <v>1.4059059803121971E-4</v>
      </c>
      <c r="W97" s="31" t="str">
        <f t="shared" si="102"/>
        <v>1-0.00244139060808053i</v>
      </c>
      <c r="X97" s="17">
        <f t="shared" si="114"/>
        <v>1.00000298018961</v>
      </c>
      <c r="Y97" s="17">
        <f t="shared" si="115"/>
        <v>-2.4413857575526993E-3</v>
      </c>
      <c r="Z97" s="31" t="str">
        <f t="shared" si="103"/>
        <v>0.999998743175549+0.0116812391617625i</v>
      </c>
      <c r="AA97" s="17">
        <f t="shared" si="116"/>
        <v>1.0000669666082527</v>
      </c>
      <c r="AB97" s="17">
        <f t="shared" si="117"/>
        <v>1.1680722577594537E-2</v>
      </c>
      <c r="AC97" s="66" t="str">
        <f t="shared" si="118"/>
        <v>8.7226689117358-72.4594802519658i</v>
      </c>
      <c r="AD97" s="64">
        <f t="shared" si="119"/>
        <v>37.264387703545268</v>
      </c>
      <c r="AE97" s="61">
        <f t="shared" si="120"/>
        <v>-83.135766817314561</v>
      </c>
      <c r="AF97" s="31" t="str">
        <f t="shared" si="104"/>
        <v>-6627.51882264077</v>
      </c>
      <c r="AG97" s="31" t="str">
        <f t="shared" si="121"/>
        <v>387.418065617644i</v>
      </c>
      <c r="AH97" s="31">
        <f t="shared" si="122"/>
        <v>387.418065617644</v>
      </c>
      <c r="AI97" s="31">
        <f t="shared" si="123"/>
        <v>1.5707963267948966</v>
      </c>
      <c r="AJ97" s="31" t="str">
        <f t="shared" si="105"/>
        <v>0.999982087930312+0.189116191640925i</v>
      </c>
      <c r="AK97" s="31">
        <f t="shared" si="124"/>
        <v>1.0177077724583974</v>
      </c>
      <c r="AL97" s="31">
        <f t="shared" si="125"/>
        <v>0.18691206446335484</v>
      </c>
      <c r="AM97" s="31" t="str">
        <f t="shared" si="106"/>
        <v>1+0.22467535879364i</v>
      </c>
      <c r="AN97" s="31">
        <f t="shared" si="126"/>
        <v>1.0249287862330001</v>
      </c>
      <c r="AO97" s="31">
        <f t="shared" si="127"/>
        <v>0.22100542269935211</v>
      </c>
      <c r="AP97" s="31" t="str">
        <f t="shared" si="107"/>
        <v>1+0.181311654709057i</v>
      </c>
      <c r="AQ97" s="31">
        <f t="shared" si="128"/>
        <v>1.0163040470908971</v>
      </c>
      <c r="AR97" s="31">
        <f t="shared" si="129"/>
        <v>0.17936313787498284</v>
      </c>
      <c r="AS97" s="58" t="str">
        <f t="shared" si="130"/>
        <v>-3.70912696740761+17.1117831977469i</v>
      </c>
      <c r="AT97" s="49">
        <f t="shared" si="131"/>
        <v>24.865307121834949</v>
      </c>
      <c r="AU97" s="61">
        <f t="shared" si="132"/>
        <v>102.23015633680983</v>
      </c>
      <c r="AV97" s="58" t="str">
        <f t="shared" si="108"/>
        <v>1207.55743020477+418.021831570255i</v>
      </c>
      <c r="AW97" s="64">
        <f t="shared" si="133"/>
        <v>62.129694825380184</v>
      </c>
      <c r="AX97" s="61">
        <f t="shared" si="134"/>
        <v>19.094389519495316</v>
      </c>
    </row>
    <row r="98" spans="14:50" x14ac:dyDescent="0.35">
      <c r="N98" s="10">
        <v>80</v>
      </c>
      <c r="O98" s="50">
        <f t="shared" si="109"/>
        <v>63.095734448019364</v>
      </c>
      <c r="P98" s="48" t="str">
        <f t="shared" si="99"/>
        <v>547.187404092767</v>
      </c>
      <c r="Q98" s="17" t="str">
        <f t="shared" si="100"/>
        <v>1+7.60309960478921i</v>
      </c>
      <c r="R98" s="17">
        <f t="shared" si="110"/>
        <v>7.6685802858381704</v>
      </c>
      <c r="S98" s="17">
        <f t="shared" si="111"/>
        <v>1.4400216598332771</v>
      </c>
      <c r="T98" s="17" t="str">
        <f t="shared" si="101"/>
        <v>1+0.000143865374693774i</v>
      </c>
      <c r="U98" s="17">
        <f t="shared" si="112"/>
        <v>1.0000000103486231</v>
      </c>
      <c r="V98" s="17">
        <f t="shared" si="113"/>
        <v>1.4386537370123499E-4</v>
      </c>
      <c r="W98" s="31" t="str">
        <f t="shared" si="102"/>
        <v>1-0.00249825790066885i</v>
      </c>
      <c r="X98" s="17">
        <f t="shared" si="114"/>
        <v>1.0000031206414</v>
      </c>
      <c r="Y98" s="17">
        <f t="shared" si="115"/>
        <v>-2.4982527032355152E-3</v>
      </c>
      <c r="Z98" s="31" t="str">
        <f t="shared" si="103"/>
        <v>0.999998683943238+0.011953330175387i</v>
      </c>
      <c r="AA98" s="17">
        <f t="shared" si="116"/>
        <v>1.0000701225366597</v>
      </c>
      <c r="AB98" s="17">
        <f t="shared" si="117"/>
        <v>1.1952776647574239E-2</v>
      </c>
      <c r="AC98" s="66" t="str">
        <f t="shared" si="118"/>
        <v>8.29114491264626-70.8663090432924i</v>
      </c>
      <c r="AD98" s="64">
        <f t="shared" si="119"/>
        <v>37.06784059779315</v>
      </c>
      <c r="AE98" s="61">
        <f t="shared" si="120"/>
        <v>-83.326903628560203</v>
      </c>
      <c r="AF98" s="31" t="str">
        <f t="shared" si="104"/>
        <v>-6627.51882264077</v>
      </c>
      <c r="AG98" s="31" t="str">
        <f t="shared" si="121"/>
        <v>396.4421916295i</v>
      </c>
      <c r="AH98" s="31">
        <f t="shared" si="122"/>
        <v>396.44219162949997</v>
      </c>
      <c r="AI98" s="31">
        <f t="shared" si="123"/>
        <v>1.5707963267948966</v>
      </c>
      <c r="AJ98" s="31" t="str">
        <f t="shared" si="105"/>
        <v>0.999981243760475+0.193521273632982i</v>
      </c>
      <c r="AK98" s="31">
        <f t="shared" si="124"/>
        <v>1.0185347177299742</v>
      </c>
      <c r="AL98" s="31">
        <f t="shared" si="125"/>
        <v>0.19116182378928301</v>
      </c>
      <c r="AM98" s="31" t="str">
        <f t="shared" si="106"/>
        <v>1+0.229908720191696i</v>
      </c>
      <c r="AN98" s="31">
        <f t="shared" si="126"/>
        <v>1.0260886996844782</v>
      </c>
      <c r="AO98" s="31">
        <f t="shared" si="127"/>
        <v>0.22598169255444026</v>
      </c>
      <c r="AP98" s="31" t="str">
        <f t="shared" si="107"/>
        <v>1+0.185534945682606i</v>
      </c>
      <c r="AQ98" s="31">
        <f t="shared" si="128"/>
        <v>1.017065984127602</v>
      </c>
      <c r="AR98" s="31">
        <f t="shared" si="129"/>
        <v>0.18344895973808481</v>
      </c>
      <c r="AS98" s="58" t="str">
        <f t="shared" si="130"/>
        <v>-3.70908795950571+16.722489202835i</v>
      </c>
      <c r="AT98" s="49">
        <f t="shared" si="131"/>
        <v>24.674585976599431</v>
      </c>
      <c r="AU98" s="61">
        <f t="shared" si="132"/>
        <v>102.50588267250053</v>
      </c>
      <c r="AV98" s="58" t="str">
        <f t="shared" si="108"/>
        <v>1154.30850205521+401.497954887954i</v>
      </c>
      <c r="AW98" s="64">
        <f t="shared" si="133"/>
        <v>61.742426574392567</v>
      </c>
      <c r="AX98" s="61">
        <f t="shared" si="134"/>
        <v>19.17897904394037</v>
      </c>
    </row>
    <row r="99" spans="14:50" x14ac:dyDescent="0.35">
      <c r="N99" s="10">
        <v>81</v>
      </c>
      <c r="O99" s="50">
        <f t="shared" si="109"/>
        <v>64.565422903465588</v>
      </c>
      <c r="P99" s="48" t="str">
        <f t="shared" si="99"/>
        <v>547.187404092767</v>
      </c>
      <c r="Q99" s="17" t="str">
        <f t="shared" si="100"/>
        <v>1+7.78019854519336i</v>
      </c>
      <c r="R99" s="17">
        <f t="shared" si="110"/>
        <v>7.8442010047313859</v>
      </c>
      <c r="S99" s="17">
        <f t="shared" si="111"/>
        <v>1.4429657622084897</v>
      </c>
      <c r="T99" s="17" t="str">
        <f t="shared" si="101"/>
        <v>1+0.000147216429755984i</v>
      </c>
      <c r="U99" s="17">
        <f t="shared" si="112"/>
        <v>1.0000000108363385</v>
      </c>
      <c r="V99" s="17">
        <f t="shared" si="113"/>
        <v>1.4721642869245931E-4</v>
      </c>
      <c r="W99" s="31" t="str">
        <f t="shared" si="102"/>
        <v>1-0.00255644980266446i</v>
      </c>
      <c r="X99" s="17">
        <f t="shared" si="114"/>
        <v>1.0000032677124577</v>
      </c>
      <c r="Y99" s="17">
        <f t="shared" si="115"/>
        <v>-2.5564442335152871E-3</v>
      </c>
      <c r="Z99" s="31" t="str">
        <f t="shared" si="103"/>
        <v>0.999998621919393+0.0122317590028916i</v>
      </c>
      <c r="AA99" s="17">
        <f t="shared" si="116"/>
        <v>1.0000734271887191</v>
      </c>
      <c r="AB99" s="17">
        <f t="shared" si="117"/>
        <v>1.2231165889505973E-2</v>
      </c>
      <c r="AC99" s="66" t="str">
        <f t="shared" si="118"/>
        <v>7.87839712729122-69.3056848070895i</v>
      </c>
      <c r="AD99" s="64">
        <f t="shared" si="119"/>
        <v>36.871138277435179</v>
      </c>
      <c r="AE99" s="61">
        <f t="shared" si="120"/>
        <v>-83.514680925519386</v>
      </c>
      <c r="AF99" s="31" t="str">
        <f t="shared" si="104"/>
        <v>-6627.51882264077</v>
      </c>
      <c r="AG99" s="31" t="str">
        <f t="shared" si="121"/>
        <v>405.676516538891i</v>
      </c>
      <c r="AH99" s="31">
        <f t="shared" si="122"/>
        <v>405.67651653889101</v>
      </c>
      <c r="AI99" s="31">
        <f t="shared" si="123"/>
        <v>1.5707963267948966</v>
      </c>
      <c r="AJ99" s="31" t="str">
        <f t="shared" si="105"/>
        <v>0.999980359806139+0.198028963165877i</v>
      </c>
      <c r="AK99" s="31">
        <f t="shared" si="124"/>
        <v>1.0193999167405143</v>
      </c>
      <c r="AL99" s="31">
        <f t="shared" si="125"/>
        <v>0.19550335837813312</v>
      </c>
      <c r="AM99" s="31" t="str">
        <f t="shared" si="106"/>
        <v>1+0.235263982236399i</v>
      </c>
      <c r="AN99" s="31">
        <f t="shared" si="126"/>
        <v>1.0273018744934366</v>
      </c>
      <c r="AO99" s="31">
        <f t="shared" si="127"/>
        <v>0.23106211246739577</v>
      </c>
      <c r="AP99" s="31" t="str">
        <f t="shared" si="107"/>
        <v>1+0.189856609740201i</v>
      </c>
      <c r="AQ99" s="31">
        <f t="shared" si="128"/>
        <v>1.017863218837405</v>
      </c>
      <c r="AR99" s="31">
        <f t="shared" si="129"/>
        <v>0.18762354864715614</v>
      </c>
      <c r="AS99" s="58" t="str">
        <f t="shared" si="130"/>
        <v>-3.70904724870491+16.3420610085266i</v>
      </c>
      <c r="AT99" s="49">
        <f t="shared" si="131"/>
        <v>24.484280187724224</v>
      </c>
      <c r="AU99" s="61">
        <f t="shared" si="132"/>
        <v>102.78740400880783</v>
      </c>
      <c r="AV99" s="58" t="str">
        <f t="shared" si="108"/>
        <v>1103.37638216599+385.807306056939i</v>
      </c>
      <c r="AW99" s="64">
        <f t="shared" si="133"/>
        <v>61.355418465159424</v>
      </c>
      <c r="AX99" s="61">
        <f t="shared" si="134"/>
        <v>19.272723083288422</v>
      </c>
    </row>
    <row r="100" spans="14:50" x14ac:dyDescent="0.35">
      <c r="N100" s="10">
        <v>82</v>
      </c>
      <c r="O100" s="50">
        <f t="shared" si="109"/>
        <v>66.069344800759623</v>
      </c>
      <c r="P100" s="48" t="str">
        <f t="shared" si="99"/>
        <v>547.187404092767</v>
      </c>
      <c r="Q100" s="17" t="str">
        <f t="shared" si="100"/>
        <v>1+7.9614226498493i</v>
      </c>
      <c r="R100" s="17">
        <f t="shared" si="110"/>
        <v>8.0239797238984512</v>
      </c>
      <c r="S100" s="17">
        <f t="shared" si="111"/>
        <v>1.4458450032648453</v>
      </c>
      <c r="T100" s="17" t="str">
        <f t="shared" si="101"/>
        <v>1+0.000150645540917891i</v>
      </c>
      <c r="U100" s="17">
        <f t="shared" si="112"/>
        <v>1.0000000113470395</v>
      </c>
      <c r="V100" s="17">
        <f t="shared" si="113"/>
        <v>1.5064553977830374E-4</v>
      </c>
      <c r="W100" s="31" t="str">
        <f t="shared" si="102"/>
        <v>1-0.00261599716818406i</v>
      </c>
      <c r="X100" s="17">
        <f t="shared" si="114"/>
        <v>1.000003421714738</v>
      </c>
      <c r="Y100" s="17">
        <f t="shared" si="115"/>
        <v>-2.6159912007343101E-3</v>
      </c>
      <c r="Z100" s="31" t="str">
        <f t="shared" si="103"/>
        <v>0.999998556972455+0.012516673270926i</v>
      </c>
      <c r="AA100" s="17">
        <f t="shared" si="116"/>
        <v>1.0000768875725323</v>
      </c>
      <c r="AB100" s="17">
        <f t="shared" si="117"/>
        <v>1.2516037741121757E-2</v>
      </c>
      <c r="AC100" s="66" t="str">
        <f t="shared" si="118"/>
        <v>7.4836360145142-67.7771048341344i</v>
      </c>
      <c r="AD100" s="64">
        <f t="shared" si="119"/>
        <v>36.67428738914839</v>
      </c>
      <c r="AE100" s="61">
        <f t="shared" si="120"/>
        <v>-83.699186557360775</v>
      </c>
      <c r="AF100" s="31" t="str">
        <f t="shared" si="104"/>
        <v>-6627.51882264077</v>
      </c>
      <c r="AG100" s="31" t="str">
        <f t="shared" si="121"/>
        <v>415.125936507115i</v>
      </c>
      <c r="AH100" s="31">
        <f t="shared" si="122"/>
        <v>415.125936507115</v>
      </c>
      <c r="AI100" s="31">
        <f t="shared" si="123"/>
        <v>1.5707963267948966</v>
      </c>
      <c r="AJ100" s="31" t="str">
        <f t="shared" si="105"/>
        <v>0.999979434192319+0.202641650276266i</v>
      </c>
      <c r="AK100" s="31">
        <f t="shared" si="124"/>
        <v>1.0203051049731542</v>
      </c>
      <c r="AL100" s="31">
        <f t="shared" si="125"/>
        <v>0.19993831621033412</v>
      </c>
      <c r="AM100" s="31" t="str">
        <f t="shared" si="106"/>
        <v>1+0.240743984358571i</v>
      </c>
      <c r="AN100" s="31">
        <f t="shared" si="126"/>
        <v>1.0285706908155803</v>
      </c>
      <c r="AO100" s="31">
        <f t="shared" si="127"/>
        <v>0.23624832664472989</v>
      </c>
      <c r="AP100" s="31" t="str">
        <f t="shared" si="107"/>
        <v>1+0.19427893828533i</v>
      </c>
      <c r="AQ100" s="31">
        <f t="shared" si="128"/>
        <v>1.0186973573447979</v>
      </c>
      <c r="AR100" s="31">
        <f t="shared" si="129"/>
        <v>0.19188853572996636</v>
      </c>
      <c r="AS100" s="58" t="str">
        <f t="shared" si="130"/>
        <v>-3.70900476706622+15.9702968615306i</v>
      </c>
      <c r="AT100" s="49">
        <f t="shared" si="131"/>
        <v>24.294407326543379</v>
      </c>
      <c r="AU100" s="61">
        <f t="shared" si="132"/>
        <v>103.0748135862392</v>
      </c>
      <c r="AV100" s="58" t="str">
        <f t="shared" si="108"/>
        <v>1054.66364296339+370.901493683185i</v>
      </c>
      <c r="AW100" s="64">
        <f t="shared" si="133"/>
        <v>60.968694715691797</v>
      </c>
      <c r="AX100" s="61">
        <f t="shared" si="134"/>
        <v>19.37562702887837</v>
      </c>
    </row>
    <row r="101" spans="14:50" x14ac:dyDescent="0.35">
      <c r="N101" s="10">
        <v>83</v>
      </c>
      <c r="O101" s="50">
        <f t="shared" si="109"/>
        <v>67.60829753919819</v>
      </c>
      <c r="P101" s="48" t="str">
        <f t="shared" si="99"/>
        <v>547.187404092767</v>
      </c>
      <c r="Q101" s="17" t="str">
        <f t="shared" si="100"/>
        <v>1+8.14686800617605i</v>
      </c>
      <c r="R101" s="17">
        <f t="shared" si="110"/>
        <v>8.2080118366176187</v>
      </c>
      <c r="S101" s="17">
        <f t="shared" si="111"/>
        <v>1.4486607185603462</v>
      </c>
      <c r="T101" s="17" t="str">
        <f t="shared" si="101"/>
        <v>1+0.000154154526339621i</v>
      </c>
      <c r="U101" s="17">
        <f t="shared" si="112"/>
        <v>1.0000000118818089</v>
      </c>
      <c r="V101" s="17">
        <f t="shared" si="113"/>
        <v>1.5415452511853125E-4</v>
      </c>
      <c r="W101" s="31" t="str">
        <f t="shared" si="102"/>
        <v>1-0.00267693157002905i</v>
      </c>
      <c r="X101" s="17">
        <f t="shared" si="114"/>
        <v>1.0000035829748966</v>
      </c>
      <c r="Y101" s="17">
        <f t="shared" si="115"/>
        <v>-2.6769251757926774E-3</v>
      </c>
      <c r="Z101" s="31" t="str">
        <f t="shared" si="103"/>
        <v>0.999998488964662+0.0128082240448064i</v>
      </c>
      <c r="AA101" s="17">
        <f t="shared" si="116"/>
        <v>1.000080511026382</v>
      </c>
      <c r="AB101" s="17">
        <f t="shared" si="117"/>
        <v>1.2807543065312687E-2</v>
      </c>
      <c r="AC101" s="66" t="str">
        <f t="shared" si="118"/>
        <v>7.10610285777851-66.2800628747877i</v>
      </c>
      <c r="AD101" s="64">
        <f t="shared" si="119"/>
        <v>36.477294294480799</v>
      </c>
      <c r="AE101" s="61">
        <f t="shared" si="120"/>
        <v>-83.880507394434559</v>
      </c>
      <c r="AF101" s="31" t="str">
        <f t="shared" si="104"/>
        <v>-6627.51882264077</v>
      </c>
      <c r="AG101" s="31" t="str">
        <f t="shared" si="121"/>
        <v>424.795461741716i</v>
      </c>
      <c r="AH101" s="31">
        <f t="shared" si="122"/>
        <v>424.795461741716</v>
      </c>
      <c r="AI101" s="31">
        <f t="shared" si="123"/>
        <v>1.5707963267948966</v>
      </c>
      <c r="AJ101" s="31" t="str">
        <f t="shared" si="105"/>
        <v>0.999978464955664+0.20736178067191i</v>
      </c>
      <c r="AK101" s="31">
        <f t="shared" si="124"/>
        <v>1.0212520934903935</v>
      </c>
      <c r="AL101" s="31">
        <f t="shared" si="125"/>
        <v>0.20446835167374997</v>
      </c>
      <c r="AM101" s="31" t="str">
        <f t="shared" si="106"/>
        <v>1+0.246351632127874i</v>
      </c>
      <c r="AN101" s="31">
        <f t="shared" si="126"/>
        <v>1.0298976292098487</v>
      </c>
      <c r="AO101" s="31">
        <f t="shared" si="127"/>
        <v>0.24154196845368192</v>
      </c>
      <c r="AP101" s="31" t="str">
        <f t="shared" si="107"/>
        <v>1+0.198804276095123i</v>
      </c>
      <c r="AQ101" s="31">
        <f t="shared" si="128"/>
        <v>1.0195700761564681</v>
      </c>
      <c r="AR101" s="31">
        <f t="shared" si="129"/>
        <v>0.19624556139421517</v>
      </c>
      <c r="AS101" s="58" t="str">
        <f t="shared" si="130"/>
        <v>-3.70896044453114+15.6069995995401i</v>
      </c>
      <c r="AT101" s="49">
        <f t="shared" si="131"/>
        <v>24.104985615000238</v>
      </c>
      <c r="AU101" s="61">
        <f t="shared" si="132"/>
        <v>103.36820418883956</v>
      </c>
      <c r="AV101" s="58" t="str">
        <f t="shared" si="108"/>
        <v>1008.07666033003+356.735075919264i</v>
      </c>
      <c r="AW101" s="64">
        <f t="shared" si="133"/>
        <v>60.582279909481009</v>
      </c>
      <c r="AX101" s="61">
        <f t="shared" si="134"/>
        <v>19.487696794405046</v>
      </c>
    </row>
    <row r="102" spans="14:50" x14ac:dyDescent="0.35">
      <c r="N102" s="10">
        <v>84</v>
      </c>
      <c r="O102" s="50">
        <f t="shared" si="109"/>
        <v>69.183097091893657</v>
      </c>
      <c r="P102" s="48" t="str">
        <f t="shared" si="99"/>
        <v>547.187404092767</v>
      </c>
      <c r="Q102" s="17" t="str">
        <f t="shared" si="100"/>
        <v>1+8.33663293975623i</v>
      </c>
      <c r="R102" s="17">
        <f t="shared" si="110"/>
        <v>8.3963949866730676</v>
      </c>
      <c r="S102" s="17">
        <f t="shared" si="111"/>
        <v>1.4514142223393809</v>
      </c>
      <c r="T102" s="17" t="str">
        <f t="shared" si="101"/>
        <v>1+0.000157745246531693i</v>
      </c>
      <c r="U102" s="17">
        <f t="shared" si="112"/>
        <v>1.0000000124417814</v>
      </c>
      <c r="V102" s="17">
        <f t="shared" si="113"/>
        <v>1.5774524522327177E-4</v>
      </c>
      <c r="W102" s="31" t="str">
        <f t="shared" si="102"/>
        <v>1-0.00273928531642584i</v>
      </c>
      <c r="X102" s="17">
        <f t="shared" si="114"/>
        <v>1.0000037518349842</v>
      </c>
      <c r="Y102" s="17">
        <f t="shared" si="115"/>
        <v>-2.7392784648795129E-3</v>
      </c>
      <c r="Z102" s="31" t="str">
        <f t="shared" si="103"/>
        <v>0.999998417751761+0.0131065659086123i</v>
      </c>
      <c r="AA102" s="17">
        <f t="shared" si="116"/>
        <v>1.0000843052342849</v>
      </c>
      <c r="AB102" s="17">
        <f t="shared" si="117"/>
        <v>1.3105836229260108E-2</v>
      </c>
      <c r="AC102" s="66" t="str">
        <f t="shared" si="118"/>
        <v>6.74506877095478-64.8140501205846i</v>
      </c>
      <c r="AD102" s="64">
        <f t="shared" si="119"/>
        <v>36.280165080785622</v>
      </c>
      <c r="AE102" s="61">
        <f t="shared" si="120"/>
        <v>-84.058729326394399</v>
      </c>
      <c r="AF102" s="31" t="str">
        <f t="shared" si="104"/>
        <v>-6627.51882264077</v>
      </c>
      <c r="AG102" s="31" t="str">
        <f t="shared" si="121"/>
        <v>434.690219152965i</v>
      </c>
      <c r="AH102" s="31">
        <f t="shared" si="122"/>
        <v>434.69021915296503</v>
      </c>
      <c r="AI102" s="31">
        <f t="shared" si="123"/>
        <v>1.5707963267948966</v>
      </c>
      <c r="AJ102" s="31" t="str">
        <f t="shared" si="105"/>
        <v>0.999977450040292+0.212191857028424i</v>
      </c>
      <c r="AK102" s="31">
        <f t="shared" si="124"/>
        <v>1.0222427719373983</v>
      </c>
      <c r="AL102" s="31">
        <f t="shared" si="125"/>
        <v>0.20909512377210429</v>
      </c>
      <c r="AM102" s="31" t="str">
        <f t="shared" si="106"/>
        <v>1+0.252089898793379i</v>
      </c>
      <c r="AN102" s="31">
        <f t="shared" si="126"/>
        <v>1.0312852743415162</v>
      </c>
      <c r="AO102" s="31">
        <f t="shared" si="127"/>
        <v>0.24694465740313012</v>
      </c>
      <c r="AP102" s="31" t="str">
        <f t="shared" si="107"/>
        <v>1+0.203435022563587i</v>
      </c>
      <c r="AQ102" s="31">
        <f t="shared" si="128"/>
        <v>1.0204831249978841</v>
      </c>
      <c r="AR102" s="31">
        <f t="shared" si="129"/>
        <v>0.20069627377650334</v>
      </c>
      <c r="AS102" s="58" t="str">
        <f t="shared" si="130"/>
        <v>-3.7089142089115+15.2519765465405i</v>
      </c>
      <c r="AT102" s="49">
        <f t="shared" si="131"/>
        <v>23.916033941348594</v>
      </c>
      <c r="AU102" s="61">
        <f t="shared" si="132"/>
        <v>103.66766798499206</v>
      </c>
      <c r="AV102" s="58" t="str">
        <f t="shared" si="108"/>
        <v>963.525490920777+343.265382128743i</v>
      </c>
      <c r="AW102" s="64">
        <f t="shared" si="133"/>
        <v>60.196199022134209</v>
      </c>
      <c r="AX102" s="61">
        <f t="shared" si="134"/>
        <v>19.608938658597665</v>
      </c>
    </row>
    <row r="103" spans="14:50" x14ac:dyDescent="0.35">
      <c r="N103" s="10">
        <v>85</v>
      </c>
      <c r="O103" s="50">
        <f t="shared" si="109"/>
        <v>70.794578438413865</v>
      </c>
      <c r="P103" s="48" t="str">
        <f t="shared" si="99"/>
        <v>547.187404092767</v>
      </c>
      <c r="Q103" s="17" t="str">
        <f t="shared" si="100"/>
        <v>1+8.53081806646947i</v>
      </c>
      <c r="R103" s="17">
        <f t="shared" si="110"/>
        <v>8.5892291204276248</v>
      </c>
      <c r="S103" s="17">
        <f t="shared" si="111"/>
        <v>1.4541068074447421</v>
      </c>
      <c r="T103" s="17" t="str">
        <f t="shared" si="101"/>
        <v>1+0.000161419605341482i</v>
      </c>
      <c r="U103" s="17">
        <f t="shared" si="112"/>
        <v>1.0000000130281443</v>
      </c>
      <c r="V103" s="17">
        <f t="shared" si="113"/>
        <v>1.6141960393948341E-4</v>
      </c>
      <c r="W103" s="31" t="str">
        <f t="shared" si="102"/>
        <v>1-0.00280309146815614i</v>
      </c>
      <c r="X103" s="17">
        <f t="shared" si="114"/>
        <v>1.0000039286531723</v>
      </c>
      <c r="Y103" s="17">
        <f t="shared" si="115"/>
        <v>-2.8030841265935373E-3</v>
      </c>
      <c r="Z103" s="31" t="str">
        <f t="shared" si="103"/>
        <v>0.999998343182699+0.0134118570471488i</v>
      </c>
      <c r="AA103" s="17">
        <f t="shared" si="116"/>
        <v>1.000088278242274</v>
      </c>
      <c r="AB103" s="17">
        <f t="shared" si="117"/>
        <v>1.3411075185363367E-2</v>
      </c>
      <c r="AC103" s="66" t="str">
        <f t="shared" si="118"/>
        <v>6.39983371695661-63.3785561135181i</v>
      </c>
      <c r="AD103" s="64">
        <f t="shared" si="119"/>
        <v>36.082905571789574</v>
      </c>
      <c r="AE103" s="61">
        <f t="shared" si="120"/>
        <v>-84.233937262717475</v>
      </c>
      <c r="AF103" s="31" t="str">
        <f t="shared" si="104"/>
        <v>-6627.51882264077</v>
      </c>
      <c r="AG103" s="31" t="str">
        <f t="shared" si="121"/>
        <v>444.815455072215i</v>
      </c>
      <c r="AH103" s="31">
        <f t="shared" si="122"/>
        <v>444.815455072215</v>
      </c>
      <c r="AI103" s="31">
        <f t="shared" si="123"/>
        <v>1.5707963267948966</v>
      </c>
      <c r="AJ103" s="31" t="str">
        <f t="shared" si="105"/>
        <v>0.999976387293432+0.217134440316226i</v>
      </c>
      <c r="AK103" s="31">
        <f t="shared" si="124"/>
        <v>1.0232791116385913</v>
      </c>
      <c r="AL103" s="31">
        <f t="shared" si="125"/>
        <v>0.2138202941909369</v>
      </c>
      <c r="AM103" s="31" t="str">
        <f t="shared" si="106"/>
        <v>1+0.25796182686003i</v>
      </c>
      <c r="AN103" s="31">
        <f t="shared" si="126"/>
        <v>1.0327363187750125</v>
      </c>
      <c r="AO103" s="31">
        <f t="shared" si="127"/>
        <v>0.25245799593497753</v>
      </c>
      <c r="AP103" s="31" t="str">
        <f t="shared" si="107"/>
        <v>1+0.208173632973796i</v>
      </c>
      <c r="AQ103" s="31">
        <f t="shared" si="128"/>
        <v>1.0214383297416976</v>
      </c>
      <c r="AR103" s="31">
        <f t="shared" si="129"/>
        <v>0.20524232706054213</v>
      </c>
      <c r="AS103" s="58" t="str">
        <f t="shared" si="130"/>
        <v>-3.70886598588599+14.9050394104906i</v>
      </c>
      <c r="AT103" s="49">
        <f t="shared" si="131"/>
        <v>23.727571875437576</v>
      </c>
      <c r="AU103" s="61">
        <f t="shared" si="132"/>
        <v>103.97329635803149</v>
      </c>
      <c r="AV103" s="58" t="str">
        <f t="shared" si="108"/>
        <v>920.923751063831+330.452344775819i</v>
      </c>
      <c r="AW103" s="64">
        <f t="shared" si="133"/>
        <v>59.810477447227157</v>
      </c>
      <c r="AX103" s="61">
        <f t="shared" si="134"/>
        <v>19.739359095314033</v>
      </c>
    </row>
    <row r="104" spans="14:50" x14ac:dyDescent="0.35">
      <c r="N104" s="10">
        <v>86</v>
      </c>
      <c r="O104" s="50">
        <f t="shared" si="109"/>
        <v>72.443596007499011</v>
      </c>
      <c r="P104" s="48" t="str">
        <f t="shared" si="99"/>
        <v>547.187404092767</v>
      </c>
      <c r="Q104" s="17" t="str">
        <f t="shared" si="100"/>
        <v>1+8.72952634584024i</v>
      </c>
      <c r="R104" s="17">
        <f t="shared" si="110"/>
        <v>8.7866165400977234</v>
      </c>
      <c r="S104" s="17">
        <f t="shared" si="111"/>
        <v>1.4567397452663891</v>
      </c>
      <c r="T104" s="17" t="str">
        <f t="shared" si="101"/>
        <v>1+0.000165179550962663i</v>
      </c>
      <c r="U104" s="17">
        <f t="shared" si="112"/>
        <v>1.0000000136421421</v>
      </c>
      <c r="V104" s="17">
        <f t="shared" si="113"/>
        <v>1.6517954946039442E-4</v>
      </c>
      <c r="W104" s="31" t="str">
        <f t="shared" si="102"/>
        <v>1-0.00286838385608614i</v>
      </c>
      <c r="X104" s="17">
        <f t="shared" si="114"/>
        <v>1.0000041138045113</v>
      </c>
      <c r="Y104" s="17">
        <f t="shared" si="115"/>
        <v>-2.8683759894618283E-3</v>
      </c>
      <c r="Z104" s="31" t="str">
        <f t="shared" si="103"/>
        <v>0.999998265099305+0.0137242593298186i</v>
      </c>
      <c r="AA104" s="17">
        <f t="shared" si="116"/>
        <v>1.0000924384754504</v>
      </c>
      <c r="AB104" s="17">
        <f t="shared" si="117"/>
        <v>1.3723421554003285E-2</v>
      </c>
      <c r="AC104" s="66" t="str">
        <f t="shared" si="118"/>
        <v>6.06972554112149-61.9730695869532i</v>
      </c>
      <c r="AD104" s="64">
        <f t="shared" si="119"/>
        <v>35.885521337799084</v>
      </c>
      <c r="AE104" s="61">
        <f t="shared" si="120"/>
        <v>-84.406215135456847</v>
      </c>
      <c r="AF104" s="31" t="str">
        <f t="shared" si="104"/>
        <v>-6627.51882264077</v>
      </c>
      <c r="AG104" s="31" t="str">
        <f t="shared" si="121"/>
        <v>455.176538033571i</v>
      </c>
      <c r="AH104" s="31">
        <f t="shared" si="122"/>
        <v>455.17653803357098</v>
      </c>
      <c r="AI104" s="31">
        <f t="shared" si="123"/>
        <v>1.5707963267948966</v>
      </c>
      <c r="AJ104" s="31" t="str">
        <f t="shared" si="105"/>
        <v>0.999975274460856+0.222192151158398i</v>
      </c>
      <c r="AK104" s="31">
        <f t="shared" si="124"/>
        <v>1.0243631687880332</v>
      </c>
      <c r="AL104" s="31">
        <f t="shared" si="125"/>
        <v>0.21864552521455272</v>
      </c>
      <c r="AM104" s="31" t="str">
        <f t="shared" si="106"/>
        <v>1+0.263970529701809i</v>
      </c>
      <c r="AN104" s="31">
        <f t="shared" si="126"/>
        <v>1.0342535668544024</v>
      </c>
      <c r="AO104" s="31">
        <f t="shared" si="127"/>
        <v>0.25808356602069465</v>
      </c>
      <c r="AP104" s="31" t="str">
        <f t="shared" si="107"/>
        <v>1+0.213022619799711i</v>
      </c>
      <c r="AQ104" s="31">
        <f t="shared" si="128"/>
        <v>1.0224375954288516</v>
      </c>
      <c r="AR104" s="31">
        <f t="shared" si="129"/>
        <v>0.20988537965814799</v>
      </c>
      <c r="AS104" s="58" t="str">
        <f t="shared" si="130"/>
        <v>-3.70881569900316+14.5660041833219i</v>
      </c>
      <c r="AT104" s="49">
        <f t="shared" si="131"/>
        <v>23.539619683485022</v>
      </c>
      <c r="AU104" s="61">
        <f t="shared" si="132"/>
        <v>104.28517972636941</v>
      </c>
      <c r="AV104" s="58" t="str">
        <f t="shared" si="108"/>
        <v>880.188497481308+318.258341023099i</v>
      </c>
      <c r="AW104" s="64">
        <f t="shared" si="133"/>
        <v>59.425141021284105</v>
      </c>
      <c r="AX104" s="61">
        <f t="shared" si="134"/>
        <v>19.87896459091256</v>
      </c>
    </row>
    <row r="105" spans="14:50" x14ac:dyDescent="0.35">
      <c r="N105" s="10">
        <v>87</v>
      </c>
      <c r="O105" s="50">
        <f t="shared" si="109"/>
        <v>74.131024130091816</v>
      </c>
      <c r="P105" s="48" t="str">
        <f t="shared" si="99"/>
        <v>547.187404092767</v>
      </c>
      <c r="Q105" s="17" t="str">
        <f t="shared" si="100"/>
        <v>1+8.93286313562855i</v>
      </c>
      <c r="R105" s="17">
        <f t="shared" si="110"/>
        <v>8.9886619582600567</v>
      </c>
      <c r="S105" s="17">
        <f t="shared" si="111"/>
        <v>1.4593142857241677</v>
      </c>
      <c r="T105" s="17" t="str">
        <f t="shared" si="101"/>
        <v>1+0.000169027076968175i</v>
      </c>
      <c r="U105" s="17">
        <f t="shared" si="112"/>
        <v>1.0000000142850762</v>
      </c>
      <c r="V105" s="17">
        <f t="shared" si="113"/>
        <v>1.6902707535846522E-4</v>
      </c>
      <c r="W105" s="31" t="str">
        <f t="shared" si="102"/>
        <v>1-0.0029351970991042i</v>
      </c>
      <c r="X105" s="17">
        <f t="shared" si="114"/>
        <v>1.0000043076817273</v>
      </c>
      <c r="Y105" s="17">
        <f t="shared" si="115"/>
        <v>-2.9351886698663443E-3</v>
      </c>
      <c r="Z105" s="31" t="str">
        <f t="shared" si="103"/>
        <v>0.999998183335954+0.0140439383964471i</v>
      </c>
      <c r="AA105" s="17">
        <f t="shared" si="116"/>
        <v>1.0000967947558335</v>
      </c>
      <c r="AB105" s="17">
        <f t="shared" si="117"/>
        <v>1.4043040708179536E-2</v>
      </c>
      <c r="AC105" s="66" t="str">
        <f t="shared" si="118"/>
        <v>5.75409902097266-60.5970792419844i</v>
      </c>
      <c r="AD105" s="64">
        <f t="shared" si="119"/>
        <v>35.688017705550095</v>
      </c>
      <c r="AE105" s="61">
        <f t="shared" si="120"/>
        <v>-84.575645904068708</v>
      </c>
      <c r="AF105" s="31" t="str">
        <f t="shared" si="104"/>
        <v>-6627.51882264077</v>
      </c>
      <c r="AG105" s="31" t="str">
        <f t="shared" si="121"/>
        <v>465.778961620368i</v>
      </c>
      <c r="AH105" s="31">
        <f t="shared" si="122"/>
        <v>465.77896162036802</v>
      </c>
      <c r="AI105" s="31">
        <f t="shared" si="123"/>
        <v>1.5707963267948966</v>
      </c>
      <c r="AJ105" s="31" t="str">
        <f t="shared" si="105"/>
        <v>0.999974109182097+0.227367671220175i</v>
      </c>
      <c r="AK105" s="31">
        <f t="shared" si="124"/>
        <v>1.025497087733853</v>
      </c>
      <c r="AL105" s="31">
        <f t="shared" si="125"/>
        <v>0.2235724774874096</v>
      </c>
      <c r="AM105" s="31" t="str">
        <f t="shared" si="106"/>
        <v>1+0.2701191932125i</v>
      </c>
      <c r="AN105" s="31">
        <f t="shared" si="126"/>
        <v>1.0358399386689876</v>
      </c>
      <c r="AO105" s="31">
        <f t="shared" si="127"/>
        <v>0.26382292555822795</v>
      </c>
      <c r="AP105" s="31" t="str">
        <f t="shared" si="107"/>
        <v>1+0.217984554038332i</v>
      </c>
      <c r="AQ105" s="31">
        <f t="shared" si="128"/>
        <v>1.0234829093830977</v>
      </c>
      <c r="AR105" s="31">
        <f t="shared" si="129"/>
        <v>0.21462709224651585</v>
      </c>
      <c r="AS105" s="58" t="str">
        <f t="shared" si="130"/>
        <v>-3.70876326969247+14.2346910432038i</v>
      </c>
      <c r="AT105" s="49">
        <f t="shared" si="131"/>
        <v>23.352198342237493</v>
      </c>
      <c r="AU105" s="61">
        <f t="shared" si="132"/>
        <v>104.60340735285872</v>
      </c>
      <c r="AV105" s="58" t="str">
        <f t="shared" si="108"/>
        <v>841.24011003103+306.648043538863i</v>
      </c>
      <c r="AW105" s="64">
        <f t="shared" si="133"/>
        <v>59.040216047787595</v>
      </c>
      <c r="AX105" s="61">
        <f t="shared" si="134"/>
        <v>20.027761448790002</v>
      </c>
    </row>
    <row r="106" spans="14:50" x14ac:dyDescent="0.35">
      <c r="N106" s="10">
        <v>88</v>
      </c>
      <c r="O106" s="50">
        <f t="shared" si="109"/>
        <v>75.857757502918361</v>
      </c>
      <c r="P106" s="48" t="str">
        <f t="shared" si="99"/>
        <v>547.187404092767</v>
      </c>
      <c r="Q106" s="17" t="str">
        <f t="shared" si="100"/>
        <v>1+9.14093624769177i</v>
      </c>
      <c r="R106" s="17">
        <f t="shared" si="110"/>
        <v>9.1954725536192701</v>
      </c>
      <c r="S106" s="17">
        <f t="shared" si="111"/>
        <v>1.4618316572818464</v>
      </c>
      <c r="T106" s="17" t="str">
        <f t="shared" si="101"/>
        <v>1+0.000172964223367233i</v>
      </c>
      <c r="U106" s="17">
        <f t="shared" si="112"/>
        <v>1.000000014958311</v>
      </c>
      <c r="V106" s="17">
        <f t="shared" si="113"/>
        <v>1.7296422164239791E-4</v>
      </c>
      <c r="W106" s="31" t="str">
        <f t="shared" si="102"/>
        <v>1-0.00300356662247612i</v>
      </c>
      <c r="X106" s="17">
        <f t="shared" si="114"/>
        <v>1.0000045106960547</v>
      </c>
      <c r="Y106" s="17">
        <f t="shared" si="115"/>
        <v>-3.0035575903872296E-3</v>
      </c>
      <c r="Z106" s="31" t="str">
        <f t="shared" si="103"/>
        <v>0.999998097719215+0.0143710637451069i</v>
      </c>
      <c r="AA106" s="17">
        <f t="shared" si="116"/>
        <v>1.0001013563210555</v>
      </c>
      <c r="AB106" s="17">
        <f t="shared" si="117"/>
        <v>1.4370101860062566E-2</v>
      </c>
      <c r="AC106" s="66" t="str">
        <f t="shared" si="118"/>
        <v>5.45233493375772-59.2500744628998i</v>
      </c>
      <c r="AD106" s="64">
        <f t="shared" si="119"/>
        <v>35.490399767707871</v>
      </c>
      <c r="AE106" s="61">
        <f t="shared" si="120"/>
        <v>-84.742311562165881</v>
      </c>
      <c r="AF106" s="31" t="str">
        <f t="shared" si="104"/>
        <v>-6627.51882264077</v>
      </c>
      <c r="AG106" s="31" t="str">
        <f t="shared" si="121"/>
        <v>476.628347377929i</v>
      </c>
      <c r="AH106" s="31">
        <f t="shared" si="122"/>
        <v>476.628347377929</v>
      </c>
      <c r="AI106" s="31">
        <f t="shared" si="123"/>
        <v>1.5707963267948966</v>
      </c>
      <c r="AJ106" s="31" t="str">
        <f t="shared" si="105"/>
        <v>0.999972888985441+0.232663744630799i</v>
      </c>
      <c r="AK106" s="31">
        <f t="shared" si="124"/>
        <v>1.0266831043567022</v>
      </c>
      <c r="AL106" s="31">
        <f t="shared" si="125"/>
        <v>0.22860280761343252</v>
      </c>
      <c r="AM106" s="31" t="str">
        <f t="shared" si="106"/>
        <v>1+0.276411077494883i</v>
      </c>
      <c r="AN106" s="31">
        <f t="shared" si="126"/>
        <v>1.0374984741009898</v>
      </c>
      <c r="AO106" s="31">
        <f t="shared" si="127"/>
        <v>0.26967760456495099</v>
      </c>
      <c r="AP106" s="31" t="str">
        <f t="shared" si="107"/>
        <v>1+0.22306206657287i</v>
      </c>
      <c r="AQ106" s="31">
        <f t="shared" si="128"/>
        <v>1.0245763444193701</v>
      </c>
      <c r="AR106" s="31">
        <f t="shared" si="129"/>
        <v>0.21946912565520077</v>
      </c>
      <c r="AS106" s="58" t="str">
        <f t="shared" si="130"/>
        <v>-3.70870861728359+13.9109242590229i</v>
      </c>
      <c r="AT106" s="49">
        <f t="shared" si="131"/>
        <v>23.165329552406938</v>
      </c>
      <c r="AU106" s="61">
        <f t="shared" si="132"/>
        <v>104.92806714314817</v>
      </c>
      <c r="AV106" s="58" t="str">
        <f t="shared" si="108"/>
        <v>804.002176641723+295.588280033579i</v>
      </c>
      <c r="AW106" s="64">
        <f t="shared" si="133"/>
        <v>58.655729320114816</v>
      </c>
      <c r="AX106" s="61">
        <f t="shared" si="134"/>
        <v>20.185755580982278</v>
      </c>
    </row>
    <row r="107" spans="14:50" x14ac:dyDescent="0.35">
      <c r="N107" s="10">
        <v>89</v>
      </c>
      <c r="O107" s="50">
        <f t="shared" si="109"/>
        <v>77.624711662869217</v>
      </c>
      <c r="P107" s="48" t="str">
        <f t="shared" si="99"/>
        <v>547.187404092767</v>
      </c>
      <c r="Q107" s="17" t="str">
        <f t="shared" si="100"/>
        <v>1+9.35385600514813i</v>
      </c>
      <c r="R107" s="17">
        <f t="shared" si="110"/>
        <v>9.4071580280680802</v>
      </c>
      <c r="S107" s="17">
        <f t="shared" si="111"/>
        <v>1.4642930669899921</v>
      </c>
      <c r="T107" s="17" t="str">
        <f t="shared" si="101"/>
        <v>1+0.000176993077686973i</v>
      </c>
      <c r="U107" s="17">
        <f t="shared" si="112"/>
        <v>1.0000000156632747</v>
      </c>
      <c r="V107" s="17">
        <f t="shared" si="113"/>
        <v>1.7699307583877891E-4</v>
      </c>
      <c r="W107" s="31" t="str">
        <f t="shared" si="102"/>
        <v>1-0.00307352867662819i</v>
      </c>
      <c r="X107" s="17">
        <f t="shared" si="114"/>
        <v>1.0000047232781084</v>
      </c>
      <c r="Y107" s="17">
        <f t="shared" si="115"/>
        <v>-3.0735189985730458E-3</v>
      </c>
      <c r="Z107" s="31" t="str">
        <f t="shared" si="103"/>
        <v>0.999998008067484+0.0147058088219879i</v>
      </c>
      <c r="AA107" s="17">
        <f t="shared" si="116"/>
        <v>1.000106132843932</v>
      </c>
      <c r="AB107" s="17">
        <f t="shared" si="117"/>
        <v>1.47047781495002E-2</v>
      </c>
      <c r="AC107" s="66" t="str">
        <f t="shared" si="118"/>
        <v>5.16383914293768-57.9315459752622i</v>
      </c>
      <c r="AD107" s="64">
        <f t="shared" si="119"/>
        <v>35.292672392022205</v>
      </c>
      <c r="AE107" s="61">
        <f t="shared" si="120"/>
        <v>-84.906293146059127</v>
      </c>
      <c r="AF107" s="31" t="str">
        <f t="shared" si="104"/>
        <v>-6627.51882264077</v>
      </c>
      <c r="AG107" s="31" t="str">
        <f t="shared" si="121"/>
        <v>487.730447794192i</v>
      </c>
      <c r="AH107" s="31">
        <f t="shared" si="122"/>
        <v>487.730447794192</v>
      </c>
      <c r="AI107" s="31">
        <f t="shared" si="123"/>
        <v>1.5707963267948966</v>
      </c>
      <c r="AJ107" s="31" t="str">
        <f t="shared" si="105"/>
        <v>0.999971611282689+0.238083179438496i</v>
      </c>
      <c r="AK107" s="31">
        <f t="shared" si="124"/>
        <v>1.0279235495419103</v>
      </c>
      <c r="AL107" s="31">
        <f t="shared" si="125"/>
        <v>0.23373816558683236</v>
      </c>
      <c r="AM107" s="31" t="str">
        <f t="shared" si="106"/>
        <v>1+0.282849518589286i</v>
      </c>
      <c r="AN107" s="31">
        <f t="shared" si="126"/>
        <v>1.0392323369517478</v>
      </c>
      <c r="AO107" s="31">
        <f t="shared" si="127"/>
        <v>0.2756491011630573</v>
      </c>
      <c r="AP107" s="31" t="str">
        <f t="shared" si="107"/>
        <v>1+0.228257849567682i</v>
      </c>
      <c r="AQ107" s="31">
        <f t="shared" si="128"/>
        <v>1.0257200621462284</v>
      </c>
      <c r="AR107" s="31">
        <f t="shared" si="129"/>
        <v>0.22441313859628226</v>
      </c>
      <c r="AS107" s="58" t="str">
        <f t="shared" si="130"/>
        <v>-3.70865165903512+13.5945320970249i</v>
      </c>
      <c r="AT107" s="49">
        <f t="shared" si="131"/>
        <v>22.979035751265865</v>
      </c>
      <c r="AU107" s="61">
        <f t="shared" si="132"/>
        <v>105.25924543281366</v>
      </c>
      <c r="AV107" s="58" t="str">
        <f t="shared" si="108"/>
        <v>768.401380586529+285.047901064165i</v>
      </c>
      <c r="AW107" s="64">
        <f t="shared" si="133"/>
        <v>58.271708143288059</v>
      </c>
      <c r="AX107" s="61">
        <f t="shared" si="134"/>
        <v>20.35295228675453</v>
      </c>
    </row>
    <row r="108" spans="14:50" x14ac:dyDescent="0.35">
      <c r="N108" s="10">
        <v>90</v>
      </c>
      <c r="O108" s="50">
        <f t="shared" si="109"/>
        <v>79.432823472428197</v>
      </c>
      <c r="P108" s="48" t="str">
        <f t="shared" si="99"/>
        <v>547.187404092767</v>
      </c>
      <c r="Q108" s="17" t="str">
        <f t="shared" si="100"/>
        <v>1+9.57173530087134i</v>
      </c>
      <c r="R108" s="17">
        <f t="shared" si="110"/>
        <v>9.6238306650702548</v>
      </c>
      <c r="S108" s="17">
        <f t="shared" si="111"/>
        <v>1.4666997005553419</v>
      </c>
      <c r="T108" s="17" t="str">
        <f t="shared" si="101"/>
        <v>1+0.000181115776079282i</v>
      </c>
      <c r="U108" s="17">
        <f t="shared" si="112"/>
        <v>1.000000016401462</v>
      </c>
      <c r="V108" s="17">
        <f t="shared" si="113"/>
        <v>1.8111577409890634E-4</v>
      </c>
      <c r="W108" s="31" t="str">
        <f t="shared" si="102"/>
        <v>1-0.00314512035636757i</v>
      </c>
      <c r="X108" s="17">
        <f t="shared" si="114"/>
        <v>1.0000049458787972</v>
      </c>
      <c r="Y108" s="17">
        <f t="shared" si="115"/>
        <v>-3.145109986147416E-3</v>
      </c>
      <c r="Z108" s="31" t="str">
        <f t="shared" si="103"/>
        <v>0.999997914190597+0.0150483511133608i</v>
      </c>
      <c r="AA108" s="17">
        <f t="shared" si="116"/>
        <v>1.0001111344529545</v>
      </c>
      <c r="AB108" s="17">
        <f t="shared" si="117"/>
        <v>1.5047246734520207E-2</v>
      </c>
      <c r="AC108" s="66" t="str">
        <f t="shared" si="118"/>
        <v>4.88804170460427-56.6409864499817i</v>
      </c>
      <c r="AD108" s="64">
        <f t="shared" si="119"/>
        <v>35.094840230145735</v>
      </c>
      <c r="AE108" s="61">
        <f t="shared" si="120"/>
        <v>-85.067670744954341</v>
      </c>
      <c r="AF108" s="31" t="str">
        <f t="shared" si="104"/>
        <v>-6627.51882264077</v>
      </c>
      <c r="AG108" s="31" t="str">
        <f t="shared" si="121"/>
        <v>499.091149349751i</v>
      </c>
      <c r="AH108" s="31">
        <f t="shared" si="122"/>
        <v>499.09114934975099</v>
      </c>
      <c r="AI108" s="31">
        <f t="shared" si="123"/>
        <v>1.5707963267948966</v>
      </c>
      <c r="AJ108" s="31" t="str">
        <f t="shared" si="105"/>
        <v>0.999970273363661+0.243628849099334i</v>
      </c>
      <c r="AK108" s="31">
        <f t="shared" si="124"/>
        <v>1.0292208527446678</v>
      </c>
      <c r="AL108" s="31">
        <f t="shared" si="125"/>
        <v>0.23898019204813181</v>
      </c>
      <c r="AM108" s="31" t="str">
        <f t="shared" si="106"/>
        <v>1+0.289437930242401i</v>
      </c>
      <c r="AN108" s="31">
        <f t="shared" si="126"/>
        <v>1.0410448191422907</v>
      </c>
      <c r="AO108" s="31">
        <f t="shared" si="127"/>
        <v>0.28173887735450626</v>
      </c>
      <c r="AP108" s="31" t="str">
        <f t="shared" si="107"/>
        <v>1+0.233574657895683i</v>
      </c>
      <c r="AQ108" s="31">
        <f t="shared" si="128"/>
        <v>1.0269163163622854</v>
      </c>
      <c r="AR108" s="31">
        <f t="shared" si="129"/>
        <v>0.22946078523118657</v>
      </c>
      <c r="AS108" s="58" t="str">
        <f t="shared" si="130"/>
        <v>-3.70859231017366+13.2853467295719i</v>
      </c>
      <c r="AT108" s="49">
        <f t="shared" si="131"/>
        <v>22.793340124276661</v>
      </c>
      <c r="AU108" s="61">
        <f t="shared" si="132"/>
        <v>105.59702676308812</v>
      </c>
      <c r="AV108" s="58" t="str">
        <f t="shared" si="108"/>
        <v>734.367390215487+274.997655663328i</v>
      </c>
      <c r="AW108" s="64">
        <f t="shared" si="133"/>
        <v>57.888180354422396</v>
      </c>
      <c r="AX108" s="61">
        <f t="shared" si="134"/>
        <v>20.5293560181338</v>
      </c>
    </row>
    <row r="109" spans="14:50" x14ac:dyDescent="0.35">
      <c r="N109" s="10">
        <v>91</v>
      </c>
      <c r="O109" s="50">
        <f t="shared" si="109"/>
        <v>81.283051616409963</v>
      </c>
      <c r="P109" s="48" t="str">
        <f t="shared" si="99"/>
        <v>547.187404092767</v>
      </c>
      <c r="Q109" s="17" t="str">
        <f t="shared" si="100"/>
        <v>1+9.79468965734794i</v>
      </c>
      <c r="R109" s="17">
        <f t="shared" si="110"/>
        <v>9.8456053893988003</v>
      </c>
      <c r="S109" s="17">
        <f t="shared" si="111"/>
        <v>1.4690527224344754</v>
      </c>
      <c r="T109" s="17" t="str">
        <f t="shared" si="101"/>
        <v>1+0.00018533450445342i</v>
      </c>
      <c r="U109" s="17">
        <f t="shared" si="112"/>
        <v>1.0000000171744392</v>
      </c>
      <c r="V109" s="17">
        <f t="shared" si="113"/>
        <v>1.8533450233140927E-4</v>
      </c>
      <c r="W109" s="31" t="str">
        <f t="shared" si="102"/>
        <v>1-0.00321837962055048i</v>
      </c>
      <c r="X109" s="17">
        <f t="shared" si="114"/>
        <v>1.0000051789702802</v>
      </c>
      <c r="Y109" s="17">
        <f t="shared" si="115"/>
        <v>-3.2183685086624937E-3</v>
      </c>
      <c r="Z109" s="31" t="str">
        <f t="shared" si="103"/>
        <v>0.999997815889428+0.0153988722396823i</v>
      </c>
      <c r="AA109" s="17">
        <f t="shared" si="116"/>
        <v>1.0001163717537476</v>
      </c>
      <c r="AB109" s="17">
        <f t="shared" si="117"/>
        <v>1.5397688883870228E-2</v>
      </c>
      <c r="AC109" s="66" t="str">
        <f t="shared" si="118"/>
        <v>4.62439599462015-55.3778910565995i</v>
      </c>
      <c r="AD109" s="64">
        <f t="shared" si="119"/>
        <v>34.896907726122031</v>
      </c>
      <c r="AE109" s="61">
        <f t="shared" si="120"/>
        <v>-85.226523512682732</v>
      </c>
      <c r="AF109" s="31" t="str">
        <f t="shared" si="104"/>
        <v>-6627.51882264077</v>
      </c>
      <c r="AG109" s="31" t="str">
        <f t="shared" si="121"/>
        <v>510.716475638947i</v>
      </c>
      <c r="AH109" s="31">
        <f t="shared" si="122"/>
        <v>510.71647563894697</v>
      </c>
      <c r="AI109" s="31">
        <f t="shared" si="123"/>
        <v>1.5707963267948966</v>
      </c>
      <c r="AJ109" s="31" t="str">
        <f t="shared" si="105"/>
        <v>0.999968872390452+0.249303694000774i</v>
      </c>
      <c r="AK109" s="31">
        <f t="shared" si="124"/>
        <v>1.0305775456472275</v>
      </c>
      <c r="AL109" s="31">
        <f t="shared" si="125"/>
        <v>0.24433051535932621</v>
      </c>
      <c r="AM109" s="31" t="str">
        <f t="shared" si="106"/>
        <v>1+0.296179805717295i</v>
      </c>
      <c r="AN109" s="31">
        <f t="shared" si="126"/>
        <v>1.0429393449835589</v>
      </c>
      <c r="AO109" s="31">
        <f t="shared" si="127"/>
        <v>0.28794835458350837</v>
      </c>
      <c r="AP109" s="31" t="str">
        <f t="shared" si="107"/>
        <v>1+0.239015310599027i</v>
      </c>
      <c r="AQ109" s="31">
        <f t="shared" si="128"/>
        <v>1.0281674565462326</v>
      </c>
      <c r="AR109" s="31">
        <f t="shared" si="129"/>
        <v>0.23461371256779656</v>
      </c>
      <c r="AS109" s="58" t="str">
        <f t="shared" si="130"/>
        <v>-3.70853048394353+12.9832041459653i</v>
      </c>
      <c r="AT109" s="49">
        <f t="shared" si="131"/>
        <v>22.6082666156207</v>
      </c>
      <c r="AU109" s="61">
        <f t="shared" si="132"/>
        <v>105.94149364505597</v>
      </c>
      <c r="AV109" s="58" t="str">
        <f t="shared" si="108"/>
        <v>701.832751244982+265.410074369841i</v>
      </c>
      <c r="AW109" s="64">
        <f t="shared" si="133"/>
        <v>57.50517434174273</v>
      </c>
      <c r="AX109" s="61">
        <f t="shared" si="134"/>
        <v>20.714970132373274</v>
      </c>
    </row>
    <row r="110" spans="14:50" x14ac:dyDescent="0.35">
      <c r="N110" s="10">
        <v>92</v>
      </c>
      <c r="O110" s="50">
        <f t="shared" si="109"/>
        <v>83.176377110267126</v>
      </c>
      <c r="P110" s="48" t="str">
        <f t="shared" si="99"/>
        <v>547.187404092767</v>
      </c>
      <c r="Q110" s="17" t="str">
        <f t="shared" si="100"/>
        <v>1+10.0228372879289i</v>
      </c>
      <c r="R110" s="17">
        <f t="shared" si="110"/>
        <v>10.072599828261716</v>
      </c>
      <c r="S110" s="17">
        <f t="shared" si="111"/>
        <v>1.4713532759497148</v>
      </c>
      <c r="T110" s="17" t="str">
        <f t="shared" si="101"/>
        <v>1+0.000189651499635011i</v>
      </c>
      <c r="U110" s="17">
        <f t="shared" si="112"/>
        <v>1.0000000179838455</v>
      </c>
      <c r="V110" s="17">
        <f t="shared" si="113"/>
        <v>1.8965149736123552E-4</v>
      </c>
      <c r="W110" s="31" t="str">
        <f t="shared" si="102"/>
        <v>1-0.0032933453122085i</v>
      </c>
      <c r="X110" s="17">
        <f t="shared" si="114"/>
        <v>1.0000054230469679</v>
      </c>
      <c r="Y110" s="17">
        <f t="shared" si="115"/>
        <v>-3.2933334056094925E-3</v>
      </c>
      <c r="Z110" s="31" t="str">
        <f t="shared" si="103"/>
        <v>0.999997712955468+0.0157575580518936i</v>
      </c>
      <c r="AA110" s="17">
        <f t="shared" si="116"/>
        <v>1.0001218558515386</v>
      </c>
      <c r="AB110" s="17">
        <f t="shared" si="117"/>
        <v>1.5756290071639107E-2</v>
      </c>
      <c r="AC110" s="66" t="str">
        <f t="shared" si="118"/>
        <v>4.37237785711375-54.1417579688589i</v>
      </c>
      <c r="AD110" s="64">
        <f t="shared" si="119"/>
        <v>34.698879124550352</v>
      </c>
      <c r="AE110" s="61">
        <f t="shared" si="120"/>
        <v>-85.382929680848775</v>
      </c>
      <c r="AF110" s="31" t="str">
        <f t="shared" si="104"/>
        <v>-6627.51882264077</v>
      </c>
      <c r="AG110" s="31" t="str">
        <f t="shared" si="121"/>
        <v>522.612590563659i</v>
      </c>
      <c r="AH110" s="31">
        <f t="shared" si="122"/>
        <v>522.61259056365896</v>
      </c>
      <c r="AI110" s="31">
        <f t="shared" si="123"/>
        <v>1.5707963267948966</v>
      </c>
      <c r="AJ110" s="31" t="str">
        <f t="shared" si="105"/>
        <v>0.999967405391409+0.255110723020697i</v>
      </c>
      <c r="AK110" s="31">
        <f t="shared" si="124"/>
        <v>1.0319962659066986</v>
      </c>
      <c r="AL110" s="31">
        <f t="shared" si="125"/>
        <v>0.2497907484923346</v>
      </c>
      <c r="AM110" s="31" t="str">
        <f t="shared" si="106"/>
        <v>1+0.303078719645583i</v>
      </c>
      <c r="AN110" s="31">
        <f t="shared" si="126"/>
        <v>1.044919475510915</v>
      </c>
      <c r="AO110" s="31">
        <f t="shared" si="127"/>
        <v>0.29427890908553611</v>
      </c>
      <c r="AP110" s="31" t="str">
        <f t="shared" si="107"/>
        <v>1+0.244582692383792i</v>
      </c>
      <c r="AQ110" s="31">
        <f t="shared" si="128"/>
        <v>1.0294759314397324</v>
      </c>
      <c r="AR110" s="31">
        <f t="shared" si="129"/>
        <v>0.23987355768155749</v>
      </c>
      <c r="AS110" s="58" t="str">
        <f t="shared" si="130"/>
        <v>-3.70846609166888+12.687944065288i</v>
      </c>
      <c r="AT110" s="49">
        <f t="shared" si="131"/>
        <v>22.423839937486573</v>
      </c>
      <c r="AU110" s="61">
        <f t="shared" si="132"/>
        <v>106.29272631223171</v>
      </c>
      <c r="AV110" s="58" t="str">
        <f t="shared" si="108"/>
        <v>670.732781682172+256.25935925422i</v>
      </c>
      <c r="AW110" s="64">
        <f t="shared" si="133"/>
        <v>57.122719062036921</v>
      </c>
      <c r="AX110" s="61">
        <f t="shared" si="134"/>
        <v>20.909796631382974</v>
      </c>
    </row>
    <row r="111" spans="14:50" x14ac:dyDescent="0.35">
      <c r="N111" s="10">
        <v>93</v>
      </c>
      <c r="O111" s="50">
        <f t="shared" si="109"/>
        <v>85.113803820237734</v>
      </c>
      <c r="P111" s="48" t="str">
        <f t="shared" si="99"/>
        <v>547.187404092767</v>
      </c>
      <c r="Q111" s="17" t="str">
        <f t="shared" si="100"/>
        <v>1+10.2562991595079i</v>
      </c>
      <c r="R111" s="17">
        <f t="shared" si="110"/>
        <v>10.304934373848406</v>
      </c>
      <c r="S111" s="17">
        <f t="shared" si="111"/>
        <v>1.4736024834253141</v>
      </c>
      <c r="T111" s="17" t="str">
        <f t="shared" si="101"/>
        <v>1+0.000194069050552043i</v>
      </c>
      <c r="U111" s="17">
        <f t="shared" si="112"/>
        <v>1.000000018831398</v>
      </c>
      <c r="V111" s="17">
        <f t="shared" si="113"/>
        <v>1.9406904811564867E-4</v>
      </c>
      <c r="W111" s="31" t="str">
        <f t="shared" si="102"/>
        <v>1-0.00337005717914363i</v>
      </c>
      <c r="X111" s="17">
        <f t="shared" si="114"/>
        <v>1.0000056786265719</v>
      </c>
      <c r="Y111" s="17">
        <f t="shared" si="115"/>
        <v>-3.3700444209968467E-3</v>
      </c>
      <c r="Z111" s="31" t="str">
        <f t="shared" si="103"/>
        <v>0.99999760517038+0.0161245987299599i</v>
      </c>
      <c r="AA111" s="17">
        <f t="shared" si="116"/>
        <v>1.000127598374676</v>
      </c>
      <c r="AB111" s="17">
        <f t="shared" si="117"/>
        <v>1.6123240073999515E-2</v>
      </c>
      <c r="AC111" s="66" t="str">
        <f t="shared" si="118"/>
        <v>4.13148477481407-52.9320888255034i</v>
      </c>
      <c r="AD111" s="64">
        <f t="shared" si="119"/>
        <v>34.500758478435515</v>
      </c>
      <c r="AE111" s="61">
        <f t="shared" si="120"/>
        <v>-85.536966573287273</v>
      </c>
      <c r="AF111" s="31" t="str">
        <f t="shared" si="104"/>
        <v>-6627.51882264077</v>
      </c>
      <c r="AG111" s="31" t="str">
        <f t="shared" si="121"/>
        <v>534.785801601484i</v>
      </c>
      <c r="AH111" s="31">
        <f t="shared" si="122"/>
        <v>534.78580160148397</v>
      </c>
      <c r="AI111" s="31">
        <f t="shared" si="123"/>
        <v>1.5707963267948966</v>
      </c>
      <c r="AJ111" s="31" t="str">
        <f t="shared" si="105"/>
        <v>0.999965869254832+0.261053015122756i</v>
      </c>
      <c r="AK111" s="31">
        <f t="shared" si="124"/>
        <v>1.0334797609915995</v>
      </c>
      <c r="AL111" s="31">
        <f t="shared" si="125"/>
        <v>0.2553624857252686</v>
      </c>
      <c r="AM111" s="31" t="str">
        <f t="shared" si="106"/>
        <v>1+0.310138329922749i</v>
      </c>
      <c r="AN111" s="31">
        <f t="shared" si="126"/>
        <v>1.0469889128769569</v>
      </c>
      <c r="AO111" s="31">
        <f t="shared" si="127"/>
        <v>0.30073186702296367</v>
      </c>
      <c r="AP111" s="31" t="str">
        <f t="shared" si="107"/>
        <v>1+0.250279755149494i</v>
      </c>
      <c r="AQ111" s="31">
        <f t="shared" si="128"/>
        <v>1.0308442927220827</v>
      </c>
      <c r="AR111" s="31">
        <f t="shared" si="129"/>
        <v>0.24524194475456512</v>
      </c>
      <c r="AS111" s="58" t="str">
        <f t="shared" si="130"/>
        <v>-3.70839904282874+12.3994098512206i</v>
      </c>
      <c r="AT111" s="49">
        <f t="shared" si="131"/>
        <v>22.240085577968806</v>
      </c>
      <c r="AU111" s="61">
        <f t="shared" si="132"/>
        <v>106.65080246149481</v>
      </c>
      <c r="AV111" s="58" t="str">
        <f t="shared" si="108"/>
        <v>641.005469444249+247.52128055242i</v>
      </c>
      <c r="AW111" s="64">
        <f t="shared" si="133"/>
        <v>56.740844056404327</v>
      </c>
      <c r="AX111" s="61">
        <f t="shared" si="134"/>
        <v>21.113835888207515</v>
      </c>
    </row>
    <row r="112" spans="14:50" x14ac:dyDescent="0.35">
      <c r="N112" s="10">
        <v>94</v>
      </c>
      <c r="O112" s="50">
        <f t="shared" si="109"/>
        <v>87.096358995608071</v>
      </c>
      <c r="P112" s="48" t="str">
        <f t="shared" si="99"/>
        <v>547.187404092767</v>
      </c>
      <c r="Q112" s="17" t="str">
        <f t="shared" si="100"/>
        <v>1+10.4951990566594i</v>
      </c>
      <c r="R112" s="17">
        <f t="shared" si="110"/>
        <v>10.542732247330592</v>
      </c>
      <c r="S112" s="17">
        <f t="shared" si="111"/>
        <v>1.4758014463421143</v>
      </c>
      <c r="T112" s="17" t="str">
        <f t="shared" si="101"/>
        <v>1+0.000198589499448484i</v>
      </c>
      <c r="U112" s="17">
        <f t="shared" si="112"/>
        <v>1.0000000197188945</v>
      </c>
      <c r="V112" s="17">
        <f t="shared" si="113"/>
        <v>1.9858949683784045E-4</v>
      </c>
      <c r="W112" s="31" t="str">
        <f t="shared" si="102"/>
        <v>1-0.00344855589500312i</v>
      </c>
      <c r="X112" s="17">
        <f t="shared" si="114"/>
        <v>1.0000059462512016</v>
      </c>
      <c r="Y112" s="17">
        <f t="shared" si="115"/>
        <v>-3.4485422244069329E-3</v>
      </c>
      <c r="Z112" s="31" t="str">
        <f t="shared" si="103"/>
        <v>0.999997492305537+0.0165001888837071i</v>
      </c>
      <c r="AA112" s="17">
        <f t="shared" si="116"/>
        <v>1.0001336114992638</v>
      </c>
      <c r="AB112" s="17">
        <f t="shared" si="117"/>
        <v>1.649873306811938E-2</v>
      </c>
      <c r="AC112" s="66" t="str">
        <f t="shared" si="118"/>
        <v>3.90123506157627-51.7483891490911i</v>
      </c>
      <c r="AD112" s="64">
        <f t="shared" si="119"/>
        <v>34.302549656729589</v>
      </c>
      <c r="AE112" s="61">
        <f t="shared" si="120"/>
        <v>-85.68871062172866</v>
      </c>
      <c r="AF112" s="31" t="str">
        <f t="shared" si="104"/>
        <v>-6627.51882264077</v>
      </c>
      <c r="AG112" s="31" t="str">
        <f t="shared" si="121"/>
        <v>547.242563150043i</v>
      </c>
      <c r="AH112" s="31">
        <f t="shared" si="122"/>
        <v>547.242563150043</v>
      </c>
      <c r="AI112" s="31">
        <f t="shared" si="123"/>
        <v>1.5707963267948966</v>
      </c>
      <c r="AJ112" s="31" t="str">
        <f t="shared" si="105"/>
        <v>0.999964260722368+0.267133720988878i</v>
      </c>
      <c r="AK112" s="31">
        <f t="shared" si="124"/>
        <v>1.0350308921048665</v>
      </c>
      <c r="AL112" s="31">
        <f t="shared" si="125"/>
        <v>0.26104729914142999</v>
      </c>
      <c r="AM112" s="31" t="str">
        <f t="shared" si="106"/>
        <v>1+0.317362379647605i</v>
      </c>
      <c r="AN112" s="31">
        <f t="shared" si="126"/>
        <v>1.0491515047959425</v>
      </c>
      <c r="AO112" s="31">
        <f t="shared" si="127"/>
        <v>0.30730849940866894</v>
      </c>
      <c r="AP112" s="31" t="str">
        <f t="shared" si="107"/>
        <v>1+0.25610951955422i</v>
      </c>
      <c r="AQ112" s="31">
        <f t="shared" si="128"/>
        <v>1.0322751987751586</v>
      </c>
      <c r="AR112" s="31">
        <f t="shared" si="129"/>
        <v>0.25072048192684798</v>
      </c>
      <c r="AS112" s="58" t="str">
        <f t="shared" si="130"/>
        <v>-3.70832924514572+12.1174484287869i</v>
      </c>
      <c r="AT112" s="49">
        <f t="shared" si="131"/>
        <v>22.057029807420733</v>
      </c>
      <c r="AU112" s="61">
        <f t="shared" si="132"/>
        <v>107.0157969824167</v>
      </c>
      <c r="AV112" s="58" t="str">
        <f t="shared" si="108"/>
        <v>612.591372715876+239.173079537982i</v>
      </c>
      <c r="AW112" s="64">
        <f t="shared" si="133"/>
        <v>56.359579464150329</v>
      </c>
      <c r="AX112" s="61">
        <f t="shared" si="134"/>
        <v>21.327086360688067</v>
      </c>
    </row>
    <row r="113" spans="14:50" x14ac:dyDescent="0.35">
      <c r="N113" s="10">
        <v>95</v>
      </c>
      <c r="O113" s="50">
        <f t="shared" si="109"/>
        <v>89.125093813374562</v>
      </c>
      <c r="P113" s="48" t="str">
        <f t="shared" si="99"/>
        <v>547.187404092767</v>
      </c>
      <c r="Q113" s="17" t="str">
        <f t="shared" si="100"/>
        <v>1+10.7396636472712i</v>
      </c>
      <c r="R113" s="17">
        <f t="shared" si="110"/>
        <v>10.786119564352999</v>
      </c>
      <c r="S113" s="17">
        <f t="shared" si="111"/>
        <v>1.4779512455089614</v>
      </c>
      <c r="T113" s="17" t="str">
        <f t="shared" si="101"/>
        <v>1+0.000203215243126176i</v>
      </c>
      <c r="U113" s="17">
        <f t="shared" si="112"/>
        <v>1.0000000206482174</v>
      </c>
      <c r="V113" s="17">
        <f t="shared" si="113"/>
        <v>2.0321524032882105E-4</v>
      </c>
      <c r="W113" s="31" t="str">
        <f t="shared" si="102"/>
        <v>1-0.00352888308084517i</v>
      </c>
      <c r="X113" s="17">
        <f t="shared" si="114"/>
        <v>1.0000062264885146</v>
      </c>
      <c r="Y113" s="17">
        <f t="shared" si="115"/>
        <v>-3.5288684325423671E-3</v>
      </c>
      <c r="Z113" s="31" t="str">
        <f t="shared" si="103"/>
        <v>0.999997374121538+0.0168845276560062i</v>
      </c>
      <c r="AA113" s="17">
        <f t="shared" si="116"/>
        <v>1.0001399079749482</v>
      </c>
      <c r="AB113" s="17">
        <f t="shared" si="117"/>
        <v>1.688296773328345E-2</v>
      </c>
      <c r="AC113" s="66" t="str">
        <f t="shared" si="118"/>
        <v>3.68116707733186-50.5901687254871i</v>
      </c>
      <c r="AD113" s="64">
        <f t="shared" si="119"/>
        <v>34.104256351573618</v>
      </c>
      <c r="AE113" s="61">
        <f t="shared" si="120"/>
        <v>-85.83823738257756</v>
      </c>
      <c r="AF113" s="31" t="str">
        <f t="shared" si="104"/>
        <v>-6627.51882264077</v>
      </c>
      <c r="AG113" s="31" t="str">
        <f t="shared" si="121"/>
        <v>559.989479949197i</v>
      </c>
      <c r="AH113" s="31">
        <f t="shared" si="122"/>
        <v>559.98947994919695</v>
      </c>
      <c r="AI113" s="31">
        <f t="shared" si="123"/>
        <v>1.5707963267948966</v>
      </c>
      <c r="AJ113" s="31" t="str">
        <f t="shared" si="105"/>
        <v>0.999962576382105+0.273356064689801i</v>
      </c>
      <c r="AK113" s="31">
        <f t="shared" si="124"/>
        <v>1.0366526381905523</v>
      </c>
      <c r="AL113" s="31">
        <f t="shared" si="125"/>
        <v>0.2668467349264817</v>
      </c>
      <c r="AM113" s="31" t="str">
        <f t="shared" si="106"/>
        <v>1+0.324754699106938i</v>
      </c>
      <c r="AN113" s="31">
        <f t="shared" si="126"/>
        <v>1.0514112490324792</v>
      </c>
      <c r="AO113" s="31">
        <f t="shared" si="127"/>
        <v>0.31401001682036123</v>
      </c>
      <c r="AP113" s="31" t="str">
        <f t="shared" si="107"/>
        <v>1+0.262075076616224i</v>
      </c>
      <c r="AQ113" s="31">
        <f t="shared" si="128"/>
        <v>1.0337714185367091</v>
      </c>
      <c r="AR113" s="31">
        <f t="shared" si="129"/>
        <v>0.25631075795444147</v>
      </c>
      <c r="AS113" s="58" t="str">
        <f t="shared" si="130"/>
        <v>-3.70825660469031+11.8419102029846i</v>
      </c>
      <c r="AT113" s="49">
        <f t="shared" si="131"/>
        <v>21.874699683097919</v>
      </c>
      <c r="AU113" s="61">
        <f t="shared" si="132"/>
        <v>107.38778167509366</v>
      </c>
      <c r="AV113" s="58" t="str">
        <f t="shared" si="108"/>
        <v>585.433523073574+231.193377280632i</v>
      </c>
      <c r="AW113" s="64">
        <f t="shared" si="133"/>
        <v>55.97895603467154</v>
      </c>
      <c r="AX113" s="61">
        <f t="shared" si="134"/>
        <v>21.549544292516106</v>
      </c>
    </row>
    <row r="114" spans="14:50" x14ac:dyDescent="0.35">
      <c r="N114" s="10">
        <v>96</v>
      </c>
      <c r="O114" s="50">
        <f t="shared" si="109"/>
        <v>91.201083935590972</v>
      </c>
      <c r="P114" s="48" t="str">
        <f t="shared" si="99"/>
        <v>547.187404092767</v>
      </c>
      <c r="Q114" s="17" t="str">
        <f t="shared" si="100"/>
        <v>1+10.989822549705i</v>
      </c>
      <c r="R114" s="17">
        <f t="shared" si="110"/>
        <v>11.035225402047956</v>
      </c>
      <c r="S114" s="17">
        <f t="shared" si="111"/>
        <v>1.4800529412492813</v>
      </c>
      <c r="T114" s="17" t="str">
        <f t="shared" si="101"/>
        <v>1+0.000207948734215646i</v>
      </c>
      <c r="U114" s="17">
        <f t="shared" si="112"/>
        <v>1.0000000216213378</v>
      </c>
      <c r="V114" s="17">
        <f t="shared" si="113"/>
        <v>2.0794873121822617E-4</v>
      </c>
      <c r="W114" s="31" t="str">
        <f t="shared" si="102"/>
        <v>1-0.00361108132720698i</v>
      </c>
      <c r="X114" s="17">
        <f t="shared" si="114"/>
        <v>1.0000065199329211</v>
      </c>
      <c r="Y114" s="17">
        <f t="shared" si="115"/>
        <v>-3.6110656312732651E-3</v>
      </c>
      <c r="Z114" s="31" t="str">
        <f t="shared" si="103"/>
        <v>0.999997250367699+0.0172778188283618i</v>
      </c>
      <c r="AA114" s="17">
        <f t="shared" si="116"/>
        <v>1.0001465011519184</v>
      </c>
      <c r="AB114" s="17">
        <f t="shared" si="117"/>
        <v>1.7276147354271708E-2</v>
      </c>
      <c r="AC114" s="66" t="str">
        <f t="shared" si="118"/>
        <v>3.47083846558982-49.4569419465575i</v>
      </c>
      <c r="AD114" s="64">
        <f t="shared" si="119"/>
        <v>33.905882085247214</v>
      </c>
      <c r="AE114" s="61">
        <f t="shared" si="120"/>
        <v>-85.985621554716488</v>
      </c>
      <c r="AF114" s="31" t="str">
        <f t="shared" si="104"/>
        <v>-6627.51882264077</v>
      </c>
      <c r="AG114" s="31" t="str">
        <f t="shared" si="121"/>
        <v>573.033310582957i</v>
      </c>
      <c r="AH114" s="31">
        <f t="shared" si="122"/>
        <v>573.03331058295703</v>
      </c>
      <c r="AI114" s="31">
        <f t="shared" si="123"/>
        <v>1.5707963267948966</v>
      </c>
      <c r="AJ114" s="31" t="str">
        <f t="shared" si="105"/>
        <v>0.999960812661331+0.279723345394518i</v>
      </c>
      <c r="AK114" s="31">
        <f t="shared" si="124"/>
        <v>1.0383481000208987</v>
      </c>
      <c r="AL114" s="31">
        <f t="shared" si="125"/>
        <v>0.27276230945981006</v>
      </c>
      <c r="AM114" s="31" t="str">
        <f t="shared" si="106"/>
        <v>1+0.332319207806374i</v>
      </c>
      <c r="AN114" s="31">
        <f t="shared" si="126"/>
        <v>1.0537722979263859</v>
      </c>
      <c r="AO114" s="31">
        <f t="shared" si="127"/>
        <v>0.32083756390988905</v>
      </c>
      <c r="AP114" s="31" t="str">
        <f t="shared" si="107"/>
        <v>1+0.268179589352823i</v>
      </c>
      <c r="AQ114" s="31">
        <f t="shared" si="128"/>
        <v>1.0353358354396165</v>
      </c>
      <c r="AR114" s="31">
        <f t="shared" si="129"/>
        <v>0.26201433866925727</v>
      </c>
      <c r="AS114" s="58" t="str">
        <f t="shared" si="130"/>
        <v>-3.70818102600072+11.5726489792595i</v>
      </c>
      <c r="AT114" s="49">
        <f t="shared" si="131"/>
        <v>21.693123051922335</v>
      </c>
      <c r="AU114" s="61">
        <f t="shared" si="132"/>
        <v>107.76682495666685</v>
      </c>
      <c r="AV114" s="58" t="str">
        <f t="shared" si="108"/>
        <v>559.477331392711+223.562088956226i</v>
      </c>
      <c r="AW114" s="64">
        <f t="shared" si="133"/>
        <v>55.599005137169534</v>
      </c>
      <c r="AX114" s="61">
        <f t="shared" si="134"/>
        <v>21.781203401950361</v>
      </c>
    </row>
    <row r="115" spans="14:50" x14ac:dyDescent="0.35">
      <c r="N115" s="10">
        <v>97</v>
      </c>
      <c r="O115" s="50">
        <f t="shared" si="109"/>
        <v>93.325430079699174</v>
      </c>
      <c r="P115" s="48" t="str">
        <f t="shared" si="99"/>
        <v>547.187404092767</v>
      </c>
      <c r="Q115" s="17" t="str">
        <f t="shared" si="100"/>
        <v>1+11.2458084015221i</v>
      </c>
      <c r="R115" s="17">
        <f t="shared" si="110"/>
        <v>11.290181867611567</v>
      </c>
      <c r="S115" s="17">
        <f t="shared" si="111"/>
        <v>1.4821075736013276</v>
      </c>
      <c r="T115" s="17" t="str">
        <f t="shared" si="101"/>
        <v>1+0.000212792482476524i</v>
      </c>
      <c r="U115" s="17">
        <f t="shared" si="112"/>
        <v>1.0000000226403201</v>
      </c>
      <c r="V115" s="17">
        <f t="shared" si="113"/>
        <v>2.1279247926473077E-4</v>
      </c>
      <c r="W115" s="31" t="str">
        <f t="shared" si="102"/>
        <v>1-0.0036951942166868i</v>
      </c>
      <c r="X115" s="17">
        <f t="shared" si="114"/>
        <v>1.0000068272068441</v>
      </c>
      <c r="Y115" s="17">
        <f t="shared" si="115"/>
        <v>-3.6951773981970123E-3</v>
      </c>
      <c r="Z115" s="31" t="str">
        <f t="shared" si="103"/>
        <v>0.999997120781521+0.0176802709289591i</v>
      </c>
      <c r="AA115" s="17">
        <f t="shared" si="116"/>
        <v>1.0001534050091783</v>
      </c>
      <c r="AB115" s="17">
        <f t="shared" si="117"/>
        <v>1.7678479927038426E-2</v>
      </c>
      <c r="AC115" s="66" t="str">
        <f t="shared" si="118"/>
        <v>3.26982541352099-48.3482281184578i</v>
      </c>
      <c r="AD115" s="64">
        <f t="shared" si="119"/>
        <v>33.707430216833274</v>
      </c>
      <c r="AE115" s="61">
        <f t="shared" si="120"/>
        <v>-86.130936998251968</v>
      </c>
      <c r="AF115" s="31" t="str">
        <f t="shared" si="104"/>
        <v>-6627.51882264077</v>
      </c>
      <c r="AG115" s="31" t="str">
        <f t="shared" si="121"/>
        <v>586.380971062982i</v>
      </c>
      <c r="AH115" s="31">
        <f t="shared" si="122"/>
        <v>586.38097106298198</v>
      </c>
      <c r="AI115" s="31">
        <f t="shared" si="123"/>
        <v>1.5707963267948966</v>
      </c>
      <c r="AJ115" s="31" t="str">
        <f t="shared" si="105"/>
        <v>0.999958965818958+0.286238939119539i</v>
      </c>
      <c r="AK115" s="31">
        <f t="shared" si="124"/>
        <v>1.0401205043599511</v>
      </c>
      <c r="AL115" s="31">
        <f t="shared" si="125"/>
        <v>0.27879550519680962</v>
      </c>
      <c r="AM115" s="31" t="str">
        <f t="shared" si="106"/>
        <v>1+0.340059916548555i</v>
      </c>
      <c r="AN115" s="31">
        <f t="shared" si="126"/>
        <v>1.0562389629449438</v>
      </c>
      <c r="AO115" s="31">
        <f t="shared" si="127"/>
        <v>0.32779221371350614</v>
      </c>
      <c r="AP115" s="31" t="str">
        <f t="shared" si="107"/>
        <v>1+0.274426294457475i</v>
      </c>
      <c r="AQ115" s="31">
        <f t="shared" si="128"/>
        <v>1.0369714514342527</v>
      </c>
      <c r="AR115" s="31">
        <f t="shared" si="129"/>
        <v>0.26783276323629696</v>
      </c>
      <c r="AS115" s="58" t="str">
        <f t="shared" si="130"/>
        <v>-3.70810241222009+11.3095218857824i</v>
      </c>
      <c r="AT115" s="49">
        <f t="shared" si="131"/>
        <v>21.512328551191612</v>
      </c>
      <c r="AU115" s="61">
        <f t="shared" si="132"/>
        <v>108.15299155680576</v>
      </c>
      <c r="AV115" s="58" t="str">
        <f t="shared" si="108"/>
        <v>534.670496541083+216.260343389524i</v>
      </c>
      <c r="AW115" s="64">
        <f t="shared" si="133"/>
        <v>55.219758768024896</v>
      </c>
      <c r="AX115" s="61">
        <f t="shared" si="134"/>
        <v>22.02205455855383</v>
      </c>
    </row>
    <row r="116" spans="14:50" x14ac:dyDescent="0.35">
      <c r="N116" s="10">
        <v>98</v>
      </c>
      <c r="O116" s="50">
        <f t="shared" si="109"/>
        <v>95.499258602143655</v>
      </c>
      <c r="P116" s="48" t="str">
        <f t="shared" si="99"/>
        <v>547.187404092767</v>
      </c>
      <c r="Q116" s="17" t="str">
        <f t="shared" si="100"/>
        <v>1+11.5077569298096i</v>
      </c>
      <c r="R116" s="17">
        <f t="shared" si="110"/>
        <v>11.551124168477322</v>
      </c>
      <c r="S116" s="17">
        <f t="shared" si="111"/>
        <v>1.4841161625306962</v>
      </c>
      <c r="T116" s="17" t="str">
        <f t="shared" si="101"/>
        <v>1+0.000217749056128252i</v>
      </c>
      <c r="U116" s="17">
        <f t="shared" si="112"/>
        <v>1.0000000237073254</v>
      </c>
      <c r="V116" s="17">
        <f t="shared" si="113"/>
        <v>2.1774905268675355E-4</v>
      </c>
      <c r="W116" s="31" t="str">
        <f t="shared" si="102"/>
        <v>1-0.00378126634705197i</v>
      </c>
      <c r="X116" s="17">
        <f t="shared" si="114"/>
        <v>1.0000071489620399</v>
      </c>
      <c r="Y116" s="17">
        <f t="shared" si="115"/>
        <v>-3.7812483257224356E-3</v>
      </c>
      <c r="Z116" s="31" t="str">
        <f t="shared" si="103"/>
        <v>0.999996985088134+0.018092097343229i</v>
      </c>
      <c r="AA116" s="17">
        <f t="shared" si="116"/>
        <v>1.0001606341841467</v>
      </c>
      <c r="AB116" s="17">
        <f t="shared" si="117"/>
        <v>1.8090178266740177E-2</v>
      </c>
      <c r="AC116" s="66" t="str">
        <f t="shared" si="118"/>
        <v>3.07772193457367-47.2635517377863i</v>
      </c>
      <c r="AD116" s="64">
        <f t="shared" si="119"/>
        <v>33.508903948605855</v>
      </c>
      <c r="AE116" s="61">
        <f t="shared" si="120"/>
        <v>-86.274256754127009</v>
      </c>
      <c r="AF116" s="31" t="str">
        <f t="shared" si="104"/>
        <v>-6627.51882264077</v>
      </c>
      <c r="AG116" s="31" t="str">
        <f t="shared" si="121"/>
        <v>600.039538495533i</v>
      </c>
      <c r="AH116" s="31">
        <f t="shared" si="122"/>
        <v>600.03953849553295</v>
      </c>
      <c r="AI116" s="31">
        <f t="shared" si="123"/>
        <v>1.5707963267948966</v>
      </c>
      <c r="AJ116" s="31" t="str">
        <f t="shared" si="105"/>
        <v>0.999957031937585+0.292906300518902i</v>
      </c>
      <c r="AK116" s="31">
        <f t="shared" si="124"/>
        <v>1.041973208199277</v>
      </c>
      <c r="AL116" s="31">
        <f t="shared" si="125"/>
        <v>0.28494776633963337</v>
      </c>
      <c r="AM116" s="31" t="str">
        <f t="shared" si="106"/>
        <v>1+0.347980929559715i</v>
      </c>
      <c r="AN116" s="31">
        <f t="shared" si="126"/>
        <v>1.0588157192529979</v>
      </c>
      <c r="AO116" s="31">
        <f t="shared" si="127"/>
        <v>0.33487496177087728</v>
      </c>
      <c r="AP116" s="31" t="str">
        <f t="shared" si="107"/>
        <v>1+0.280818504015909i</v>
      </c>
      <c r="AQ116" s="31">
        <f t="shared" si="128"/>
        <v>1.0386813910905177</v>
      </c>
      <c r="AR116" s="31">
        <f t="shared" si="129"/>
        <v>0.27376754020434568</v>
      </c>
      <c r="AS116" s="58" t="str">
        <f t="shared" si="130"/>
        <v>-3.70802066525168+11.0523892974871i</v>
      </c>
      <c r="AT116" s="49">
        <f t="shared" si="131"/>
        <v>21.332345607050883</v>
      </c>
      <c r="AU116" s="61">
        <f t="shared" si="132"/>
        <v>108.54634220252214</v>
      </c>
      <c r="AV116" s="58" t="str">
        <f t="shared" si="108"/>
        <v>510.96291685264+209.270407527227i</v>
      </c>
      <c r="AW116" s="64">
        <f t="shared" si="133"/>
        <v>54.841249555656752</v>
      </c>
      <c r="AX116" s="61">
        <f t="shared" si="134"/>
        <v>22.272085448395149</v>
      </c>
    </row>
    <row r="117" spans="14:50" x14ac:dyDescent="0.35">
      <c r="N117" s="10">
        <v>99</v>
      </c>
      <c r="O117" s="50">
        <f t="shared" si="109"/>
        <v>97.723722095581124</v>
      </c>
      <c r="P117" s="48" t="str">
        <f t="shared" si="99"/>
        <v>547.187404092767</v>
      </c>
      <c r="Q117" s="17" t="str">
        <f t="shared" si="100"/>
        <v>1+11.7758070231444i</v>
      </c>
      <c r="R117" s="17">
        <f t="shared" si="110"/>
        <v>11.818190684124918</v>
      </c>
      <c r="S117" s="17">
        <f t="shared" si="111"/>
        <v>1.4860797081538053</v>
      </c>
      <c r="T117" s="17" t="str">
        <f t="shared" si="101"/>
        <v>1+0.000222821083211789i</v>
      </c>
      <c r="U117" s="17">
        <f t="shared" si="112"/>
        <v>1.0000000248246173</v>
      </c>
      <c r="V117" s="17">
        <f t="shared" si="113"/>
        <v>2.2282107952415698E-4</v>
      </c>
      <c r="W117" s="31" t="str">
        <f t="shared" si="102"/>
        <v>1-0.00386934335488532i</v>
      </c>
      <c r="X117" s="17">
        <f t="shared" si="114"/>
        <v>1.0000074858809798</v>
      </c>
      <c r="Y117" s="17">
        <f t="shared" si="115"/>
        <v>-3.8693240446906244E-3</v>
      </c>
      <c r="Z117" s="31" t="str">
        <f t="shared" si="103"/>
        <v>0.999996842999716+0.0185135164269874i</v>
      </c>
      <c r="AA117" s="17">
        <f t="shared" si="116"/>
        <v>1.0001682040036519</v>
      </c>
      <c r="AB117" s="17">
        <f t="shared" si="117"/>
        <v>1.8511460118156853E-2</v>
      </c>
      <c r="AC117" s="66" t="str">
        <f t="shared" si="118"/>
        <v>2.89413917349599-46.2024427377538i</v>
      </c>
      <c r="AD117" s="64">
        <f t="shared" si="119"/>
        <v>33.310306332149239</v>
      </c>
      <c r="AE117" s="61">
        <f t="shared" si="120"/>
        <v>-86.415653064527277</v>
      </c>
      <c r="AF117" s="31" t="str">
        <f t="shared" si="104"/>
        <v>-6627.51882264077</v>
      </c>
      <c r="AG117" s="31" t="str">
        <f t="shared" si="121"/>
        <v>614.016254833856i</v>
      </c>
      <c r="AH117" s="31">
        <f t="shared" si="122"/>
        <v>614.01625483385601</v>
      </c>
      <c r="AI117" s="31">
        <f t="shared" si="123"/>
        <v>1.5707963267948966</v>
      </c>
      <c r="AJ117" s="31" t="str">
        <f t="shared" si="105"/>
        <v>0.99995500691519+0.299728964715873i</v>
      </c>
      <c r="AK117" s="31">
        <f t="shared" si="124"/>
        <v>1.0439097030607614</v>
      </c>
      <c r="AL117" s="31">
        <f t="shared" si="125"/>
        <v>0.29122049429486629</v>
      </c>
      <c r="AM117" s="31" t="str">
        <f t="shared" si="106"/>
        <v>1+0.356086446665798i</v>
      </c>
      <c r="AN117" s="31">
        <f t="shared" si="126"/>
        <v>1.0615072102906671</v>
      </c>
      <c r="AO117" s="31">
        <f t="shared" si="127"/>
        <v>0.34208672006261698</v>
      </c>
      <c r="AP117" s="31" t="str">
        <f t="shared" si="107"/>
        <v>1+0.287359607262244i</v>
      </c>
      <c r="AQ117" s="31">
        <f t="shared" si="128"/>
        <v>1.0404689057756176</v>
      </c>
      <c r="AR117" s="31">
        <f t="shared" si="129"/>
        <v>0.2798201433470458</v>
      </c>
      <c r="AS117" s="58" t="str">
        <f t="shared" si="130"/>
        <v>-3.70793568593348+10.801114761832i</v>
      </c>
      <c r="AT117" s="49">
        <f t="shared" si="131"/>
        <v>21.153204430542381</v>
      </c>
      <c r="AU117" s="61">
        <f t="shared" si="132"/>
        <v>108.94693329278326</v>
      </c>
      <c r="AV117" s="58" t="str">
        <f t="shared" si="108"/>
        <v>488.306604365986+202.575615554259i</v>
      </c>
      <c r="AW117" s="64">
        <f t="shared" si="133"/>
        <v>54.463510762691605</v>
      </c>
      <c r="AX117" s="61">
        <f t="shared" si="134"/>
        <v>22.531280228255973</v>
      </c>
    </row>
    <row r="118" spans="14:50" x14ac:dyDescent="0.35">
      <c r="N118" s="10">
        <v>100</v>
      </c>
      <c r="O118" s="50">
        <f t="shared" si="109"/>
        <v>100</v>
      </c>
      <c r="P118" s="48" t="str">
        <f t="shared" si="99"/>
        <v>547.187404092767</v>
      </c>
      <c r="Q118" s="17" t="str">
        <f t="shared" si="100"/>
        <v>1+12.0501008052342i</v>
      </c>
      <c r="R118" s="17">
        <f t="shared" si="110"/>
        <v>12.091523039563953</v>
      </c>
      <c r="S118" s="17">
        <f t="shared" si="111"/>
        <v>1.4879991909711301</v>
      </c>
      <c r="T118" s="17" t="str">
        <f t="shared" si="101"/>
        <v>1+0.00022801125298303i</v>
      </c>
      <c r="U118" s="17">
        <f t="shared" si="112"/>
        <v>1.0000000259945654</v>
      </c>
      <c r="V118" s="17">
        <f t="shared" si="113"/>
        <v>2.2801124903166112E-4</v>
      </c>
      <c r="W118" s="31" t="str">
        <f t="shared" si="102"/>
        <v>1-0.00395947193978226i</v>
      </c>
      <c r="X118" s="17">
        <f t="shared" si="114"/>
        <v>1.0000078386782985</v>
      </c>
      <c r="Y118" s="17">
        <f t="shared" si="115"/>
        <v>-3.9594512485446156E-3</v>
      </c>
      <c r="Z118" s="31" t="str">
        <f t="shared" si="103"/>
        <v>0.999996694214876+0.0189447516222109i</v>
      </c>
      <c r="AA118" s="17">
        <f t="shared" si="116"/>
        <v>1.0001761305163743</v>
      </c>
      <c r="AB118" s="17">
        <f t="shared" si="117"/>
        <v>1.8942548268555202E-2</v>
      </c>
      <c r="AC118" s="66" t="str">
        <f t="shared" si="118"/>
        <v>2.7187047335729-45.164436706397i</v>
      </c>
      <c r="AD118" s="64">
        <f t="shared" si="119"/>
        <v>33.111640274215347</v>
      </c>
      <c r="AE118" s="61">
        <f t="shared" si="120"/>
        <v>-86.55519739401619</v>
      </c>
      <c r="AF118" s="31" t="str">
        <f t="shared" si="104"/>
        <v>-6627.51882264077</v>
      </c>
      <c r="AG118" s="31" t="str">
        <f t="shared" si="121"/>
        <v>628.318530717959i</v>
      </c>
      <c r="AH118" s="31">
        <f t="shared" si="122"/>
        <v>628.31853071795899</v>
      </c>
      <c r="AI118" s="31">
        <f t="shared" si="123"/>
        <v>1.5707963267948966</v>
      </c>
      <c r="AJ118" s="31" t="str">
        <f t="shared" si="105"/>
        <v>0.999952886456431+0.306710549177318i</v>
      </c>
      <c r="AK118" s="31">
        <f t="shared" si="124"/>
        <v>1.0459336193608082</v>
      </c>
      <c r="AL118" s="31">
        <f t="shared" si="125"/>
        <v>0.29761504291765029</v>
      </c>
      <c r="AM118" s="31" t="str">
        <f t="shared" si="106"/>
        <v>1+0.364380765519266i</v>
      </c>
      <c r="AN118" s="31">
        <f t="shared" si="126"/>
        <v>1.0643182523476735</v>
      </c>
      <c r="AO118" s="31">
        <f t="shared" si="127"/>
        <v>0.34942831077827025</v>
      </c>
      <c r="AP118" s="31" t="str">
        <f t="shared" si="107"/>
        <v>1+0.294053072376004i</v>
      </c>
      <c r="AQ118" s="31">
        <f t="shared" si="128"/>
        <v>1.0423373779030316</v>
      </c>
      <c r="AR118" s="31">
        <f t="shared" si="129"/>
        <v>0.2859920072920335</v>
      </c>
      <c r="AS118" s="58" t="str">
        <f t="shared" si="130"/>
        <v>-3.70784737423285+10.5555649262464i</v>
      </c>
      <c r="AT118" s="49">
        <f t="shared" si="131"/>
        <v>20.974936011042654</v>
      </c>
      <c r="AU118" s="61">
        <f t="shared" si="132"/>
        <v>109.35481656350255</v>
      </c>
      <c r="AV118" s="58" t="str">
        <f t="shared" si="108"/>
        <v>466.655601804027+196.160302381042i</v>
      </c>
      <c r="AW118" s="64">
        <f t="shared" si="133"/>
        <v>54.086576285258012</v>
      </c>
      <c r="AX118" s="61">
        <f t="shared" si="134"/>
        <v>22.79961916948637</v>
      </c>
    </row>
    <row r="119" spans="14:50" x14ac:dyDescent="0.35">
      <c r="N119" s="10">
        <v>1</v>
      </c>
      <c r="O119" s="50">
        <f>10^(2+(N119/100))</f>
        <v>102.32929922807544</v>
      </c>
      <c r="P119" s="48" t="str">
        <f t="shared" si="99"/>
        <v>547.187404092767</v>
      </c>
      <c r="Q119" s="17" t="str">
        <f t="shared" si="100"/>
        <v>1+12.3307837102728i</v>
      </c>
      <c r="R119" s="17">
        <f t="shared" si="110"/>
        <v>12.371266180530149</v>
      </c>
      <c r="S119" s="17">
        <f t="shared" si="111"/>
        <v>1.4898755721090464</v>
      </c>
      <c r="T119" s="17" t="str">
        <f t="shared" si="101"/>
        <v>1+0.000233322317338689i</v>
      </c>
      <c r="U119" s="17">
        <f t="shared" si="112"/>
        <v>1.0000000272196514</v>
      </c>
      <c r="V119" s="17">
        <f t="shared" si="113"/>
        <v>2.3332231310472097E-4</v>
      </c>
      <c r="W119" s="31" t="str">
        <f t="shared" si="102"/>
        <v>1-0.00405169988911147i</v>
      </c>
      <c r="X119" s="17">
        <f t="shared" si="114"/>
        <v>1.0000082081023092</v>
      </c>
      <c r="Y119" s="17">
        <f t="shared" si="115"/>
        <v>-4.0516777180607134E-3</v>
      </c>
      <c r="Z119" s="31" t="str">
        <f t="shared" si="103"/>
        <v>0.999996538418023+0.0193860315755079i</v>
      </c>
      <c r="AA119" s="17">
        <f t="shared" si="116"/>
        <v>1.0001844305268279</v>
      </c>
      <c r="AB119" s="17">
        <f t="shared" si="117"/>
        <v>1.9383670663039514E-2</v>
      </c>
      <c r="AC119" s="66" t="str">
        <f t="shared" si="118"/>
        <v>2.5510620258314-44.1490750787557i</v>
      </c>
      <c r="AD119" s="64">
        <f t="shared" si="119"/>
        <v>32.912908542326889</v>
      </c>
      <c r="AE119" s="61">
        <f t="shared" si="120"/>
        <v>-86.692960451335992</v>
      </c>
      <c r="AF119" s="31" t="str">
        <f t="shared" si="104"/>
        <v>-6627.51882264077</v>
      </c>
      <c r="AG119" s="31" t="str">
        <f t="shared" si="121"/>
        <v>642.953949403827i</v>
      </c>
      <c r="AH119" s="31">
        <f t="shared" si="122"/>
        <v>642.95394940382698</v>
      </c>
      <c r="AI119" s="31">
        <f t="shared" si="123"/>
        <v>1.5707963267948966</v>
      </c>
      <c r="AJ119" s="31" t="str">
        <f t="shared" si="105"/>
        <v>0.999950666063529+0.313854755631731i</v>
      </c>
      <c r="AK119" s="31">
        <f t="shared" si="124"/>
        <v>1.0480487308296065</v>
      </c>
      <c r="AL119" s="31">
        <f t="shared" si="125"/>
        <v>0.30413271354295784</v>
      </c>
      <c r="AM119" s="31" t="str">
        <f t="shared" si="106"/>
        <v>1+0.372868283877762i</v>
      </c>
      <c r="AN119" s="31">
        <f t="shared" si="126"/>
        <v>1.0672538391226087</v>
      </c>
      <c r="AO119" s="31">
        <f t="shared" si="127"/>
        <v>0.35690045992891262</v>
      </c>
      <c r="AP119" s="31" t="str">
        <f t="shared" si="107"/>
        <v>1+0.300902448320991i</v>
      </c>
      <c r="AQ119" s="31">
        <f t="shared" si="128"/>
        <v>1.044290325247518</v>
      </c>
      <c r="AR119" s="31">
        <f t="shared" si="129"/>
        <v>0.29228452293680668</v>
      </c>
      <c r="AS119" s="58" t="str">
        <f t="shared" si="130"/>
        <v>-3.70775562946253+10.3156094672245i</v>
      </c>
      <c r="AT119" s="49">
        <f t="shared" si="131"/>
        <v>20.797572106895849</v>
      </c>
      <c r="AU119" s="61">
        <f t="shared" si="132"/>
        <v>109.7700387436056</v>
      </c>
      <c r="AV119" s="58" t="str">
        <f t="shared" si="108"/>
        <v>445.965902264233+190.009741243964i</v>
      </c>
      <c r="AW119" s="64">
        <f t="shared" si="133"/>
        <v>53.710480649222745</v>
      </c>
      <c r="AX119" s="61">
        <f t="shared" si="134"/>
        <v>23.077078292269654</v>
      </c>
    </row>
    <row r="120" spans="14:50" x14ac:dyDescent="0.35">
      <c r="N120" s="10">
        <v>2</v>
      </c>
      <c r="O120" s="50">
        <f t="shared" ref="O120:O183" si="135">10^(2+(N120/100))</f>
        <v>104.71285480508998</v>
      </c>
      <c r="P120" s="48" t="str">
        <f t="shared" si="99"/>
        <v>547.187404092767</v>
      </c>
      <c r="Q120" s="17" t="str">
        <f t="shared" si="100"/>
        <v>1+12.6180045600519i</v>
      </c>
      <c r="R120" s="17">
        <f t="shared" si="110"/>
        <v>12.657568450436701</v>
      </c>
      <c r="S120" s="17">
        <f t="shared" si="111"/>
        <v>1.4917097935692456</v>
      </c>
      <c r="T120" s="17" t="str">
        <f t="shared" si="101"/>
        <v>1+0.000238757092275387i</v>
      </c>
      <c r="U120" s="17">
        <f t="shared" si="112"/>
        <v>1.0000000285024742</v>
      </c>
      <c r="V120" s="17">
        <f t="shared" si="113"/>
        <v>2.3875708773860851E-4</v>
      </c>
      <c r="W120" s="31" t="str">
        <f t="shared" si="102"/>
        <v>1-0.00414607610335247i</v>
      </c>
      <c r="X120" s="17">
        <f t="shared" si="114"/>
        <v>1.0000085949365909</v>
      </c>
      <c r="Y120" s="17">
        <f t="shared" si="115"/>
        <v>-4.1460523466545947E-3</v>
      </c>
      <c r="Z120" s="31" t="str">
        <f t="shared" si="103"/>
        <v>0.99999637527869+0.0198375902593506i</v>
      </c>
      <c r="AA120" s="17">
        <f t="shared" si="116"/>
        <v>1.0001931216309261</v>
      </c>
      <c r="AB120" s="17">
        <f t="shared" si="117"/>
        <v>1.9835060522440724E-2</v>
      </c>
      <c r="AC120" s="66" t="str">
        <f t="shared" si="118"/>
        <v>2.39086963991694-43.1559053048282i</v>
      </c>
      <c r="AD120" s="64">
        <f t="shared" si="119"/>
        <v>32.714113770134212</v>
      </c>
      <c r="AE120" s="61">
        <f t="shared" si="120"/>
        <v>-86.829012211818807</v>
      </c>
      <c r="AF120" s="31" t="str">
        <f t="shared" si="104"/>
        <v>-6627.51882264077</v>
      </c>
      <c r="AG120" s="31" t="str">
        <f t="shared" si="121"/>
        <v>657.930270784171i</v>
      </c>
      <c r="AH120" s="31">
        <f t="shared" si="122"/>
        <v>657.93027078417094</v>
      </c>
      <c r="AI120" s="31">
        <f t="shared" si="123"/>
        <v>1.5707963267948966</v>
      </c>
      <c r="AJ120" s="31" t="str">
        <f t="shared" si="105"/>
        <v>0.999948341026733+0.321165372031939i</v>
      </c>
      <c r="AK120" s="31">
        <f t="shared" si="124"/>
        <v>1.050258958978465</v>
      </c>
      <c r="AL120" s="31">
        <f t="shared" si="125"/>
        <v>0.31077474980603215</v>
      </c>
      <c r="AM120" s="31" t="str">
        <f t="shared" si="106"/>
        <v>1+0.381553501935865i</v>
      </c>
      <c r="AN120" s="31">
        <f t="shared" si="126"/>
        <v>1.0703191462547619</v>
      </c>
      <c r="AO120" s="31">
        <f t="shared" si="127"/>
        <v>0.36450379082100681</v>
      </c>
      <c r="AP120" s="31" t="str">
        <f t="shared" si="107"/>
        <v>1+0.307911366726992i</v>
      </c>
      <c r="AQ120" s="31">
        <f t="shared" si="128"/>
        <v>1.0463314053203623</v>
      </c>
      <c r="AR120" s="31">
        <f t="shared" si="129"/>
        <v>0.2986990326510568</v>
      </c>
      <c r="AS120" s="58" t="str">
        <f t="shared" si="130"/>
        <v>-3.70766035051842+10.0811210210311i</v>
      </c>
      <c r="AT120" s="49">
        <f t="shared" si="131"/>
        <v>20.621145233050157</v>
      </c>
      <c r="AU120" s="61">
        <f t="shared" si="132"/>
        <v>110.19264120298926</v>
      </c>
      <c r="AV120" s="58" t="str">
        <f t="shared" si="108"/>
        <v>426.195371582953+184.110085174951i</v>
      </c>
      <c r="AW120" s="64">
        <f t="shared" si="133"/>
        <v>53.335259003184376</v>
      </c>
      <c r="AX120" s="61">
        <f t="shared" si="134"/>
        <v>23.363628991170483</v>
      </c>
    </row>
    <row r="121" spans="14:50" x14ac:dyDescent="0.35">
      <c r="N121" s="10">
        <v>3</v>
      </c>
      <c r="O121" s="50">
        <f t="shared" si="135"/>
        <v>107.15193052376065</v>
      </c>
      <c r="P121" s="48" t="str">
        <f t="shared" si="99"/>
        <v>547.187404092767</v>
      </c>
      <c r="Q121" s="17" t="str">
        <f t="shared" si="100"/>
        <v>1+12.9119156428677i</v>
      </c>
      <c r="R121" s="17">
        <f t="shared" si="110"/>
        <v>12.95058166911941</v>
      </c>
      <c r="S121" s="17">
        <f t="shared" si="111"/>
        <v>1.4935027784847192</v>
      </c>
      <c r="T121" s="17" t="str">
        <f t="shared" si="101"/>
        <v>1+0.000244318459382733i</v>
      </c>
      <c r="U121" s="17">
        <f t="shared" si="112"/>
        <v>1.0000000298457543</v>
      </c>
      <c r="V121" s="17">
        <f t="shared" si="113"/>
        <v>2.4431845452148728E-4</v>
      </c>
      <c r="W121" s="31" t="str">
        <f t="shared" si="102"/>
        <v>1-0.00424265062202328i</v>
      </c>
      <c r="X121" s="17">
        <f t="shared" si="114"/>
        <v>1.0000090000016504</v>
      </c>
      <c r="Y121" s="17">
        <f t="shared" si="115"/>
        <v>-4.2426251662752512E-3</v>
      </c>
      <c r="Z121" s="31" t="str">
        <f t="shared" si="103"/>
        <v>0.999996204450838+0.0202996670961304i</v>
      </c>
      <c r="AA121" s="17">
        <f t="shared" si="116"/>
        <v>1.0002022222532281</v>
      </c>
      <c r="AB121" s="17">
        <f t="shared" si="117"/>
        <v>2.0296956463790101E-2</v>
      </c>
      <c r="AC121" s="66" t="str">
        <f t="shared" si="118"/>
        <v>2.23780073630157-42.1844809950097i</v>
      </c>
      <c r="AD121" s="64">
        <f t="shared" si="119"/>
        <v>32.515258462532429</v>
      </c>
      <c r="AE121" s="61">
        <f t="shared" si="120"/>
        <v>-86.963421940354564</v>
      </c>
      <c r="AF121" s="31" t="str">
        <f t="shared" si="104"/>
        <v>-6627.51882264077</v>
      </c>
      <c r="AG121" s="31" t="str">
        <f t="shared" si="121"/>
        <v>673.255435502821i</v>
      </c>
      <c r="AH121" s="31">
        <f t="shared" si="122"/>
        <v>673.255435502821</v>
      </c>
      <c r="AI121" s="31">
        <f t="shared" si="123"/>
        <v>1.5707963267948966</v>
      </c>
      <c r="AJ121" s="31" t="str">
        <f t="shared" si="105"/>
        <v>0.99994590641433+0.328646274563524i</v>
      </c>
      <c r="AK121" s="31">
        <f t="shared" si="124"/>
        <v>1.0525683776074879</v>
      </c>
      <c r="AL121" s="31">
        <f t="shared" si="125"/>
        <v>0.31754233225548401</v>
      </c>
      <c r="AM121" s="31" t="str">
        <f t="shared" si="106"/>
        <v>1+0.390441024711151i</v>
      </c>
      <c r="AN121" s="31">
        <f t="shared" si="126"/>
        <v>1.0735195358154848</v>
      </c>
      <c r="AO121" s="31">
        <f t="shared" si="127"/>
        <v>0.37223881741065185</v>
      </c>
      <c r="AP121" s="31" t="str">
        <f t="shared" si="107"/>
        <v>1+0.31508354381532i</v>
      </c>
      <c r="AQ121" s="31">
        <f t="shared" si="128"/>
        <v>1.0484644197984119</v>
      </c>
      <c r="AR121" s="31">
        <f t="shared" si="129"/>
        <v>0.30523682526641216</v>
      </c>
      <c r="AS121" s="58" t="str">
        <f t="shared" si="130"/>
        <v>-3.70756143614097+9.85197511598537i</v>
      </c>
      <c r="AT121" s="49">
        <f t="shared" si="131"/>
        <v>20.445688645506827</v>
      </c>
      <c r="AU121" s="61">
        <f t="shared" si="132"/>
        <v>110.62265959332863</v>
      </c>
      <c r="AV121" s="58" t="str">
        <f t="shared" si="108"/>
        <v>407.303673331914+178.448312109296i</v>
      </c>
      <c r="AW121" s="64">
        <f t="shared" si="133"/>
        <v>52.96094710803925</v>
      </c>
      <c r="AX121" s="61">
        <f t="shared" si="134"/>
        <v>23.659237652974014</v>
      </c>
    </row>
    <row r="122" spans="14:50" x14ac:dyDescent="0.35">
      <c r="N122" s="10">
        <v>4</v>
      </c>
      <c r="O122" s="50">
        <f t="shared" si="135"/>
        <v>109.64781961431861</v>
      </c>
      <c r="P122" s="48" t="str">
        <f t="shared" si="99"/>
        <v>547.187404092767</v>
      </c>
      <c r="Q122" s="17" t="str">
        <f t="shared" si="100"/>
        <v>1+13.2126727942667i</v>
      </c>
      <c r="R122" s="17">
        <f t="shared" si="110"/>
        <v>13.250461213420284</v>
      </c>
      <c r="S122" s="17">
        <f t="shared" si="111"/>
        <v>1.4952554313814226</v>
      </c>
      <c r="T122" s="17" t="str">
        <f t="shared" si="101"/>
        <v>1+0.000250009367371181i</v>
      </c>
      <c r="U122" s="17">
        <f t="shared" si="112"/>
        <v>1.0000000312523414</v>
      </c>
      <c r="V122" s="17">
        <f t="shared" si="113"/>
        <v>2.5000936216226235E-4</v>
      </c>
      <c r="W122" s="31" t="str">
        <f t="shared" si="102"/>
        <v>1-0.00434147465021201i</v>
      </c>
      <c r="X122" s="17">
        <f t="shared" si="114"/>
        <v>1.0000094241566619</v>
      </c>
      <c r="Y122" s="17">
        <f t="shared" si="115"/>
        <v>-4.3414473739004514E-3</v>
      </c>
      <c r="Z122" s="31" t="str">
        <f t="shared" si="103"/>
        <v>0.999996025572117+0.0207725070851025i</v>
      </c>
      <c r="AA122" s="17">
        <f t="shared" si="116"/>
        <v>1.000211751685927</v>
      </c>
      <c r="AB122" s="17">
        <f t="shared" si="117"/>
        <v>2.0769602623426635E-2</v>
      </c>
      <c r="AC122" s="66" t="str">
        <f t="shared" si="118"/>
        <v>2.09154245944889-41.2343620446256i</v>
      </c>
      <c r="AD122" s="64">
        <f t="shared" si="119"/>
        <v>32.316345000546335</v>
      </c>
      <c r="AE122" s="61">
        <f t="shared" si="120"/>
        <v>-87.09625821486695</v>
      </c>
      <c r="AF122" s="31" t="str">
        <f t="shared" si="104"/>
        <v>-6627.51882264077</v>
      </c>
      <c r="AG122" s="31" t="str">
        <f t="shared" si="121"/>
        <v>688.937569164964i</v>
      </c>
      <c r="AH122" s="31">
        <f t="shared" si="122"/>
        <v>688.93756916496397</v>
      </c>
      <c r="AI122" s="31">
        <f t="shared" si="123"/>
        <v>1.5707963267948966</v>
      </c>
      <c r="AJ122" s="31" t="str">
        <f t="shared" si="105"/>
        <v>0.999943357062178+0.336301429700032i</v>
      </c>
      <c r="AK122" s="31">
        <f t="shared" si="124"/>
        <v>1.0549812173451545</v>
      </c>
      <c r="AL122" s="31">
        <f t="shared" si="125"/>
        <v>0.32443657276414267</v>
      </c>
      <c r="AM122" s="31" t="str">
        <f t="shared" si="106"/>
        <v>1+0.399535564485838i</v>
      </c>
      <c r="AN122" s="31">
        <f t="shared" si="126"/>
        <v>1.0768605607454558</v>
      </c>
      <c r="AO122" s="31">
        <f t="shared" si="127"/>
        <v>0.38010593756005678</v>
      </c>
      <c r="AP122" s="31" t="str">
        <f t="shared" si="107"/>
        <v>1+0.322422782369203i</v>
      </c>
      <c r="AQ122" s="31">
        <f t="shared" si="128"/>
        <v>1.0506933189997443</v>
      </c>
      <c r="AR122" s="31">
        <f t="shared" si="129"/>
        <v>0.31189913085587473</v>
      </c>
      <c r="AS122" s="58" t="str">
        <f t="shared" si="130"/>
        <v>-3.70745878519983+9.62805010628611i</v>
      </c>
      <c r="AT122" s="49">
        <f t="shared" si="131"/>
        <v>20.271236322389932</v>
      </c>
      <c r="AU122" s="61">
        <f t="shared" si="132"/>
        <v>111.06012348282026</v>
      </c>
      <c r="AV122" s="58" t="str">
        <f t="shared" si="108"/>
        <v>389.252196400495+173.012173413456i</v>
      </c>
      <c r="AW122" s="64">
        <f t="shared" si="133"/>
        <v>52.587581322936259</v>
      </c>
      <c r="AX122" s="61">
        <f t="shared" si="134"/>
        <v>23.963865267953274</v>
      </c>
    </row>
    <row r="123" spans="14:50" x14ac:dyDescent="0.35">
      <c r="N123" s="10">
        <v>5</v>
      </c>
      <c r="O123" s="50">
        <f t="shared" si="135"/>
        <v>112.20184543019634</v>
      </c>
      <c r="P123" s="48" t="str">
        <f t="shared" si="99"/>
        <v>547.187404092767</v>
      </c>
      <c r="Q123" s="17" t="str">
        <f t="shared" si="100"/>
        <v>1+13.5204354796717i</v>
      </c>
      <c r="R123" s="17">
        <f t="shared" si="110"/>
        <v>13.557366099650968</v>
      </c>
      <c r="S123" s="17">
        <f t="shared" si="111"/>
        <v>1.4969686384447558</v>
      </c>
      <c r="T123" s="17" t="str">
        <f t="shared" si="101"/>
        <v>1+0.000255832833635474i</v>
      </c>
      <c r="U123" s="17">
        <f t="shared" si="112"/>
        <v>1.000000032725219</v>
      </c>
      <c r="V123" s="17">
        <f t="shared" si="113"/>
        <v>2.5583282805401717E-4</v>
      </c>
      <c r="W123" s="31" t="str">
        <f t="shared" si="102"/>
        <v>1-0.00444260058572649i</v>
      </c>
      <c r="X123" s="17">
        <f t="shared" si="114"/>
        <v>1.0000098683012906</v>
      </c>
      <c r="Y123" s="17">
        <f t="shared" si="115"/>
        <v>-4.4425713586476569E-3</v>
      </c>
      <c r="Z123" s="31" t="str">
        <f t="shared" si="103"/>
        <v>0.999995838263101+0.0212563609322877i</v>
      </c>
      <c r="AA123" s="17">
        <f t="shared" si="116"/>
        <v>1.0002217301296779</v>
      </c>
      <c r="AB123" s="17">
        <f t="shared" si="117"/>
        <v>2.1253248782787594E-2</v>
      </c>
      <c r="AC123" s="66" t="str">
        <f t="shared" si="118"/>
        <v>1.95179537152921-40.3051147390744i</v>
      </c>
      <c r="AD123" s="64">
        <f t="shared" si="119"/>
        <v>32.117375645989746</v>
      </c>
      <c r="AE123" s="61">
        <f t="shared" si="120"/>
        <v>-87.22758895025288</v>
      </c>
      <c r="AF123" s="31" t="str">
        <f t="shared" si="104"/>
        <v>-6627.51882264077</v>
      </c>
      <c r="AG123" s="31" t="str">
        <f t="shared" si="121"/>
        <v>704.984986645445i</v>
      </c>
      <c r="AH123" s="31">
        <f t="shared" si="122"/>
        <v>704.98498664544502</v>
      </c>
      <c r="AI123" s="31">
        <f t="shared" si="123"/>
        <v>1.5707963267948966</v>
      </c>
      <c r="AJ123" s="31" t="str">
        <f t="shared" si="105"/>
        <v>0.999940687562761+0.344134896306041i</v>
      </c>
      <c r="AK123" s="31">
        <f t="shared" si="124"/>
        <v>1.0575018702106662</v>
      </c>
      <c r="AL123" s="31">
        <f t="shared" si="125"/>
        <v>0.33145850874449051</v>
      </c>
      <c r="AM123" s="31" t="str">
        <f t="shared" si="106"/>
        <v>1+0.408841943305293i</v>
      </c>
      <c r="AN123" s="31">
        <f t="shared" si="126"/>
        <v>1.0803479692236424</v>
      </c>
      <c r="AO123" s="31">
        <f t="shared" si="127"/>
        <v>0.38810542622080979</v>
      </c>
      <c r="AP123" s="31" t="str">
        <f t="shared" si="107"/>
        <v>1+0.329932973750068i</v>
      </c>
      <c r="AQ123" s="31">
        <f t="shared" si="128"/>
        <v>1.0530222063981192</v>
      </c>
      <c r="AR123" s="31">
        <f t="shared" si="129"/>
        <v>0.31868711530673388</v>
      </c>
      <c r="AS123" s="58" t="str">
        <f t="shared" si="130"/>
        <v>-3.70735229700321+9.40922710734795i</v>
      </c>
      <c r="AT123" s="49">
        <f t="shared" si="131"/>
        <v>20.097822941453792</v>
      </c>
      <c r="AU123" s="61">
        <f t="shared" si="132"/>
        <v>111.50505598609382</v>
      </c>
      <c r="AV123" s="58" t="str">
        <f t="shared" si="108"/>
        <v>372.003985113749+167.790145626674i</v>
      </c>
      <c r="AW123" s="64">
        <f t="shared" si="133"/>
        <v>52.215198587443524</v>
      </c>
      <c r="AX123" s="61">
        <f t="shared" si="134"/>
        <v>24.277467035840921</v>
      </c>
    </row>
    <row r="124" spans="14:50" x14ac:dyDescent="0.35">
      <c r="N124" s="10">
        <v>6</v>
      </c>
      <c r="O124" s="50">
        <f t="shared" si="135"/>
        <v>114.81536214968835</v>
      </c>
      <c r="P124" s="48" t="str">
        <f t="shared" si="99"/>
        <v>547.187404092767</v>
      </c>
      <c r="Q124" s="17" t="str">
        <f t="shared" si="100"/>
        <v>1+13.8353668789322i</v>
      </c>
      <c r="R124" s="17">
        <f t="shared" si="110"/>
        <v>13.871459067980345</v>
      </c>
      <c r="S124" s="17">
        <f t="shared" si="111"/>
        <v>1.4986432677900843</v>
      </c>
      <c r="T124" s="17" t="str">
        <f t="shared" si="101"/>
        <v>1+0.000261791945854508i</v>
      </c>
      <c r="U124" s="17">
        <f t="shared" si="112"/>
        <v>1.0000000342675108</v>
      </c>
      <c r="V124" s="17">
        <f t="shared" si="113"/>
        <v>2.617919398738692E-4</v>
      </c>
      <c r="W124" s="31" t="str">
        <f t="shared" si="102"/>
        <v>1-0.00454608204687629i</v>
      </c>
      <c r="X124" s="17">
        <f t="shared" si="114"/>
        <v>1.0000103333775991</v>
      </c>
      <c r="Y124" s="17">
        <f t="shared" si="115"/>
        <v>-4.5460507295145619E-3</v>
      </c>
      <c r="Z124" s="31" t="str">
        <f t="shared" si="103"/>
        <v>0.999995642126484+0.0217514851834004i</v>
      </c>
      <c r="AA124" s="17">
        <f t="shared" si="116"/>
        <v>1.0002321787363384</v>
      </c>
      <c r="AB124" s="17">
        <f t="shared" si="117"/>
        <v>2.1748150496931941E-2</v>
      </c>
      <c r="AC124" s="66" t="str">
        <f t="shared" si="118"/>
        <v>1.81827290625381-39.3963118410084i</v>
      </c>
      <c r="AD124" s="64">
        <f t="shared" si="119"/>
        <v>31.9183525459066</v>
      </c>
      <c r="AE124" s="61">
        <f t="shared" si="120"/>
        <v>-87.357481422743646</v>
      </c>
      <c r="AF124" s="31" t="str">
        <f t="shared" si="104"/>
        <v>-6627.51882264077</v>
      </c>
      <c r="AG124" s="31" t="str">
        <f t="shared" si="121"/>
        <v>721.406196497425i</v>
      </c>
      <c r="AH124" s="31">
        <f t="shared" si="122"/>
        <v>721.40619649742496</v>
      </c>
      <c r="AI124" s="31">
        <f t="shared" si="123"/>
        <v>1.5707963267948966</v>
      </c>
      <c r="AJ124" s="31" t="str">
        <f t="shared" si="105"/>
        <v>0.999937892253713+0.352150827789236i</v>
      </c>
      <c r="AK124" s="31">
        <f t="shared" si="124"/>
        <v>1.0601348941891509</v>
      </c>
      <c r="AL124" s="31">
        <f t="shared" si="125"/>
        <v>0.33860909717748039</v>
      </c>
      <c r="AM124" s="31" t="str">
        <f t="shared" si="106"/>
        <v>1+0.418365095534752i</v>
      </c>
      <c r="AN124" s="31">
        <f t="shared" si="126"/>
        <v>1.0839877089532899</v>
      </c>
      <c r="AO124" s="31">
        <f t="shared" si="127"/>
        <v>0.39623742857139455</v>
      </c>
      <c r="AP124" s="31" t="str">
        <f t="shared" si="107"/>
        <v>1+0.337618099960794i</v>
      </c>
      <c r="AQ124" s="31">
        <f t="shared" si="128"/>
        <v>1.0554553431676477</v>
      </c>
      <c r="AR124" s="31">
        <f t="shared" si="129"/>
        <v>0.32560187469237922</v>
      </c>
      <c r="AS124" s="58" t="str">
        <f t="shared" si="130"/>
        <v>-3.70724187163228+9.19538993261522i</v>
      </c>
      <c r="AT124" s="49">
        <f t="shared" si="131"/>
        <v>19.925483853848384</v>
      </c>
      <c r="AU124" s="61">
        <f t="shared" si="132"/>
        <v>111.9574733906734</v>
      </c>
      <c r="AV124" s="58" t="str">
        <f t="shared" si="108"/>
        <v>355.52367183286+162.771385221782i</v>
      </c>
      <c r="AW124" s="64">
        <f t="shared" si="133"/>
        <v>51.843836399754991</v>
      </c>
      <c r="AX124" s="61">
        <f t="shared" si="134"/>
        <v>24.599991967929729</v>
      </c>
    </row>
    <row r="125" spans="14:50" x14ac:dyDescent="0.35">
      <c r="N125" s="10">
        <v>7</v>
      </c>
      <c r="O125" s="50">
        <f t="shared" si="135"/>
        <v>117.48975549395293</v>
      </c>
      <c r="P125" s="48" t="str">
        <f t="shared" si="99"/>
        <v>547.187404092767</v>
      </c>
      <c r="Q125" s="17" t="str">
        <f t="shared" si="100"/>
        <v>1+14.1576339728445i</v>
      </c>
      <c r="R125" s="17">
        <f t="shared" si="110"/>
        <v>14.192906668792013</v>
      </c>
      <c r="S125" s="17">
        <f t="shared" si="111"/>
        <v>1.5002801697365722</v>
      </c>
      <c r="T125" s="17" t="str">
        <f t="shared" si="101"/>
        <v>1+0.000267889863628461i</v>
      </c>
      <c r="U125" s="17">
        <f t="shared" si="112"/>
        <v>1.000000035882489</v>
      </c>
      <c r="V125" s="17">
        <f t="shared" si="113"/>
        <v>2.6788985722009113E-4</v>
      </c>
      <c r="W125" s="31" t="str">
        <f t="shared" si="102"/>
        <v>1-0.00465197390090185i</v>
      </c>
      <c r="X125" s="17">
        <f t="shared" si="114"/>
        <v>1.000010820372047</v>
      </c>
      <c r="Y125" s="17">
        <f t="shared" si="115"/>
        <v>-4.6519403437637798E-3</v>
      </c>
      <c r="Z125" s="31" t="str">
        <f t="shared" si="103"/>
        <v>0.999995436746233+0.0222581423598722i</v>
      </c>
      <c r="AA125" s="17">
        <f t="shared" si="116"/>
        <v>1.0002431196537178</v>
      </c>
      <c r="AB125" s="17">
        <f t="shared" si="117"/>
        <v>2.2254569225845174E-2</v>
      </c>
      <c r="AC125" s="66" t="str">
        <f t="shared" si="118"/>
        <v>1.69070084237496-38.5075326608857i</v>
      </c>
      <c r="AD125" s="64">
        <f t="shared" si="119"/>
        <v>31.719277736798972</v>
      </c>
      <c r="AE125" s="61">
        <f t="shared" si="120"/>
        <v>-87.486002294650248</v>
      </c>
      <c r="AF125" s="31" t="str">
        <f t="shared" si="104"/>
        <v>-6627.51882264077</v>
      </c>
      <c r="AG125" s="31" t="str">
        <f t="shared" si="121"/>
        <v>738.209905463727i</v>
      </c>
      <c r="AH125" s="31">
        <f t="shared" si="122"/>
        <v>738.20990546372695</v>
      </c>
      <c r="AI125" s="31">
        <f t="shared" si="123"/>
        <v>1.5707963267948966</v>
      </c>
      <c r="AJ125" s="31" t="str">
        <f t="shared" si="105"/>
        <v>0.999934965205808+0.360353474302591i</v>
      </c>
      <c r="AK125" s="31">
        <f t="shared" si="124"/>
        <v>1.0628850178091178</v>
      </c>
      <c r="AL125" s="31">
        <f t="shared" si="125"/>
        <v>0.34588920846551113</v>
      </c>
      <c r="AM125" s="31" t="str">
        <f t="shared" si="106"/>
        <v>1+0.428110070475579i</v>
      </c>
      <c r="AN125" s="31">
        <f t="shared" si="126"/>
        <v>1.0877859313498246</v>
      </c>
      <c r="AO125" s="31">
        <f t="shared" si="127"/>
        <v>0.40450195313926113</v>
      </c>
      <c r="AP125" s="31" t="str">
        <f t="shared" si="107"/>
        <v>1+0.345482235757024i</v>
      </c>
      <c r="AQ125" s="31">
        <f t="shared" si="128"/>
        <v>1.0579971527483767</v>
      </c>
      <c r="AR125" s="31">
        <f t="shared" si="129"/>
        <v>0.33264442945021372</v>
      </c>
      <c r="AS125" s="58" t="str">
        <f t="shared" si="130"/>
        <v>-3.70712741030101+8.98642503182277i</v>
      </c>
      <c r="AT125" s="49">
        <f t="shared" si="131"/>
        <v>19.754255053973171</v>
      </c>
      <c r="AU125" s="61">
        <f t="shared" si="132"/>
        <v>112.41738478151831</v>
      </c>
      <c r="AV125" s="58" t="str">
        <f t="shared" si="108"/>
        <v>339.777411982129+157.945686201473i</v>
      </c>
      <c r="AW125" s="64">
        <f t="shared" si="133"/>
        <v>51.473532790772147</v>
      </c>
      <c r="AX125" s="61">
        <f t="shared" si="134"/>
        <v>24.931382486868067</v>
      </c>
    </row>
    <row r="126" spans="14:50" x14ac:dyDescent="0.35">
      <c r="N126" s="10">
        <v>8</v>
      </c>
      <c r="O126" s="50">
        <f t="shared" si="135"/>
        <v>120.22644346174135</v>
      </c>
      <c r="P126" s="48" t="str">
        <f t="shared" si="99"/>
        <v>547.187404092767</v>
      </c>
      <c r="Q126" s="17" t="str">
        <f t="shared" si="100"/>
        <v>1+14.4874076316877i</v>
      </c>
      <c r="R126" s="17">
        <f t="shared" si="110"/>
        <v>14.521879351057942</v>
      </c>
      <c r="S126" s="17">
        <f t="shared" si="111"/>
        <v>1.5018801770836636</v>
      </c>
      <c r="T126" s="17" t="str">
        <f t="shared" si="101"/>
        <v>1+0.000274129820154051i</v>
      </c>
      <c r="U126" s="17">
        <f t="shared" si="112"/>
        <v>1.0000000375735785</v>
      </c>
      <c r="V126" s="17">
        <f t="shared" si="113"/>
        <v>2.7412981328735897E-4</v>
      </c>
      <c r="W126" s="31" t="str">
        <f t="shared" si="102"/>
        <v>1-0.00476033229306583i</v>
      </c>
      <c r="X126" s="17">
        <f t="shared" si="114"/>
        <v>1.0000113303175822</v>
      </c>
      <c r="Y126" s="17">
        <f t="shared" si="115"/>
        <v>-4.7602963359665625E-3</v>
      </c>
      <c r="Z126" s="31" t="str">
        <f t="shared" si="103"/>
        <v>0.999995221686708+0.0227766010980447i</v>
      </c>
      <c r="AA126" s="17">
        <f t="shared" si="116"/>
        <v>1.0002545760724255</v>
      </c>
      <c r="AB126" s="17">
        <f t="shared" si="117"/>
        <v>2.277277246857649E-2</v>
      </c>
      <c r="AC126" s="66" t="str">
        <f t="shared" si="118"/>
        <v>1.56881679638267-37.6383631121596i</v>
      </c>
      <c r="AD126" s="64">
        <f t="shared" si="119"/>
        <v>31.520153148649769</v>
      </c>
      <c r="AE126" s="61">
        <f t="shared" si="120"/>
        <v>-87.613217639458171</v>
      </c>
      <c r="AF126" s="31" t="str">
        <f t="shared" si="104"/>
        <v>-6627.51882264077</v>
      </c>
      <c r="AG126" s="31" t="str">
        <f t="shared" si="121"/>
        <v>755.405023093271i</v>
      </c>
      <c r="AH126" s="31">
        <f t="shared" si="122"/>
        <v>755.40502309327098</v>
      </c>
      <c r="AI126" s="31">
        <f t="shared" si="123"/>
        <v>1.5707963267948966</v>
      </c>
      <c r="AJ126" s="31" t="str">
        <f t="shared" si="105"/>
        <v>0.999931900210385+0.368747184997865i</v>
      </c>
      <c r="AK126" s="31">
        <f t="shared" si="124"/>
        <v>1.0657571447108394</v>
      </c>
      <c r="AL126" s="31">
        <f t="shared" si="125"/>
        <v>0.35329962012262511</v>
      </c>
      <c r="AM126" s="31" t="str">
        <f t="shared" si="106"/>
        <v>1+0.438082035042481i</v>
      </c>
      <c r="AN126" s="31">
        <f t="shared" si="126"/>
        <v>1.0917489956152748</v>
      </c>
      <c r="AO126" s="31">
        <f t="shared" si="127"/>
        <v>0.41289886494073996</v>
      </c>
      <c r="AP126" s="31" t="str">
        <f t="shared" si="107"/>
        <v>1+0.35352955080765i</v>
      </c>
      <c r="AQ126" s="31">
        <f t="shared" si="128"/>
        <v>1.0606522254227626</v>
      </c>
      <c r="AR126" s="31">
        <f t="shared" si="129"/>
        <v>0.33981571837480451</v>
      </c>
      <c r="AS126" s="58" t="str">
        <f t="shared" si="130"/>
        <v>-3.70700881574167+8.78222143067334i</v>
      </c>
      <c r="AT126" s="49">
        <f t="shared" si="131"/>
        <v>19.584173145260664</v>
      </c>
      <c r="AU126" s="61">
        <f t="shared" si="132"/>
        <v>112.88479166532734</v>
      </c>
      <c r="AV126" s="58" t="str">
        <f t="shared" si="108"/>
        <v>324.732821444599+153.303440356854i</v>
      </c>
      <c r="AW126" s="64">
        <f t="shared" si="133"/>
        <v>51.104326293910432</v>
      </c>
      <c r="AX126" s="61">
        <f t="shared" si="134"/>
        <v>25.271574025869167</v>
      </c>
    </row>
    <row r="127" spans="14:50" x14ac:dyDescent="0.35">
      <c r="N127" s="10">
        <v>9</v>
      </c>
      <c r="O127" s="50">
        <f t="shared" si="135"/>
        <v>123.02687708123821</v>
      </c>
      <c r="P127" s="48" t="str">
        <f t="shared" si="99"/>
        <v>547.187404092767</v>
      </c>
      <c r="Q127" s="17" t="str">
        <f t="shared" si="100"/>
        <v>1+14.8248627058208i</v>
      </c>
      <c r="R127" s="17">
        <f t="shared" si="110"/>
        <v>14.858551552773791</v>
      </c>
      <c r="S127" s="17">
        <f t="shared" si="111"/>
        <v>1.5034441053895748</v>
      </c>
      <c r="T127" s="17" t="str">
        <f t="shared" si="101"/>
        <v>1+0.000280515123938824i</v>
      </c>
      <c r="U127" s="17">
        <f t="shared" si="112"/>
        <v>1.0000000393443667</v>
      </c>
      <c r="V127" s="17">
        <f t="shared" si="113"/>
        <v>2.8051511658103097E-4</v>
      </c>
      <c r="W127" s="31" t="str">
        <f t="shared" si="102"/>
        <v>1-0.00487121467642203i</v>
      </c>
      <c r="X127" s="17">
        <f t="shared" si="114"/>
        <v>1.0000118642958311</v>
      </c>
      <c r="Y127" s="17">
        <f t="shared" si="115"/>
        <v>-4.8711761477206921E-3</v>
      </c>
      <c r="Z127" s="31" t="str">
        <f t="shared" si="103"/>
        <v>0.999994996491741+0.0233071362916033i</v>
      </c>
      <c r="AA127" s="17">
        <f t="shared" si="116"/>
        <v>1.0002665722749273</v>
      </c>
      <c r="AB127" s="17">
        <f t="shared" si="117"/>
        <v>2.3303033900256297E-2</v>
      </c>
      <c r="AC127" s="66" t="str">
        <f t="shared" si="118"/>
        <v>1.45236973391585-36.7883957522838i</v>
      </c>
      <c r="AD127" s="64">
        <f t="shared" si="119"/>
        <v>31.320980608745671</v>
      </c>
      <c r="AE127" s="61">
        <f t="shared" si="120"/>
        <v>-87.739192967238822</v>
      </c>
      <c r="AF127" s="31" t="str">
        <f t="shared" si="104"/>
        <v>-6627.51882264077</v>
      </c>
      <c r="AG127" s="31" t="str">
        <f t="shared" si="121"/>
        <v>773.000666465025i</v>
      </c>
      <c r="AH127" s="31">
        <f t="shared" si="122"/>
        <v>773.00066646502501</v>
      </c>
      <c r="AI127" s="31">
        <f t="shared" si="123"/>
        <v>1.5707963267948966</v>
      </c>
      <c r="AJ127" s="31" t="str">
        <f t="shared" si="105"/>
        <v>0.999928690766177+0.37733641033157i</v>
      </c>
      <c r="AK127" s="31">
        <f t="shared" si="124"/>
        <v>1.0687563581936137</v>
      </c>
      <c r="AL127" s="31">
        <f t="shared" si="125"/>
        <v>0.36084101031726945</v>
      </c>
      <c r="AM127" s="31" t="str">
        <f t="shared" si="106"/>
        <v>1+0.448286276503062i</v>
      </c>
      <c r="AN127" s="31">
        <f t="shared" si="126"/>
        <v>1.0958834726835602</v>
      </c>
      <c r="AO127" s="31">
        <f t="shared" si="127"/>
        <v>0.42142787867496007</v>
      </c>
      <c r="AP127" s="31" t="str">
        <f t="shared" si="107"/>
        <v>1+0.361764311905631i</v>
      </c>
      <c r="AQ127" s="31">
        <f t="shared" si="128"/>
        <v>1.0634253228922821</v>
      </c>
      <c r="AR127" s="31">
        <f t="shared" si="129"/>
        <v>0.34711659243751508</v>
      </c>
      <c r="AS127" s="58" t="str">
        <f t="shared" si="130"/>
        <v>-3.70688599261619+8.58267067190251i</v>
      </c>
      <c r="AT127" s="49">
        <f t="shared" si="131"/>
        <v>19.415275301745389</v>
      </c>
      <c r="AU127" s="61">
        <f t="shared" si="132"/>
        <v>113.35968759644265</v>
      </c>
      <c r="AV127" s="58" t="str">
        <f t="shared" si="108"/>
        <v>310.358916266717+148.835600025i</v>
      </c>
      <c r="AW127" s="64">
        <f t="shared" si="133"/>
        <v>50.736255910491067</v>
      </c>
      <c r="AX127" s="61">
        <f t="shared" si="134"/>
        <v>25.620494629203787</v>
      </c>
    </row>
    <row r="128" spans="14:50" x14ac:dyDescent="0.35">
      <c r="N128" s="10">
        <v>10</v>
      </c>
      <c r="O128" s="50">
        <f t="shared" si="135"/>
        <v>125.89254117941677</v>
      </c>
      <c r="P128" s="48" t="str">
        <f t="shared" si="99"/>
        <v>547.187404092767</v>
      </c>
      <c r="Q128" s="17" t="str">
        <f t="shared" si="100"/>
        <v>1+15.1701781183907i</v>
      </c>
      <c r="R128" s="17">
        <f t="shared" si="110"/>
        <v>15.203101793505823</v>
      </c>
      <c r="S128" s="17">
        <f t="shared" si="111"/>
        <v>1.504972753251244</v>
      </c>
      <c r="T128" s="17" t="str">
        <f t="shared" si="101"/>
        <v>1+0.000287049160555365i</v>
      </c>
      <c r="U128" s="17">
        <f t="shared" si="112"/>
        <v>1.0000000411986094</v>
      </c>
      <c r="V128" s="17">
        <f t="shared" si="113"/>
        <v>2.8704915267134773E-4</v>
      </c>
      <c r="W128" s="31" t="str">
        <f t="shared" si="102"/>
        <v>1-0.00498467984227782i</v>
      </c>
      <c r="X128" s="17">
        <f t="shared" si="114"/>
        <v>1.0000124234393941</v>
      </c>
      <c r="Y128" s="17">
        <f t="shared" si="115"/>
        <v>-4.9846385580582311E-3</v>
      </c>
      <c r="Z128" s="31" t="str">
        <f t="shared" si="103"/>
        <v>0.999994760683661+0.0238500292373301i</v>
      </c>
      <c r="AA128" s="17">
        <f t="shared" si="116"/>
        <v>1.0002791336868893</v>
      </c>
      <c r="AB128" s="17">
        <f t="shared" si="117"/>
        <v>2.3845633512046705E-2</v>
      </c>
      <c r="AC128" s="66" t="str">
        <f t="shared" si="118"/>
        <v>1.34111949939474-35.9572298106412i</v>
      </c>
      <c r="AD128" s="64">
        <f t="shared" si="119"/>
        <v>31.121761845306139</v>
      </c>
      <c r="AE128" s="61">
        <f t="shared" si="120"/>
        <v>-87.86399325034975</v>
      </c>
      <c r="AF128" s="31" t="str">
        <f t="shared" si="104"/>
        <v>-6627.51882264077</v>
      </c>
      <c r="AG128" s="31" t="str">
        <f t="shared" si="121"/>
        <v>791.006165022012i</v>
      </c>
      <c r="AH128" s="31">
        <f t="shared" si="122"/>
        <v>791.00616502201206</v>
      </c>
      <c r="AI128" s="31">
        <f t="shared" si="123"/>
        <v>1.5707963267948966</v>
      </c>
      <c r="AJ128" s="31" t="str">
        <f t="shared" si="105"/>
        <v>0.999925330065525+0.38612570442467i</v>
      </c>
      <c r="AK128" s="31">
        <f t="shared" si="124"/>
        <v>1.0718879257292231</v>
      </c>
      <c r="AL128" s="31">
        <f t="shared" si="125"/>
        <v>0.36851395128550879</v>
      </c>
      <c r="AM128" s="31" t="str">
        <f t="shared" si="106"/>
        <v>1+0.458728205281216i</v>
      </c>
      <c r="AN128" s="31">
        <f t="shared" si="126"/>
        <v>1.1001961490209486</v>
      </c>
      <c r="AO128" s="31">
        <f t="shared" si="127"/>
        <v>0.43008855201089219</v>
      </c>
      <c r="AP128" s="31" t="str">
        <f t="shared" si="107"/>
        <v>1+0.370190885230301i</v>
      </c>
      <c r="AQ128" s="31">
        <f t="shared" si="128"/>
        <v>1.0663213828427121</v>
      </c>
      <c r="AR128" s="31">
        <f t="shared" si="129"/>
        <v>0.3545478084460682</v>
      </c>
      <c r="AS128" s="58" t="str">
        <f t="shared" si="130"/>
        <v>-3.70675884795297+8.38766675770251i</v>
      </c>
      <c r="AT128" s="49">
        <f t="shared" si="131"/>
        <v>19.247599225290099</v>
      </c>
      <c r="AU128" s="61">
        <f t="shared" si="132"/>
        <v>113.84205780634018</v>
      </c>
      <c r="AV128" s="58" t="str">
        <f t="shared" si="108"/>
        <v>296.626054611241+144.533643191652i</v>
      </c>
      <c r="AW128" s="64">
        <f t="shared" si="133"/>
        <v>50.369361070596234</v>
      </c>
      <c r="AX128" s="61">
        <f t="shared" si="134"/>
        <v>25.978064555990393</v>
      </c>
    </row>
    <row r="129" spans="14:50" x14ac:dyDescent="0.35">
      <c r="N129" s="10">
        <v>11</v>
      </c>
      <c r="O129" s="50">
        <f t="shared" si="135"/>
        <v>128.82495516931343</v>
      </c>
      <c r="P129" s="48" t="str">
        <f t="shared" si="99"/>
        <v>547.187404092767</v>
      </c>
      <c r="Q129" s="17" t="str">
        <f t="shared" si="100"/>
        <v>1+15.5235369602i</v>
      </c>
      <c r="R129" s="17">
        <f t="shared" si="110"/>
        <v>15.555712769098541</v>
      </c>
      <c r="S129" s="17">
        <f t="shared" si="111"/>
        <v>1.5064669025852007</v>
      </c>
      <c r="T129" s="17" t="str">
        <f t="shared" si="101"/>
        <v>1+0.000293735394436379i</v>
      </c>
      <c r="U129" s="17">
        <f t="shared" si="112"/>
        <v>1.00000004314024</v>
      </c>
      <c r="V129" s="17">
        <f t="shared" si="113"/>
        <v>2.9373538598850233E-4</v>
      </c>
      <c r="W129" s="31" t="str">
        <f t="shared" si="102"/>
        <v>1-0.00510078795136603i</v>
      </c>
      <c r="X129" s="17">
        <f t="shared" si="114"/>
        <v>1.0000130089342463</v>
      </c>
      <c r="Y129" s="17">
        <f t="shared" si="115"/>
        <v>-5.1007437145588197E-3</v>
      </c>
      <c r="Z129" s="31" t="str">
        <f t="shared" si="103"/>
        <v>0.999994513762289+0.024405567784251i</v>
      </c>
      <c r="AA129" s="17">
        <f t="shared" si="116"/>
        <v>1.0002922869309492</v>
      </c>
      <c r="AB129" s="17">
        <f t="shared" si="117"/>
        <v>2.4400857754071959E-2</v>
      </c>
      <c r="AC129" s="66" t="str">
        <f t="shared" si="118"/>
        <v>1.2348363633758-35.1444712044335i</v>
      </c>
      <c r="AD129" s="64">
        <f t="shared" si="119"/>
        <v>30.922498490923701</v>
      </c>
      <c r="AE129" s="61">
        <f t="shared" si="120"/>
        <v>-87.987682949396444</v>
      </c>
      <c r="AF129" s="31" t="str">
        <f t="shared" si="104"/>
        <v>-6627.51882264077</v>
      </c>
      <c r="AG129" s="31" t="str">
        <f t="shared" si="121"/>
        <v>809.431065517899i</v>
      </c>
      <c r="AH129" s="31">
        <f t="shared" si="122"/>
        <v>809.43106551789901</v>
      </c>
      <c r="AI129" s="31">
        <f t="shared" si="123"/>
        <v>1.5707963267948966</v>
      </c>
      <c r="AJ129" s="31" t="str">
        <f t="shared" si="105"/>
        <v>0.99992181097993+0.395119727477235i</v>
      </c>
      <c r="AK129" s="31">
        <f t="shared" si="124"/>
        <v>1.075157303428232</v>
      </c>
      <c r="AL129" s="31">
        <f t="shared" si="125"/>
        <v>0.37631890263513368</v>
      </c>
      <c r="AM129" s="31" t="str">
        <f t="shared" si="106"/>
        <v>1+0.469413357825796i</v>
      </c>
      <c r="AN129" s="31">
        <f t="shared" si="126"/>
        <v>1.1046940302659776</v>
      </c>
      <c r="AO129" s="31">
        <f t="shared" si="127"/>
        <v>0.43888027900936427</v>
      </c>
      <c r="AP129" s="31" t="str">
        <f t="shared" si="107"/>
        <v>1+0.378813738662376i</v>
      </c>
      <c r="AQ129" s="31">
        <f t="shared" si="128"/>
        <v>1.0693455234859155</v>
      </c>
      <c r="AR129" s="31">
        <f t="shared" si="129"/>
        <v>0.36211002255988817</v>
      </c>
      <c r="AS129" s="58" t="str">
        <f t="shared" si="130"/>
        <v>-3.70662729160881+8.19710609347754i</v>
      </c>
      <c r="AT129" s="49">
        <f t="shared" si="131"/>
        <v>19.081183098361279</v>
      </c>
      <c r="AU129" s="61">
        <f t="shared" si="132"/>
        <v>114.3318788388415</v>
      </c>
      <c r="AV129" s="58" t="str">
        <f t="shared" si="108"/>
        <v>283.505880896748+140.389540794189i</v>
      </c>
      <c r="AW129" s="64">
        <f t="shared" si="133"/>
        <v>50.003681589284987</v>
      </c>
      <c r="AX129" s="61">
        <f t="shared" si="134"/>
        <v>26.344195889445139</v>
      </c>
    </row>
    <row r="130" spans="14:50" x14ac:dyDescent="0.35">
      <c r="N130" s="10">
        <v>12</v>
      </c>
      <c r="O130" s="50">
        <f t="shared" si="135"/>
        <v>131.82567385564084</v>
      </c>
      <c r="P130" s="48" t="str">
        <f t="shared" si="99"/>
        <v>547.187404092767</v>
      </c>
      <c r="Q130" s="17" t="str">
        <f t="shared" si="100"/>
        <v>1+15.885126586784i</v>
      </c>
      <c r="R130" s="17">
        <f t="shared" si="110"/>
        <v>15.91657144859256</v>
      </c>
      <c r="S130" s="17">
        <f t="shared" si="111"/>
        <v>1.507927318908872</v>
      </c>
      <c r="T130" s="17" t="str">
        <f t="shared" si="101"/>
        <v>1+0.00030057737071157i</v>
      </c>
      <c r="U130" s="17">
        <f t="shared" si="112"/>
        <v>1.0000000451733768</v>
      </c>
      <c r="V130" s="17">
        <f t="shared" si="113"/>
        <v>3.0057736165950709E-4</v>
      </c>
      <c r="W130" s="31" t="str">
        <f t="shared" si="102"/>
        <v>1-0.00521960056574297i</v>
      </c>
      <c r="X130" s="17">
        <f t="shared" si="114"/>
        <v>1.0000136220222533</v>
      </c>
      <c r="Y130" s="17">
        <f t="shared" si="115"/>
        <v>-5.2195531651849144E-3</v>
      </c>
      <c r="Z130" s="31" t="str">
        <f t="shared" si="103"/>
        <v>0.999994255203872+0.024974046486257i</v>
      </c>
      <c r="AA130" s="17">
        <f t="shared" si="116"/>
        <v>1.0003060598829963</v>
      </c>
      <c r="AB130" s="17">
        <f t="shared" si="117"/>
        <v>2.4968999681380052E-2</v>
      </c>
      <c r="AC130" s="66" t="str">
        <f t="shared" si="118"/>
        <v>1.13330058712576-34.3497325435095i</v>
      </c>
      <c r="AD130" s="64">
        <f t="shared" si="119"/>
        <v>30.723192085822333</v>
      </c>
      <c r="AE130" s="61">
        <f t="shared" si="120"/>
        <v>-88.110326039431641</v>
      </c>
      <c r="AF130" s="31" t="str">
        <f t="shared" si="104"/>
        <v>-6627.51882264077</v>
      </c>
      <c r="AG130" s="31" t="str">
        <f t="shared" si="121"/>
        <v>828.285137078811i</v>
      </c>
      <c r="AH130" s="31">
        <f t="shared" si="122"/>
        <v>828.28513707881098</v>
      </c>
      <c r="AI130" s="31">
        <f t="shared" si="123"/>
        <v>1.5707963267948966</v>
      </c>
      <c r="AJ130" s="31" t="str">
        <f t="shared" si="105"/>
        <v>0.99991812604494+0.404323248239336i</v>
      </c>
      <c r="AK130" s="31">
        <f t="shared" si="124"/>
        <v>1.078570140445225</v>
      </c>
      <c r="AL130" s="31">
        <f t="shared" si="125"/>
        <v>0.38425620456384191</v>
      </c>
      <c r="AM130" s="31" t="str">
        <f t="shared" si="106"/>
        <v>1+0.480347399546115i</v>
      </c>
      <c r="AN130" s="31">
        <f t="shared" si="126"/>
        <v>1.1093843446933596</v>
      </c>
      <c r="AO130" s="31">
        <f t="shared" si="127"/>
        <v>0.44780228372465136</v>
      </c>
      <c r="AP130" s="31" t="str">
        <f t="shared" si="107"/>
        <v>1+0.387637444152883i</v>
      </c>
      <c r="AQ130" s="31">
        <f t="shared" si="128"/>
        <v>1.0725030480653095</v>
      </c>
      <c r="AR130" s="31">
        <f t="shared" si="129"/>
        <v>0.36980378367956418</v>
      </c>
      <c r="AS130" s="58" t="str">
        <f t="shared" si="130"/>
        <v>-3.70649123675561+8.01088743290365i</v>
      </c>
      <c r="AT130" s="49">
        <f t="shared" si="131"/>
        <v>18.916065532268284</v>
      </c>
      <c r="AU130" s="61">
        <f t="shared" si="132"/>
        <v>114.82911819332648</v>
      </c>
      <c r="AV130" s="58" t="str">
        <f t="shared" si="108"/>
        <v>270.97127206161+136.395726088525i</v>
      </c>
      <c r="AW130" s="64">
        <f t="shared" si="133"/>
        <v>49.639257618090618</v>
      </c>
      <c r="AX130" s="61">
        <f t="shared" si="134"/>
        <v>26.718792153894864</v>
      </c>
    </row>
    <row r="131" spans="14:50" x14ac:dyDescent="0.35">
      <c r="N131" s="10">
        <v>13</v>
      </c>
      <c r="O131" s="50">
        <f t="shared" si="135"/>
        <v>134.89628825916537</v>
      </c>
      <c r="P131" s="48" t="str">
        <f t="shared" si="99"/>
        <v>547.187404092767</v>
      </c>
      <c r="Q131" s="17" t="str">
        <f t="shared" si="100"/>
        <v>1+16.2551387177487i</v>
      </c>
      <c r="R131" s="17">
        <f t="shared" si="110"/>
        <v>16.285869173404677</v>
      </c>
      <c r="S131" s="17">
        <f t="shared" si="111"/>
        <v>1.5093547516218806</v>
      </c>
      <c r="T131" s="17" t="str">
        <f t="shared" si="101"/>
        <v>1+0.000307578717087323i</v>
      </c>
      <c r="U131" s="17">
        <f t="shared" si="112"/>
        <v>1.0000000473023325</v>
      </c>
      <c r="V131" s="17">
        <f t="shared" si="113"/>
        <v>3.0757870738786283E-4</v>
      </c>
      <c r="W131" s="31" t="str">
        <f t="shared" si="102"/>
        <v>1-0.00534118068142944i</v>
      </c>
      <c r="X131" s="17">
        <f t="shared" si="114"/>
        <v>1.000014264003805</v>
      </c>
      <c r="Y131" s="17">
        <f t="shared" si="115"/>
        <v>-5.3411298908555317E-3</v>
      </c>
      <c r="Z131" s="31" t="str">
        <f t="shared" si="103"/>
        <v>0.999993984459972+0.0255557667582805i</v>
      </c>
      <c r="AA131" s="17">
        <f t="shared" si="116"/>
        <v>1.0003204817310971</v>
      </c>
      <c r="AB131" s="17">
        <f t="shared" si="117"/>
        <v>2.5550359102984359E-2</v>
      </c>
      <c r="AC131" s="66" t="str">
        <f t="shared" si="118"/>
        <v>1.03630200390908-33.5726331250369i</v>
      </c>
      <c r="AD131" s="64">
        <f t="shared" si="119"/>
        <v>30.523844080937664</v>
      </c>
      <c r="AE131" s="61">
        <f t="shared" si="120"/>
        <v>-88.231986036370856</v>
      </c>
      <c r="AF131" s="31" t="str">
        <f t="shared" si="104"/>
        <v>-6627.51882264077</v>
      </c>
      <c r="AG131" s="31" t="str">
        <f t="shared" si="121"/>
        <v>847.57837638305i</v>
      </c>
      <c r="AH131" s="31">
        <f t="shared" si="122"/>
        <v>847.57837638305</v>
      </c>
      <c r="AI131" s="31">
        <f t="shared" si="123"/>
        <v>1.5707963267948966</v>
      </c>
      <c r="AJ131" s="31" t="str">
        <f t="shared" si="105"/>
        <v>0.999914267444315+0.413741146539504i</v>
      </c>
      <c r="AK131" s="31">
        <f t="shared" si="124"/>
        <v>1.0821322833085263</v>
      </c>
      <c r="AL131" s="31">
        <f t="shared" si="125"/>
        <v>0.39232607101749739</v>
      </c>
      <c r="AM131" s="31" t="str">
        <f t="shared" si="106"/>
        <v>1+0.491536127815823i</v>
      </c>
      <c r="AN131" s="31">
        <f t="shared" si="126"/>
        <v>1.1142745464867145</v>
      </c>
      <c r="AO131" s="31">
        <f t="shared" si="127"/>
        <v>0.45685361403271285</v>
      </c>
      <c r="AP131" s="31" t="str">
        <f t="shared" si="107"/>
        <v>1+0.396666680147267i</v>
      </c>
      <c r="AQ131" s="31">
        <f t="shared" si="128"/>
        <v>1.0757994493115592</v>
      </c>
      <c r="AR131" s="31">
        <f t="shared" si="129"/>
        <v>0.37762952673141065</v>
      </c>
      <c r="AS131" s="58" t="str">
        <f t="shared" si="130"/>
        <v>-3.70635060039014+7.82891182426732i</v>
      </c>
      <c r="AT131" s="49">
        <f t="shared" si="131"/>
        <v>18.752285510806182</v>
      </c>
      <c r="AU131" s="61">
        <f t="shared" si="132"/>
        <v>115.33373397835322</v>
      </c>
      <c r="AV131" s="58" t="str">
        <f t="shared" si="108"/>
        <v>258.996285890016+132.545065951574i</v>
      </c>
      <c r="AW131" s="64">
        <f t="shared" si="133"/>
        <v>49.276129591743839</v>
      </c>
      <c r="AX131" s="61">
        <f t="shared" si="134"/>
        <v>27.101747941982378</v>
      </c>
    </row>
    <row r="132" spans="14:50" x14ac:dyDescent="0.35">
      <c r="N132" s="10">
        <v>14</v>
      </c>
      <c r="O132" s="50">
        <f t="shared" si="135"/>
        <v>138.0384264602886</v>
      </c>
      <c r="P132" s="48" t="str">
        <f t="shared" si="99"/>
        <v>547.187404092767</v>
      </c>
      <c r="Q132" s="17" t="str">
        <f t="shared" si="100"/>
        <v>1+16.6337695384238i</v>
      </c>
      <c r="R132" s="17">
        <f t="shared" si="110"/>
        <v>16.663801758824292</v>
      </c>
      <c r="S132" s="17">
        <f t="shared" si="111"/>
        <v>1.5107499342869302</v>
      </c>
      <c r="T132" s="17" t="str">
        <f t="shared" si="101"/>
        <v>1+0.000314743145770163i</v>
      </c>
      <c r="U132" s="17">
        <f t="shared" si="112"/>
        <v>1.0000000495316226</v>
      </c>
      <c r="V132" s="17">
        <f t="shared" si="113"/>
        <v>3.1474313537700424E-4</v>
      </c>
      <c r="W132" s="31" t="str">
        <f t="shared" si="102"/>
        <v>1-0.00546559276181209i</v>
      </c>
      <c r="X132" s="17">
        <f t="shared" si="114"/>
        <v>1.0000149362405735</v>
      </c>
      <c r="Y132" s="17">
        <f t="shared" si="115"/>
        <v>-5.4655383387755248E-3</v>
      </c>
      <c r="Z132" s="31" t="str">
        <f t="shared" si="103"/>
        <v>0.999993700956304+0.0261510370361099i</v>
      </c>
      <c r="AA132" s="17">
        <f t="shared" si="116"/>
        <v>1.0003355830371876</v>
      </c>
      <c r="AB132" s="17">
        <f t="shared" si="117"/>
        <v>2.6145242734034846E-2</v>
      </c>
      <c r="AC132" s="66" t="str">
        <f t="shared" si="118"/>
        <v>0.943639616484163-32.8127989188733i</v>
      </c>
      <c r="AD132" s="64">
        <f t="shared" si="119"/>
        <v>30.324455840824989</v>
      </c>
      <c r="AE132" s="61">
        <f t="shared" si="120"/>
        <v>-88.352726023603807</v>
      </c>
      <c r="AF132" s="31" t="str">
        <f t="shared" si="104"/>
        <v>-6627.51882264077</v>
      </c>
      <c r="AG132" s="31" t="str">
        <f t="shared" si="121"/>
        <v>867.321012961475i</v>
      </c>
      <c r="AH132" s="31">
        <f t="shared" si="122"/>
        <v>867.32101296147505</v>
      </c>
      <c r="AI132" s="31">
        <f t="shared" si="123"/>
        <v>1.5707963267948966</v>
      </c>
      <c r="AJ132" s="31" t="str">
        <f t="shared" si="105"/>
        <v>0.999910226993445+0.423378415872079i</v>
      </c>
      <c r="AK132" s="31">
        <f t="shared" si="124"/>
        <v>1.0858497801594997</v>
      </c>
      <c r="AL132" s="31">
        <f t="shared" si="125"/>
        <v>0.40052858281731502</v>
      </c>
      <c r="AM132" s="31" t="str">
        <f t="shared" si="106"/>
        <v>1+0.502985475046749i</v>
      </c>
      <c r="AN132" s="31">
        <f t="shared" si="126"/>
        <v>1.1193723188055007</v>
      </c>
      <c r="AO132" s="31">
        <f t="shared" si="127"/>
        <v>0.46603313573543953</v>
      </c>
      <c r="AP132" s="31" t="str">
        <f t="shared" si="107"/>
        <v>1+0.40590623406597i</v>
      </c>
      <c r="AQ132" s="31">
        <f t="shared" si="128"/>
        <v>1.0792404138344793</v>
      </c>
      <c r="AR132" s="31">
        <f t="shared" si="129"/>
        <v>0.38558756587084103</v>
      </c>
      <c r="AS132" s="58" t="str">
        <f t="shared" si="130"/>
        <v>-3.70620530386618+7.65108255805731i</v>
      </c>
      <c r="AT132" s="49">
        <f t="shared" si="131"/>
        <v>18.589882329271148</v>
      </c>
      <c r="AU132" s="61">
        <f t="shared" si="132"/>
        <v>115.84567457822165</v>
      </c>
      <c r="AV132" s="58" t="str">
        <f t="shared" si="108"/>
        <v>247.556111337681+128.830833998597i</v>
      </c>
      <c r="AW132" s="64">
        <f t="shared" si="133"/>
        <v>48.91433817009613</v>
      </c>
      <c r="AX132" s="61">
        <f t="shared" si="134"/>
        <v>27.492948554617996</v>
      </c>
    </row>
    <row r="133" spans="14:50" x14ac:dyDescent="0.35">
      <c r="N133" s="10">
        <v>15</v>
      </c>
      <c r="O133" s="50">
        <f t="shared" si="135"/>
        <v>141.25375446227542</v>
      </c>
      <c r="P133" s="48" t="str">
        <f t="shared" si="99"/>
        <v>547.187404092767</v>
      </c>
      <c r="Q133" s="17" t="str">
        <f t="shared" si="100"/>
        <v>1+17.0212198038822i</v>
      </c>
      <c r="R133" s="17">
        <f t="shared" si="110"/>
        <v>17.050569597877711</v>
      </c>
      <c r="S133" s="17">
        <f t="shared" si="111"/>
        <v>1.5121135849098952</v>
      </c>
      <c r="T133" s="17" t="str">
        <f t="shared" si="101"/>
        <v>1+0.000322074455435007i</v>
      </c>
      <c r="U133" s="17">
        <f t="shared" si="112"/>
        <v>1.000000051865976</v>
      </c>
      <c r="V133" s="17">
        <f t="shared" si="113"/>
        <v>3.220744442985367E-4</v>
      </c>
      <c r="W133" s="31" t="str">
        <f t="shared" si="102"/>
        <v>1-0.00559290277182272i</v>
      </c>
      <c r="X133" s="17">
        <f t="shared" si="114"/>
        <v>1.0000156401584002</v>
      </c>
      <c r="Y133" s="17">
        <f t="shared" si="115"/>
        <v>-5.5928444565376493E-3</v>
      </c>
      <c r="Z133" s="31" t="str">
        <f t="shared" si="103"/>
        <v>0.999993404091521+0.0267601729399257i</v>
      </c>
      <c r="AA133" s="17">
        <f t="shared" si="116"/>
        <v>1.0003513958016568</v>
      </c>
      <c r="AB133" s="17">
        <f t="shared" si="117"/>
        <v>2.6753964351165883E-2</v>
      </c>
      <c r="AC133" s="66" t="str">
        <f t="shared" si="118"/>
        <v>0.855121210305115-32.0698625444298i</v>
      </c>
      <c r="AD133" s="64">
        <f t="shared" si="119"/>
        <v>30.12502864639924</v>
      </c>
      <c r="AE133" s="61">
        <f t="shared" si="120"/>
        <v>-88.472608678784525</v>
      </c>
      <c r="AF133" s="31" t="str">
        <f t="shared" si="104"/>
        <v>-6627.51882264077</v>
      </c>
      <c r="AG133" s="31" t="str">
        <f t="shared" si="121"/>
        <v>887.523514621322i</v>
      </c>
      <c r="AH133" s="31">
        <f t="shared" si="122"/>
        <v>887.52351462132197</v>
      </c>
      <c r="AI133" s="31">
        <f t="shared" si="123"/>
        <v>1.5707963267948966</v>
      </c>
      <c r="AJ133" s="31" t="str">
        <f t="shared" si="105"/>
        <v>0.999905996121992+0.433240166044825i</v>
      </c>
      <c r="AK133" s="31">
        <f t="shared" si="124"/>
        <v>1.0897288848861724</v>
      </c>
      <c r="AL133" s="31">
        <f t="shared" si="125"/>
        <v>0.40886368078775737</v>
      </c>
      <c r="AM133" s="31" t="str">
        <f t="shared" si="106"/>
        <v>1+0.514701511834344i</v>
      </c>
      <c r="AN133" s="31">
        <f t="shared" si="126"/>
        <v>1.1246855766322246</v>
      </c>
      <c r="AO133" s="31">
        <f t="shared" si="127"/>
        <v>0.4753395269922886</v>
      </c>
      <c r="AP133" s="31" t="str">
        <f t="shared" si="107"/>
        <v>1+0.415361004842778i</v>
      </c>
      <c r="AQ133" s="31">
        <f t="shared" si="128"/>
        <v>1.0828318264365904</v>
      </c>
      <c r="AR133" s="31">
        <f t="shared" si="129"/>
        <v>0.3936780876310722</v>
      </c>
      <c r="AS133" s="58" t="str">
        <f t="shared" si="130"/>
        <v>-3.7060552734471+7.47730511578534i</v>
      </c>
      <c r="AT133" s="49">
        <f t="shared" si="131"/>
        <v>18.428895528849022</v>
      </c>
      <c r="AU133" s="61">
        <f t="shared" si="132"/>
        <v>116.36487833512221</v>
      </c>
      <c r="AV133" s="58" t="str">
        <f t="shared" si="108"/>
        <v>236.62702079511+125.246685401939i</v>
      </c>
      <c r="AW133" s="64">
        <f t="shared" si="133"/>
        <v>48.55392417524827</v>
      </c>
      <c r="AX133" s="61">
        <f t="shared" si="134"/>
        <v>27.892269656337721</v>
      </c>
    </row>
    <row r="134" spans="14:50" x14ac:dyDescent="0.35">
      <c r="N134" s="10">
        <v>16</v>
      </c>
      <c r="O134" s="50">
        <f t="shared" si="135"/>
        <v>144.54397707459285</v>
      </c>
      <c r="P134" s="48" t="str">
        <f t="shared" si="99"/>
        <v>547.187404092767</v>
      </c>
      <c r="Q134" s="17" t="str">
        <f t="shared" si="100"/>
        <v>1+17.417694945383i</v>
      </c>
      <c r="R134" s="17">
        <f t="shared" si="110"/>
        <v>17.446377767617566</v>
      </c>
      <c r="S134" s="17">
        <f t="shared" si="111"/>
        <v>1.5134464062187845</v>
      </c>
      <c r="T134" s="17" t="str">
        <f t="shared" si="101"/>
        <v>1+0.000329576533239283i</v>
      </c>
      <c r="U134" s="17">
        <f t="shared" si="112"/>
        <v>1.0000000543103442</v>
      </c>
      <c r="V134" s="17">
        <f t="shared" si="113"/>
        <v>3.2957652130634015E-4</v>
      </c>
      <c r="W134" s="31" t="str">
        <f t="shared" si="102"/>
        <v>1-0.0057231782129138i</v>
      </c>
      <c r="X134" s="17">
        <f t="shared" si="114"/>
        <v>1.0000163772503212</v>
      </c>
      <c r="Y134" s="17">
        <f t="shared" si="115"/>
        <v>-5.7231157270153255E-3</v>
      </c>
      <c r="Z134" s="31" t="str">
        <f t="shared" si="103"/>
        <v>0.999993093235931+0.0273834974416471i</v>
      </c>
      <c r="AA134" s="17">
        <f t="shared" si="116"/>
        <v>1.0003679535309506</v>
      </c>
      <c r="AB134" s="17">
        <f t="shared" si="117"/>
        <v>2.7376844951071178E-2</v>
      </c>
      <c r="AC134" s="66" t="str">
        <f t="shared" si="118"/>
        <v>0.770562981929777-31.3434632397742i</v>
      </c>
      <c r="AD134" s="64">
        <f t="shared" si="119"/>
        <v>29.925563697512203</v>
      </c>
      <c r="AE134" s="61">
        <f t="shared" si="120"/>
        <v>-88.591696300784164</v>
      </c>
      <c r="AF134" s="31" t="str">
        <f t="shared" si="104"/>
        <v>-6627.51882264077</v>
      </c>
      <c r="AG134" s="31" t="str">
        <f t="shared" si="121"/>
        <v>908.196592996385i</v>
      </c>
      <c r="AH134" s="31">
        <f t="shared" si="122"/>
        <v>908.19659299638499</v>
      </c>
      <c r="AI134" s="31">
        <f t="shared" si="123"/>
        <v>1.5707963267948966</v>
      </c>
      <c r="AJ134" s="31" t="str">
        <f t="shared" si="105"/>
        <v>0.99990156585571+0.44333162588822i</v>
      </c>
      <c r="AK134" s="31">
        <f t="shared" si="124"/>
        <v>1.0937760611356391</v>
      </c>
      <c r="AL134" s="31">
        <f t="shared" si="125"/>
        <v>0.417331158919867</v>
      </c>
      <c r="AM134" s="31" t="str">
        <f t="shared" si="106"/>
        <v>1+0.526690450176394i</v>
      </c>
      <c r="AN134" s="31">
        <f t="shared" si="126"/>
        <v>1.1302224693868959</v>
      </c>
      <c r="AO134" s="31">
        <f t="shared" si="127"/>
        <v>0.48477127313234381</v>
      </c>
      <c r="AP134" s="31" t="str">
        <f t="shared" si="107"/>
        <v>1+0.425036005522308i</v>
      </c>
      <c r="AQ134" s="31">
        <f t="shared" si="128"/>
        <v>1.0865797743333709</v>
      </c>
      <c r="AR134" s="31">
        <f t="shared" si="129"/>
        <v>0.40190114404659921</v>
      </c>
      <c r="AS134" s="58" t="str">
        <f t="shared" si="130"/>
        <v>-3.7059004408768+7.30748712001136i</v>
      </c>
      <c r="AT134" s="49">
        <f t="shared" si="131"/>
        <v>18.269364826411962</v>
      </c>
      <c r="AU134" s="61">
        <f t="shared" si="132"/>
        <v>116.89127324960461</v>
      </c>
      <c r="AV134" s="58" t="str">
        <f t="shared" si="108"/>
        <v>226.186324226743+121.786633304494i</v>
      </c>
      <c r="AW134" s="64">
        <f t="shared" si="133"/>
        <v>48.194928523924176</v>
      </c>
      <c r="AX134" s="61">
        <f t="shared" si="134"/>
        <v>28.299576948820324</v>
      </c>
    </row>
    <row r="135" spans="14:50" x14ac:dyDescent="0.35">
      <c r="N135" s="10">
        <v>17</v>
      </c>
      <c r="O135" s="50">
        <f t="shared" si="135"/>
        <v>147.91083881682084</v>
      </c>
      <c r="P135" s="48" t="str">
        <f t="shared" si="99"/>
        <v>547.187404092767</v>
      </c>
      <c r="Q135" s="17" t="str">
        <f t="shared" si="100"/>
        <v>1+17.8234051792944i</v>
      </c>
      <c r="R135" s="17">
        <f t="shared" si="110"/>
        <v>17.851436137893735</v>
      </c>
      <c r="S135" s="17">
        <f t="shared" si="111"/>
        <v>1.5147490859412596</v>
      </c>
      <c r="T135" s="17" t="str">
        <f t="shared" si="101"/>
        <v>1+0.000337253356883944i</v>
      </c>
      <c r="U135" s="17">
        <f t="shared" si="112"/>
        <v>1.0000000568699117</v>
      </c>
      <c r="V135" s="17">
        <f t="shared" si="113"/>
        <v>3.3725334409756541E-4</v>
      </c>
      <c r="W135" s="31" t="str">
        <f t="shared" si="102"/>
        <v>1-0.00585648815884858i</v>
      </c>
      <c r="X135" s="17">
        <f t="shared" si="114"/>
        <v>1.0000171490797318</v>
      </c>
      <c r="Y135" s="17">
        <f t="shared" si="115"/>
        <v>-5.8564212040640717E-3</v>
      </c>
      <c r="Z135" s="31" t="str">
        <f t="shared" si="103"/>
        <v>0.999992767730169+0.0280213410361754i</v>
      </c>
      <c r="AA135" s="17">
        <f t="shared" si="116"/>
        <v>1.0003852913083586</v>
      </c>
      <c r="AB135" s="17">
        <f t="shared" si="117"/>
        <v>2.8014212912350026E-2</v>
      </c>
      <c r="AC135" s="66" t="str">
        <f t="shared" si="118"/>
        <v>0.689789182139622-30.6332468236632i</v>
      </c>
      <c r="AD135" s="64">
        <f t="shared" si="119"/>
        <v>29.726062115370038</v>
      </c>
      <c r="AE135" s="61">
        <f t="shared" si="120"/>
        <v>-88.710050836792277</v>
      </c>
      <c r="AF135" s="31" t="str">
        <f t="shared" si="104"/>
        <v>-6627.51882264077</v>
      </c>
      <c r="AG135" s="31" t="str">
        <f t="shared" si="121"/>
        <v>929.351209226457i</v>
      </c>
      <c r="AH135" s="31">
        <f t="shared" si="122"/>
        <v>929.35120922645694</v>
      </c>
      <c r="AI135" s="31">
        <f t="shared" si="123"/>
        <v>1.5707963267948966</v>
      </c>
      <c r="AJ135" s="31" t="str">
        <f t="shared" si="105"/>
        <v>0.999896926797411+0.453658146027849i</v>
      </c>
      <c r="AK135" s="31">
        <f t="shared" si="124"/>
        <v>1.0979979861895612</v>
      </c>
      <c r="AL135" s="31">
        <f t="shared" si="125"/>
        <v>0.42593065760765808</v>
      </c>
      <c r="AM135" s="31" t="str">
        <f t="shared" si="106"/>
        <v>1+0.5389586467667i</v>
      </c>
      <c r="AN135" s="31">
        <f t="shared" si="126"/>
        <v>1.1359913832968067</v>
      </c>
      <c r="AO135" s="31">
        <f t="shared" si="127"/>
        <v>0.49432666190110458</v>
      </c>
      <c r="AP135" s="31" t="str">
        <f t="shared" si="107"/>
        <v>1+0.434936365917981i</v>
      </c>
      <c r="AQ135" s="31">
        <f t="shared" si="128"/>
        <v>1.0904905512648608</v>
      </c>
      <c r="AR135" s="31">
        <f t="shared" si="129"/>
        <v>0.41025664578376003</v>
      </c>
      <c r="AS135" s="58" t="str">
        <f t="shared" si="130"/>
        <v>-3.70574074396671+7.14153828555036i</v>
      </c>
      <c r="AT135" s="49">
        <f t="shared" si="131"/>
        <v>18.111330039796062</v>
      </c>
      <c r="AU135" s="61">
        <f t="shared" si="132"/>
        <v>117.42477670217617</v>
      </c>
      <c r="AV135" s="58" t="str">
        <f t="shared" si="108"/>
        <v>216.212325124902+118.445026727646i</v>
      </c>
      <c r="AW135" s="64">
        <f t="shared" si="133"/>
        <v>47.837392155166079</v>
      </c>
      <c r="AX135" s="61">
        <f t="shared" si="134"/>
        <v>28.714725865383926</v>
      </c>
    </row>
    <row r="136" spans="14:50" x14ac:dyDescent="0.35">
      <c r="N136" s="10">
        <v>18</v>
      </c>
      <c r="O136" s="50">
        <f t="shared" si="135"/>
        <v>151.3561248436209</v>
      </c>
      <c r="P136" s="48" t="str">
        <f t="shared" si="99"/>
        <v>547.187404092767</v>
      </c>
      <c r="Q136" s="17" t="str">
        <f t="shared" si="100"/>
        <v>1+18.2385656185524i</v>
      </c>
      <c r="R136" s="17">
        <f t="shared" si="110"/>
        <v>18.265959482661778</v>
      </c>
      <c r="S136" s="17">
        <f t="shared" si="111"/>
        <v>1.5160222970804287</v>
      </c>
      <c r="T136" s="17" t="str">
        <f t="shared" si="101"/>
        <v>1+0.0003451089967225i</v>
      </c>
      <c r="U136" s="17">
        <f t="shared" si="112"/>
        <v>1.0000000595501082</v>
      </c>
      <c r="V136" s="17">
        <f t="shared" si="113"/>
        <v>3.4510898302164857E-4</v>
      </c>
      <c r="W136" s="31" t="str">
        <f t="shared" si="102"/>
        <v>1-0.00599290329232497i</v>
      </c>
      <c r="X136" s="17">
        <f t="shared" si="114"/>
        <v>1.0000179572837036</v>
      </c>
      <c r="Y136" s="17">
        <f t="shared" si="115"/>
        <v>-5.99283154905037E-3</v>
      </c>
      <c r="Z136" s="31" t="str">
        <f t="shared" si="103"/>
        <v>0.999992426883793+0.0286740419166274i</v>
      </c>
      <c r="AA136" s="17">
        <f t="shared" si="116"/>
        <v>1.000403445868103</v>
      </c>
      <c r="AB136" s="17">
        <f t="shared" si="117"/>
        <v>2.8666404160674397E-2</v>
      </c>
      <c r="AC136" s="66" t="str">
        <f t="shared" si="118"/>
        <v>0.612631773283767-29.9388656511588i</v>
      </c>
      <c r="AD136" s="64">
        <f t="shared" si="119"/>
        <v>29.526524944797266</v>
      </c>
      <c r="AE136" s="61">
        <f t="shared" si="120"/>
        <v>-88.827733909553956</v>
      </c>
      <c r="AF136" s="31" t="str">
        <f t="shared" si="104"/>
        <v>-6627.51882264077</v>
      </c>
      <c r="AG136" s="31" t="str">
        <f t="shared" si="121"/>
        <v>950.998579769078i</v>
      </c>
      <c r="AH136" s="31">
        <f t="shared" si="122"/>
        <v>950.99857976907799</v>
      </c>
      <c r="AI136" s="31">
        <f t="shared" si="123"/>
        <v>1.5707963267948966</v>
      </c>
      <c r="AJ136" s="31" t="str">
        <f t="shared" si="105"/>
        <v>0.99989206910703+0.464225201721377i</v>
      </c>
      <c r="AK136" s="31">
        <f t="shared" si="124"/>
        <v>1.1024015546870345</v>
      </c>
      <c r="AL136" s="31">
        <f t="shared" si="125"/>
        <v>0.43466165699806114</v>
      </c>
      <c r="AM136" s="31" t="str">
        <f t="shared" si="106"/>
        <v>1+0.551512606365482i</v>
      </c>
      <c r="AN136" s="31">
        <f t="shared" si="126"/>
        <v>1.1420009435110143</v>
      </c>
      <c r="AO136" s="31">
        <f t="shared" si="127"/>
        <v>0.50400377919714245</v>
      </c>
      <c r="AP136" s="31" t="str">
        <f t="shared" si="107"/>
        <v>1+0.445067335331928i</v>
      </c>
      <c r="AQ136" s="31">
        <f t="shared" si="128"/>
        <v>1.0945706614830597</v>
      </c>
      <c r="AR136" s="31">
        <f t="shared" si="129"/>
        <v>0.41874435531369952</v>
      </c>
      <c r="AS136" s="58" t="str">
        <f t="shared" si="130"/>
        <v>-3.70557612719587+6.97937037183749i</v>
      </c>
      <c r="AT136" s="49">
        <f t="shared" si="131"/>
        <v>17.954831008672024</v>
      </c>
      <c r="AU136" s="61">
        <f t="shared" si="132"/>
        <v>117.96529519888938</v>
      </c>
      <c r="AV136" s="58" t="str">
        <f t="shared" si="108"/>
        <v>206.684278218279+115.216529879561i</v>
      </c>
      <c r="AW136" s="64">
        <f t="shared" si="133"/>
        <v>47.48135595346929</v>
      </c>
      <c r="AX136" s="61">
        <f t="shared" si="134"/>
        <v>29.137561289335295</v>
      </c>
    </row>
    <row r="137" spans="14:50" x14ac:dyDescent="0.35">
      <c r="N137" s="10">
        <v>19</v>
      </c>
      <c r="O137" s="50">
        <f t="shared" si="135"/>
        <v>154.8816618912482</v>
      </c>
      <c r="P137" s="48" t="str">
        <f t="shared" si="99"/>
        <v>547.187404092767</v>
      </c>
      <c r="Q137" s="17" t="str">
        <f t="shared" si="100"/>
        <v>1+18.6633963867174i</v>
      </c>
      <c r="R137" s="17">
        <f t="shared" si="110"/>
        <v>18.690167593891079</v>
      </c>
      <c r="S137" s="17">
        <f t="shared" si="111"/>
        <v>1.5172666981886584</v>
      </c>
      <c r="T137" s="17" t="str">
        <f t="shared" si="101"/>
        <v>1+0.000353147617919176i</v>
      </c>
      <c r="U137" s="17">
        <f t="shared" si="112"/>
        <v>1.0000000623566181</v>
      </c>
      <c r="V137" s="17">
        <f t="shared" si="113"/>
        <v>3.5314760323844921E-4</v>
      </c>
      <c r="W137" s="31" t="str">
        <f t="shared" si="102"/>
        <v>1-0.0061324959424524i</v>
      </c>
      <c r="X137" s="17">
        <f t="shared" si="114"/>
        <v>1.000018803576455</v>
      </c>
      <c r="Y137" s="17">
        <f t="shared" si="115"/>
        <v>-6.1324190682267143E-3</v>
      </c>
      <c r="Z137" s="31" t="str">
        <f t="shared" si="103"/>
        <v>0.999992069973821+0.0293419461536494i</v>
      </c>
      <c r="AA137" s="17">
        <f t="shared" si="116"/>
        <v>1.0004224556729076</v>
      </c>
      <c r="AB137" s="17">
        <f t="shared" si="117"/>
        <v>2.9333762337319273E-2</v>
      </c>
      <c r="AC137" s="66" t="str">
        <f t="shared" si="118"/>
        <v>0.538930100365923-29.2599785634225i</v>
      </c>
      <c r="AD137" s="64">
        <f t="shared" si="119"/>
        <v>29.326953156348186</v>
      </c>
      <c r="AE137" s="61">
        <f t="shared" si="120"/>
        <v>-88.944806844732213</v>
      </c>
      <c r="AF137" s="31" t="str">
        <f t="shared" si="104"/>
        <v>-6627.51882264077</v>
      </c>
      <c r="AG137" s="31" t="str">
        <f t="shared" si="121"/>
        <v>973.150182346647i</v>
      </c>
      <c r="AH137" s="31">
        <f t="shared" si="122"/>
        <v>973.15018234664694</v>
      </c>
      <c r="AI137" s="31">
        <f t="shared" si="123"/>
        <v>1.5707963267948966</v>
      </c>
      <c r="AJ137" s="31" t="str">
        <f t="shared" si="105"/>
        <v>0.999886982480755+0.475038395761604i</v>
      </c>
      <c r="AK137" s="31">
        <f t="shared" si="124"/>
        <v>1.1069938821792233</v>
      </c>
      <c r="AL137" s="31">
        <f t="shared" si="125"/>
        <v>0.44352347049765345</v>
      </c>
      <c r="AM137" s="31" t="str">
        <f t="shared" si="106"/>
        <v>1+0.564358985248291i</v>
      </c>
      <c r="AN137" s="31">
        <f t="shared" si="126"/>
        <v>1.1482600159504295</v>
      </c>
      <c r="AO137" s="31">
        <f t="shared" si="127"/>
        <v>0.51380050535405875</v>
      </c>
      <c r="AP137" s="31" t="str">
        <f t="shared" si="107"/>
        <v>1+0.45543428533823i</v>
      </c>
      <c r="AQ137" s="31">
        <f t="shared" si="128"/>
        <v>1.0988268235993988</v>
      </c>
      <c r="AR137" s="31">
        <f t="shared" si="129"/>
        <v>0.42736388016588089</v>
      </c>
      <c r="AS137" s="58" t="str">
        <f t="shared" si="130"/>
        <v>-3.70540654232085+6.82089713642929i</v>
      </c>
      <c r="AT137" s="49">
        <f t="shared" si="131"/>
        <v>17.799907511163703</v>
      </c>
      <c r="AU137" s="61">
        <f t="shared" si="132"/>
        <v>118.51272414380541</v>
      </c>
      <c r="AV137" s="58" t="str">
        <f t="shared" si="108"/>
        <v>197.582348875481+112.096102775395i</v>
      </c>
      <c r="AW137" s="64">
        <f t="shared" si="133"/>
        <v>47.126860667511878</v>
      </c>
      <c r="AX137" s="61">
        <f t="shared" si="134"/>
        <v>29.567917299073244</v>
      </c>
    </row>
    <row r="138" spans="14:50" x14ac:dyDescent="0.35">
      <c r="N138" s="10">
        <v>20</v>
      </c>
      <c r="O138" s="50">
        <f t="shared" si="135"/>
        <v>158.48931924611153</v>
      </c>
      <c r="P138" s="48" t="str">
        <f t="shared" si="99"/>
        <v>547.187404092767</v>
      </c>
      <c r="Q138" s="17" t="str">
        <f t="shared" si="100"/>
        <v>1+19.0981227346859i</v>
      </c>
      <c r="R138" s="17">
        <f t="shared" si="110"/>
        <v>19.124285398129953</v>
      </c>
      <c r="S138" s="17">
        <f t="shared" si="111"/>
        <v>1.5184829336391703</v>
      </c>
      <c r="T138" s="17" t="str">
        <f t="shared" si="101"/>
        <v>1+0.000361373482657334i</v>
      </c>
      <c r="U138" s="17">
        <f t="shared" si="112"/>
        <v>1.0000000652953949</v>
      </c>
      <c r="V138" s="17">
        <f t="shared" si="113"/>
        <v>3.6137346692665187E-4</v>
      </c>
      <c r="W138" s="31" t="str">
        <f t="shared" si="102"/>
        <v>1-0.0062753401231017i</v>
      </c>
      <c r="X138" s="17">
        <f t="shared" si="114"/>
        <v>1.0000196897529872</v>
      </c>
      <c r="Y138" s="17">
        <f t="shared" si="115"/>
        <v>-6.2752577509723973E-3</v>
      </c>
      <c r="Z138" s="31" t="str">
        <f t="shared" si="103"/>
        <v>0.999991696243202+0.0300254078789087i</v>
      </c>
      <c r="AA138" s="17">
        <f t="shared" si="116"/>
        <v>1.0004423609952007</v>
      </c>
      <c r="AB138" s="17">
        <f t="shared" si="117"/>
        <v>3.0016638971102311E-2</v>
      </c>
      <c r="AC138" s="66" t="str">
        <f t="shared" si="118"/>
        <v>0.468530575402307-28.5962508322605i</v>
      </c>
      <c r="AD138" s="64">
        <f t="shared" si="119"/>
        <v>29.127347648272327</v>
      </c>
      <c r="AE138" s="61">
        <f t="shared" si="120"/>
        <v>-89.06133069838495</v>
      </c>
      <c r="AF138" s="31" t="str">
        <f t="shared" si="104"/>
        <v>-6627.51882264077</v>
      </c>
      <c r="AG138" s="31" t="str">
        <f t="shared" si="121"/>
        <v>995.817762032063i</v>
      </c>
      <c r="AH138" s="31">
        <f t="shared" si="122"/>
        <v>995.817762032063</v>
      </c>
      <c r="AI138" s="31">
        <f t="shared" si="123"/>
        <v>1.5707963267948966</v>
      </c>
      <c r="AJ138" s="31" t="str">
        <f t="shared" si="105"/>
        <v>0.999881656129169+0.486103461447141i</v>
      </c>
      <c r="AK138" s="31">
        <f t="shared" si="124"/>
        <v>1.1117823085004104</v>
      </c>
      <c r="AL138" s="31">
        <f t="shared" si="125"/>
        <v>0.45251523848202163</v>
      </c>
      <c r="AM138" s="31" t="str">
        <f t="shared" si="106"/>
        <v>1+0.577504594735255i</v>
      </c>
      <c r="AN138" s="31">
        <f t="shared" si="126"/>
        <v>1.1547777088861437</v>
      </c>
      <c r="AO138" s="31">
        <f t="shared" si="127"/>
        <v>0.52371451202292651</v>
      </c>
      <c r="AP138" s="31" t="str">
        <f t="shared" si="107"/>
        <v>1+0.466042712631005i</v>
      </c>
      <c r="AQ138" s="31">
        <f t="shared" si="128"/>
        <v>1.1032659742765865</v>
      </c>
      <c r="AR138" s="31">
        <f t="shared" si="129"/>
        <v>0.43611466630319773</v>
      </c>
      <c r="AS138" s="58" t="str">
        <f t="shared" si="130"/>
        <v>-3.70523194899204+6.6660342896189i</v>
      </c>
      <c r="AT138" s="49">
        <f t="shared" si="131"/>
        <v>17.64659917641325</v>
      </c>
      <c r="AU138" s="61">
        <f t="shared" si="132"/>
        <v>119.06694764122081</v>
      </c>
      <c r="AV138" s="58" t="str">
        <f t="shared" si="108"/>
        <v>188.887574145331+109.078983086448i</v>
      </c>
      <c r="AW138" s="64">
        <f t="shared" si="133"/>
        <v>46.773946824685559</v>
      </c>
      <c r="AX138" s="61">
        <f t="shared" si="134"/>
        <v>30.005616942835783</v>
      </c>
    </row>
    <row r="139" spans="14:50" x14ac:dyDescent="0.35">
      <c r="N139" s="10">
        <v>21</v>
      </c>
      <c r="O139" s="50">
        <f t="shared" si="135"/>
        <v>162.18100973589304</v>
      </c>
      <c r="P139" s="48" t="str">
        <f t="shared" si="99"/>
        <v>547.187404092767</v>
      </c>
      <c r="Q139" s="17" t="str">
        <f t="shared" si="100"/>
        <v>1+19.5429751601217i</v>
      </c>
      <c r="R139" s="17">
        <f t="shared" si="110"/>
        <v>19.568543075792171</v>
      </c>
      <c r="S139" s="17">
        <f t="shared" si="111"/>
        <v>1.5196716338952134</v>
      </c>
      <c r="T139" s="17" t="str">
        <f t="shared" si="101"/>
        <v>1+0.000369790952399339i</v>
      </c>
      <c r="U139" s="17">
        <f t="shared" si="112"/>
        <v>1.0000000683726717</v>
      </c>
      <c r="V139" s="17">
        <f t="shared" si="113"/>
        <v>3.6979093554360954E-4</v>
      </c>
      <c r="W139" s="31" t="str">
        <f t="shared" si="102"/>
        <v>1-0.0064215115721482i</v>
      </c>
      <c r="X139" s="17">
        <f t="shared" si="114"/>
        <v>1.000020617692891</v>
      </c>
      <c r="Y139" s="17">
        <f t="shared" si="115"/>
        <v>-6.4214233089197213E-3</v>
      </c>
      <c r="Z139" s="31" t="str">
        <f t="shared" si="103"/>
        <v>0.9999913048992+0.0307247894728585i</v>
      </c>
      <c r="AA139" s="17">
        <f t="shared" si="116"/>
        <v>1.0004632040021042</v>
      </c>
      <c r="AB139" s="17">
        <f t="shared" si="117"/>
        <v>3.0715393653774813E-2</v>
      </c>
      <c r="AC139" s="66" t="str">
        <f t="shared" si="118"/>
        <v>0.401286374586466-27.9473540999359i</v>
      </c>
      <c r="AD139" s="64">
        <f t="shared" si="119"/>
        <v>28.927709248335205</v>
      </c>
      <c r="AE139" s="61">
        <f t="shared" si="120"/>
        <v>-89.177366284549123</v>
      </c>
      <c r="AF139" s="31" t="str">
        <f t="shared" si="104"/>
        <v>-6627.51882264077</v>
      </c>
      <c r="AG139" s="31" t="str">
        <f t="shared" si="121"/>
        <v>1019.01333747611i</v>
      </c>
      <c r="AH139" s="31">
        <f t="shared" si="122"/>
        <v>1019.01333747611</v>
      </c>
      <c r="AI139" s="31">
        <f t="shared" si="123"/>
        <v>1.5707963267948966</v>
      </c>
      <c r="AJ139" s="31" t="str">
        <f t="shared" si="105"/>
        <v>0.999876078754366+0.497426265622277i</v>
      </c>
      <c r="AK139" s="31">
        <f t="shared" si="124"/>
        <v>1.1167744009405531</v>
      </c>
      <c r="AL139" s="31">
        <f t="shared" si="125"/>
        <v>0.46163592225599559</v>
      </c>
      <c r="AM139" s="31" t="str">
        <f t="shared" si="106"/>
        <v>1+0.590956404802521i</v>
      </c>
      <c r="AN139" s="31">
        <f t="shared" si="126"/>
        <v>1.1615633742405624</v>
      </c>
      <c r="AO139" s="31">
        <f t="shared" si="127"/>
        <v>0.53374325970951819</v>
      </c>
      <c r="AP139" s="31" t="str">
        <f t="shared" si="107"/>
        <v>1+0.476898241938819i</v>
      </c>
      <c r="AQ139" s="31">
        <f t="shared" si="128"/>
        <v>1.1078952717492463</v>
      </c>
      <c r="AR139" s="31">
        <f t="shared" si="129"/>
        <v>0.44499599166240794</v>
      </c>
      <c r="AS139" s="58" t="str">
        <f t="shared" si="130"/>
        <v>-3.7050523153716+6.51469945014356i</v>
      </c>
      <c r="AT139" s="49">
        <f t="shared" si="131"/>
        <v>17.494945393336788</v>
      </c>
      <c r="AU139" s="61">
        <f t="shared" si="132"/>
        <v>119.6278383305072</v>
      </c>
      <c r="AV139" s="58" t="str">
        <f t="shared" si="108"/>
        <v>180.581825376531+106.160669140346i</v>
      </c>
      <c r="AW139" s="64">
        <f t="shared" si="133"/>
        <v>46.42265464167199</v>
      </c>
      <c r="AX139" s="61">
        <f t="shared" si="134"/>
        <v>30.450472045958115</v>
      </c>
    </row>
    <row r="140" spans="14:50" x14ac:dyDescent="0.35">
      <c r="N140" s="10">
        <v>22</v>
      </c>
      <c r="O140" s="50">
        <f t="shared" si="135"/>
        <v>165.95869074375622</v>
      </c>
      <c r="P140" s="48" t="str">
        <f t="shared" si="99"/>
        <v>547.187404092767</v>
      </c>
      <c r="Q140" s="17" t="str">
        <f t="shared" si="100"/>
        <v>1+19.9981895296695i</v>
      </c>
      <c r="R140" s="17">
        <f t="shared" si="110"/>
        <v>20.023176183227847</v>
      </c>
      <c r="S140" s="17">
        <f t="shared" si="111"/>
        <v>1.5208334157766279</v>
      </c>
      <c r="T140" s="17" t="str">
        <f t="shared" si="101"/>
        <v>1+0.000378404490199071i</v>
      </c>
      <c r="U140" s="17">
        <f t="shared" si="112"/>
        <v>1.0000000715949764</v>
      </c>
      <c r="V140" s="17">
        <f t="shared" si="113"/>
        <v>3.7840447213783148E-4</v>
      </c>
      <c r="W140" s="31" t="str">
        <f t="shared" si="102"/>
        <v>1-0.00657108779162904i</v>
      </c>
      <c r="X140" s="17">
        <f t="shared" si="114"/>
        <v>1.0000215893643323</v>
      </c>
      <c r="Y140" s="17">
        <f t="shared" si="115"/>
        <v>-6.5709932159860561E-3</v>
      </c>
      <c r="Z140" s="31" t="str">
        <f t="shared" si="103"/>
        <v>0.999990895111724+0.0314404617568777i</v>
      </c>
      <c r="AA140" s="17">
        <f t="shared" si="116"/>
        <v>1.0004850288444265</v>
      </c>
      <c r="AB140" s="17">
        <f t="shared" si="117"/>
        <v>3.1430394218905804E-2</v>
      </c>
      <c r="AC140" s="66" t="str">
        <f t="shared" si="118"/>
        <v>0.337057147807217-27.3129663147376i</v>
      </c>
      <c r="AD140" s="64">
        <f t="shared" si="119"/>
        <v>28.728038715498169</v>
      </c>
      <c r="AE140" s="61">
        <f t="shared" si="120"/>
        <v>-89.292974202923943</v>
      </c>
      <c r="AF140" s="31" t="str">
        <f t="shared" si="104"/>
        <v>-6627.51882264077</v>
      </c>
      <c r="AG140" s="31" t="str">
        <f t="shared" si="121"/>
        <v>1042.74920727993i</v>
      </c>
      <c r="AH140" s="31">
        <f t="shared" si="122"/>
        <v>1042.74920727993</v>
      </c>
      <c r="AI140" s="31">
        <f t="shared" si="123"/>
        <v>1.5707963267948966</v>
      </c>
      <c r="AJ140" s="31" t="str">
        <f t="shared" si="105"/>
        <v>0.999870238525986+0.509012811787661i</v>
      </c>
      <c r="AK140" s="31">
        <f t="shared" si="124"/>
        <v>1.1219779572050392</v>
      </c>
      <c r="AL140" s="31">
        <f t="shared" si="125"/>
        <v>0.47088429831516487</v>
      </c>
      <c r="AM140" s="31" t="str">
        <f t="shared" si="106"/>
        <v>1+0.60472154777785i</v>
      </c>
      <c r="AN140" s="31">
        <f t="shared" si="126"/>
        <v>1.1686266086080868</v>
      </c>
      <c r="AO140" s="31">
        <f t="shared" si="127"/>
        <v>0.5438839960191314</v>
      </c>
      <c r="AP140" s="31" t="str">
        <f t="shared" si="107"/>
        <v>1+0.488006629007007i</v>
      </c>
      <c r="AQ140" s="31">
        <f t="shared" si="128"/>
        <v>1.1127220991580884</v>
      </c>
      <c r="AR140" s="31">
        <f t="shared" si="129"/>
        <v>0.45400695990624262</v>
      </c>
      <c r="AS140" s="58" t="str">
        <f t="shared" si="130"/>
        <v>-3.70486761874941+6.36681210196273i</v>
      </c>
      <c r="AT140" s="49">
        <f t="shared" si="131"/>
        <v>17.344985215861634</v>
      </c>
      <c r="AU140" s="61">
        <f t="shared" si="132"/>
        <v>120.1952572563611</v>
      </c>
      <c r="AV140" s="58" t="str">
        <f t="shared" si="108"/>
        <v>172.647772360593+103.336903999177i</v>
      </c>
      <c r="AW140" s="64">
        <f t="shared" si="133"/>
        <v>46.073023931359813</v>
      </c>
      <c r="AX140" s="61">
        <f t="shared" si="134"/>
        <v>30.902283053437191</v>
      </c>
    </row>
    <row r="141" spans="14:50" x14ac:dyDescent="0.35">
      <c r="N141" s="10">
        <v>23</v>
      </c>
      <c r="O141" s="50">
        <f t="shared" si="135"/>
        <v>169.82436524617444</v>
      </c>
      <c r="P141" s="48" t="str">
        <f t="shared" si="99"/>
        <v>547.187404092767</v>
      </c>
      <c r="Q141" s="17" t="str">
        <f t="shared" si="100"/>
        <v>1+20.4640072040131i</v>
      </c>
      <c r="R141" s="17">
        <f t="shared" si="110"/>
        <v>20.488425777640895</v>
      </c>
      <c r="S141" s="17">
        <f t="shared" si="111"/>
        <v>1.5219688827236206</v>
      </c>
      <c r="T141" s="17" t="str">
        <f t="shared" si="101"/>
        <v>1+0.000387218663068279i</v>
      </c>
      <c r="U141" s="17">
        <f t="shared" si="112"/>
        <v>1.0000000749691438</v>
      </c>
      <c r="V141" s="17">
        <f t="shared" si="113"/>
        <v>3.8721864371531227E-4</v>
      </c>
      <c r="W141" s="31" t="str">
        <f t="shared" si="102"/>
        <v>1-0.00672414808883559i</v>
      </c>
      <c r="X141" s="17">
        <f t="shared" si="114"/>
        <v>1.0000226068282261</v>
      </c>
      <c r="Y141" s="17">
        <f t="shared" si="115"/>
        <v>-6.7240467493320574E-3</v>
      </c>
      <c r="Z141" s="31" t="str">
        <f t="shared" si="103"/>
        <v>0.99999046601156+0.0321728041898839i</v>
      </c>
      <c r="AA141" s="17">
        <f t="shared" si="116"/>
        <v>1.0005078817497928</v>
      </c>
      <c r="AB141" s="17">
        <f t="shared" si="117"/>
        <v>3.216201692429646E-2</v>
      </c>
      <c r="AC141" s="66" t="str">
        <f t="shared" si="118"/>
        <v>0.275708740075999-26.692771662762i</v>
      </c>
      <c r="AD141" s="64">
        <f t="shared" si="119"/>
        <v>28.528336741461228</v>
      </c>
      <c r="AE141" s="61">
        <f t="shared" si="120"/>
        <v>-89.408214866647057</v>
      </c>
      <c r="AF141" s="31" t="str">
        <f t="shared" si="104"/>
        <v>-6627.51882264077</v>
      </c>
      <c r="AG141" s="31" t="str">
        <f t="shared" si="121"/>
        <v>1067.03795651586i</v>
      </c>
      <c r="AH141" s="31">
        <f t="shared" si="122"/>
        <v>1067.0379565158601</v>
      </c>
      <c r="AI141" s="31">
        <f t="shared" si="123"/>
        <v>1.5707963267948966</v>
      </c>
      <c r="AJ141" s="31" t="str">
        <f t="shared" si="105"/>
        <v>0.999864123056123+0.520869243283436i</v>
      </c>
      <c r="AK141" s="31">
        <f t="shared" si="124"/>
        <v>1.1274010081481431</v>
      </c>
      <c r="AL141" s="31">
        <f t="shared" si="125"/>
        <v>0.48025895296091098</v>
      </c>
      <c r="AM141" s="31" t="str">
        <f t="shared" si="106"/>
        <v>1+0.618807322122243i</v>
      </c>
      <c r="AN141" s="31">
        <f t="shared" si="126"/>
        <v>1.175977253994354</v>
      </c>
      <c r="AO141" s="31">
        <f t="shared" si="127"/>
        <v>0.55413375465949555</v>
      </c>
      <c r="AP141" s="31" t="str">
        <f t="shared" si="107"/>
        <v>1+0.499373763649422i</v>
      </c>
      <c r="AQ141" s="31">
        <f t="shared" si="128"/>
        <v>1.1177540676827746</v>
      </c>
      <c r="AR141" s="31">
        <f t="shared" si="129"/>
        <v>0.46314649443581657</v>
      </c>
      <c r="AS141" s="58" t="str">
        <f t="shared" si="130"/>
        <v>-3.70467784615115+6.22229355208625i</v>
      </c>
      <c r="AT141" s="49">
        <f t="shared" si="131"/>
        <v>17.196757264983141</v>
      </c>
      <c r="AU141" s="61">
        <f t="shared" si="132"/>
        <v>120.7690537771464</v>
      </c>
      <c r="AV141" s="58" t="str">
        <f t="shared" si="108"/>
        <v>165.068848943165+100.603660547034i</v>
      </c>
      <c r="AW141" s="64">
        <f t="shared" si="133"/>
        <v>45.72509400644438</v>
      </c>
      <c r="AX141" s="61">
        <f t="shared" si="134"/>
        <v>31.36083891049924</v>
      </c>
    </row>
    <row r="142" spans="14:50" x14ac:dyDescent="0.35">
      <c r="N142" s="10">
        <v>24</v>
      </c>
      <c r="O142" s="50">
        <f t="shared" si="135"/>
        <v>173.78008287493768</v>
      </c>
      <c r="P142" s="48" t="str">
        <f t="shared" si="99"/>
        <v>547.187404092767</v>
      </c>
      <c r="Q142" s="17" t="str">
        <f t="shared" si="100"/>
        <v>1+20.9406751658495i</v>
      </c>
      <c r="R142" s="17">
        <f t="shared" si="110"/>
        <v>20.964538544924519</v>
      </c>
      <c r="S142" s="17">
        <f t="shared" si="111"/>
        <v>1.5230786250576185</v>
      </c>
      <c r="T142" s="17" t="str">
        <f t="shared" si="101"/>
        <v>1+0.000396238144398094i</v>
      </c>
      <c r="U142" s="17">
        <f t="shared" si="112"/>
        <v>1.0000000785023304</v>
      </c>
      <c r="V142" s="17">
        <f t="shared" si="113"/>
        <v>3.9623812366101663E-4</v>
      </c>
      <c r="W142" s="31" t="str">
        <f t="shared" si="102"/>
        <v>1-0.00688077361836351i</v>
      </c>
      <c r="X142" s="17">
        <f t="shared" si="114"/>
        <v>1.0000236722426061</v>
      </c>
      <c r="Y142" s="17">
        <f t="shared" si="115"/>
        <v>-6.8806650312679182E-3</v>
      </c>
      <c r="Z142" s="31" t="str">
        <f t="shared" si="103"/>
        <v>0.999990016688528+0.0329222050695292i</v>
      </c>
      <c r="AA142" s="17">
        <f t="shared" si="116"/>
        <v>1.0005318111201476</v>
      </c>
      <c r="AB142" s="17">
        <f t="shared" si="117"/>
        <v>3.2910646637966612E-2</v>
      </c>
      <c r="AC142" s="66" t="str">
        <f t="shared" si="118"/>
        <v>0.2171129244297-26.0864604963219i</v>
      </c>
      <c r="AD142" s="64">
        <f t="shared" si="119"/>
        <v>28.328603952069695</v>
      </c>
      <c r="AE142" s="61">
        <f t="shared" si="120"/>
        <v>-89.523148530158736</v>
      </c>
      <c r="AF142" s="31" t="str">
        <f t="shared" si="104"/>
        <v>-6627.51882264077</v>
      </c>
      <c r="AG142" s="31" t="str">
        <f t="shared" si="121"/>
        <v>1091.89246340026i</v>
      </c>
      <c r="AH142" s="31">
        <f t="shared" si="122"/>
        <v>1091.8924634002601</v>
      </c>
      <c r="AI142" s="31">
        <f t="shared" si="123"/>
        <v>1.5707963267948966</v>
      </c>
      <c r="AJ142" s="31" t="str">
        <f t="shared" si="105"/>
        <v>0.999857719373044+0.53300184654652i</v>
      </c>
      <c r="AK142" s="31">
        <f t="shared" si="124"/>
        <v>1.1330518202676632</v>
      </c>
      <c r="AL142" s="31">
        <f t="shared" si="125"/>
        <v>0.48975827732268645</v>
      </c>
      <c r="AM142" s="31" t="str">
        <f t="shared" si="106"/>
        <v>1+0.633221196299713i</v>
      </c>
      <c r="AN142" s="31">
        <f t="shared" si="126"/>
        <v>1.1836253982756704</v>
      </c>
      <c r="AO142" s="31">
        <f t="shared" si="127"/>
        <v>0.56448935524942656</v>
      </c>
      <c r="AP142" s="31" t="str">
        <f t="shared" si="107"/>
        <v>1+0.511005672871321i</v>
      </c>
      <c r="AQ142" s="31">
        <f t="shared" si="128"/>
        <v>1.1229990194593544</v>
      </c>
      <c r="AR142" s="31">
        <f t="shared" si="129"/>
        <v>0.47241333271419289</v>
      </c>
      <c r="AS142" s="58" t="str">
        <f t="shared" si="130"/>
        <v>-3.70448299493397+6.08106688942989i</v>
      </c>
      <c r="AT142" s="49">
        <f t="shared" si="131"/>
        <v>17.050299628024668</v>
      </c>
      <c r="AU142" s="61">
        <f t="shared" si="132"/>
        <v>121.34906551389832</v>
      </c>
      <c r="AV142" s="58" t="str">
        <f t="shared" si="108"/>
        <v>157.829220050074+97.957127522658i</v>
      </c>
      <c r="AW142" s="64">
        <f t="shared" si="133"/>
        <v>45.378903580094374</v>
      </c>
      <c r="AX142" s="61">
        <f t="shared" si="134"/>
        <v>31.825916983739564</v>
      </c>
    </row>
    <row r="143" spans="14:50" x14ac:dyDescent="0.35">
      <c r="N143" s="10">
        <v>25</v>
      </c>
      <c r="O143" s="50">
        <f t="shared" si="135"/>
        <v>177.82794100389242</v>
      </c>
      <c r="P143" s="48" t="str">
        <f t="shared" si="99"/>
        <v>547.187404092767</v>
      </c>
      <c r="Q143" s="17" t="str">
        <f t="shared" si="100"/>
        <v>1+21.4284461508415i</v>
      </c>
      <c r="R143" s="17">
        <f t="shared" si="110"/>
        <v>21.451766930477167</v>
      </c>
      <c r="S143" s="17">
        <f t="shared" si="111"/>
        <v>1.524163220239052</v>
      </c>
      <c r="T143" s="17" t="str">
        <f t="shared" si="101"/>
        <v>1+0.000405467716436901i</v>
      </c>
      <c r="U143" s="17">
        <f t="shared" si="112"/>
        <v>1.0000000822020312</v>
      </c>
      <c r="V143" s="17">
        <f t="shared" si="113"/>
        <v>4.0546769421672237E-4</v>
      </c>
      <c r="W143" s="31" t="str">
        <f t="shared" si="102"/>
        <v>1-0.00704104742514169i</v>
      </c>
      <c r="X143" s="17">
        <f t="shared" si="114"/>
        <v>1.0000247878672024</v>
      </c>
      <c r="Y143" s="17">
        <f t="shared" si="115"/>
        <v>-7.0409310721282281E-3</v>
      </c>
      <c r="Z143" s="31" t="str">
        <f t="shared" si="103"/>
        <v>0.999989546189553+0.0336890617380793i</v>
      </c>
      <c r="AA143" s="17">
        <f t="shared" si="116"/>
        <v>1.0005568676338092</v>
      </c>
      <c r="AB143" s="17">
        <f t="shared" si="117"/>
        <v>3.3676677027742241E-2</v>
      </c>
      <c r="AC143" s="66" t="str">
        <f t="shared" si="118"/>
        <v>0.161147145887002-25.4937292593788i</v>
      </c>
      <c r="AD143" s="64">
        <f t="shared" si="119"/>
        <v>28.128840908588721</v>
      </c>
      <c r="AE143" s="61">
        <f t="shared" si="120"/>
        <v>-89.637835317149012</v>
      </c>
      <c r="AF143" s="31" t="str">
        <f t="shared" si="104"/>
        <v>-6627.51882264077</v>
      </c>
      <c r="AG143" s="31" t="str">
        <f t="shared" si="121"/>
        <v>1117.32590612166i</v>
      </c>
      <c r="AH143" s="31">
        <f t="shared" si="122"/>
        <v>1117.32590612166</v>
      </c>
      <c r="AI143" s="31">
        <f t="shared" si="123"/>
        <v>1.5707963267948966</v>
      </c>
      <c r="AJ143" s="31" t="str">
        <f t="shared" si="105"/>
        <v>0.99985101389368+0.545417054443755i</v>
      </c>
      <c r="AK143" s="31">
        <f t="shared" si="124"/>
        <v>1.1389388979494561</v>
      </c>
      <c r="AL143" s="31">
        <f t="shared" si="125"/>
        <v>0.49938046284230531</v>
      </c>
      <c r="AM143" s="31" t="str">
        <f t="shared" si="106"/>
        <v>1+0.647970812737135i</v>
      </c>
      <c r="AN143" s="31">
        <f t="shared" si="126"/>
        <v>1.1915813753828244</v>
      </c>
      <c r="AO143" s="31">
        <f t="shared" si="127"/>
        <v>0.57494740397701116</v>
      </c>
      <c r="AP143" s="31" t="str">
        <f t="shared" si="107"/>
        <v>1+0.522908524064936i</v>
      </c>
      <c r="AQ143" s="31">
        <f t="shared" si="128"/>
        <v>1.1284650302688912</v>
      </c>
      <c r="AR143" s="31">
        <f t="shared" si="129"/>
        <v>0.48180602095356961</v>
      </c>
      <c r="AS143" s="58" t="str">
        <f t="shared" si="130"/>
        <v>-3.70428307336341+5.94305694467901i</v>
      </c>
      <c r="AT143" s="49">
        <f t="shared" si="131"/>
        <v>16.905649755532835</v>
      </c>
      <c r="AU143" s="61">
        <f t="shared" si="132"/>
        <v>121.93511834236348</v>
      </c>
      <c r="AV143" s="58" t="str">
        <f t="shared" si="108"/>
        <v>150.913750075888+95.3936964369053i</v>
      </c>
      <c r="AW143" s="64">
        <f t="shared" si="133"/>
        <v>45.034490664121563</v>
      </c>
      <c r="AX143" s="61">
        <f t="shared" si="134"/>
        <v>32.297283025214419</v>
      </c>
    </row>
    <row r="144" spans="14:50" x14ac:dyDescent="0.35">
      <c r="N144" s="10">
        <v>26</v>
      </c>
      <c r="O144" s="50">
        <f t="shared" si="135"/>
        <v>181.9700858609983</v>
      </c>
      <c r="P144" s="48" t="str">
        <f t="shared" si="99"/>
        <v>547.187404092767</v>
      </c>
      <c r="Q144" s="17" t="str">
        <f t="shared" si="100"/>
        <v>1+21.9275787816215i</v>
      </c>
      <c r="R144" s="17">
        <f t="shared" si="110"/>
        <v>21.950369273071864</v>
      </c>
      <c r="S144" s="17">
        <f t="shared" si="111"/>
        <v>1.5252232331219584</v>
      </c>
      <c r="T144" s="17" t="str">
        <f t="shared" si="101"/>
        <v>1+0.000414912272825957i</v>
      </c>
      <c r="U144" s="17">
        <f t="shared" si="112"/>
        <v>1.0000000860760934</v>
      </c>
      <c r="V144" s="17">
        <f t="shared" si="113"/>
        <v>4.1491224901660673E-4</v>
      </c>
      <c r="W144" s="31" t="str">
        <f t="shared" si="102"/>
        <v>1-0.00720505448846389i</v>
      </c>
      <c r="X144" s="17">
        <f t="shared" si="114"/>
        <v>1.0000259560682321</v>
      </c>
      <c r="Y144" s="17">
        <f t="shared" si="115"/>
        <v>-7.2049298141385141E-3</v>
      </c>
      <c r="Z144" s="31" t="str">
        <f t="shared" si="103"/>
        <v>0.999989053516645+0.0344737807930899i</v>
      </c>
      <c r="AA144" s="17">
        <f t="shared" si="116"/>
        <v>1.0005831043522999</v>
      </c>
      <c r="AB144" s="17">
        <f t="shared" si="117"/>
        <v>3.4460510754481671E-2</v>
      </c>
      <c r="AC144" s="66" t="str">
        <f t="shared" si="118"/>
        <v>0.107694276046377-24.9142804103593i</v>
      </c>
      <c r="AD144" s="64">
        <f t="shared" si="119"/>
        <v>27.929048108847574</v>
      </c>
      <c r="AE144" s="61">
        <f t="shared" si="120"/>
        <v>-89.752335248584458</v>
      </c>
      <c r="AF144" s="31" t="str">
        <f t="shared" si="104"/>
        <v>-6627.51882264077</v>
      </c>
      <c r="AG144" s="31" t="str">
        <f t="shared" si="121"/>
        <v>1143.35176982803i</v>
      </c>
      <c r="AH144" s="31">
        <f t="shared" si="122"/>
        <v>1143.35176982803</v>
      </c>
      <c r="AI144" s="31">
        <f t="shared" si="123"/>
        <v>1.5707963267948966</v>
      </c>
      <c r="AJ144" s="31" t="str">
        <f t="shared" si="105"/>
        <v>0.99984399239481+0.558121449682705i</v>
      </c>
      <c r="AK144" s="31">
        <f t="shared" si="124"/>
        <v>1.1450709854519576</v>
      </c>
      <c r="AL144" s="31">
        <f t="shared" si="125"/>
        <v>0.50912349727561845</v>
      </c>
      <c r="AM144" s="31" t="str">
        <f t="shared" si="106"/>
        <v>1+0.66306399187637i</v>
      </c>
      <c r="AN144" s="31">
        <f t="shared" si="126"/>
        <v>1.1998557652163975</v>
      </c>
      <c r="AO144" s="31">
        <f t="shared" si="127"/>
        <v>0.58550429514679558</v>
      </c>
      <c r="AP144" s="31" t="str">
        <f t="shared" si="107"/>
        <v>1+0.535088628279517i</v>
      </c>
      <c r="AQ144" s="31">
        <f t="shared" si="128"/>
        <v>1.1341604119850308</v>
      </c>
      <c r="AR144" s="31">
        <f t="shared" si="129"/>
        <v>0.49132290922012273</v>
      </c>
      <c r="AS144" s="58" t="str">
        <f t="shared" si="130"/>
        <v>-3.70407810116607+5.80819025113758i</v>
      </c>
      <c r="AT144" s="49">
        <f t="shared" si="131"/>
        <v>16.762844356281949</v>
      </c>
      <c r="AU144" s="61">
        <f t="shared" si="132"/>
        <v>122.52702643026254</v>
      </c>
      <c r="AV144" s="58" t="str">
        <f t="shared" si="108"/>
        <v>144.307972584033+92.9099493185586i</v>
      </c>
      <c r="AW144" s="64">
        <f t="shared" si="133"/>
        <v>44.691892465129541</v>
      </c>
      <c r="AX144" s="61">
        <f t="shared" si="134"/>
        <v>32.774691181678016</v>
      </c>
    </row>
    <row r="145" spans="14:50" x14ac:dyDescent="0.35">
      <c r="N145" s="10">
        <v>27</v>
      </c>
      <c r="O145" s="50">
        <f t="shared" si="135"/>
        <v>186.20871366628685</v>
      </c>
      <c r="P145" s="48" t="str">
        <f t="shared" si="99"/>
        <v>547.187404092767</v>
      </c>
      <c r="Q145" s="17" t="str">
        <f t="shared" si="100"/>
        <v>1+22.4383377049174i</v>
      </c>
      <c r="R145" s="17">
        <f t="shared" si="110"/>
        <v>22.460609941849704</v>
      </c>
      <c r="S145" s="17">
        <f t="shared" si="111"/>
        <v>1.5262592162053037</v>
      </c>
      <c r="T145" s="17" t="str">
        <f t="shared" si="101"/>
        <v>1+0.000424576821194082i</v>
      </c>
      <c r="U145" s="17">
        <f t="shared" si="112"/>
        <v>1.0000000901327344</v>
      </c>
      <c r="V145" s="17">
        <f t="shared" si="113"/>
        <v>4.2457679568190369E-4</v>
      </c>
      <c r="W145" s="31" t="str">
        <f t="shared" si="102"/>
        <v>1-0.00737288176704609i</v>
      </c>
      <c r="X145" s="17">
        <f t="shared" si="114"/>
        <v>1.0000271793234177</v>
      </c>
      <c r="Y145" s="17">
        <f t="shared" si="115"/>
        <v>-7.3727481762956779E-3</v>
      </c>
      <c r="Z145" s="31" t="str">
        <f t="shared" si="103"/>
        <v>0.999988537624778+0.0352767783029918i</v>
      </c>
      <c r="AA145" s="17">
        <f t="shared" si="116"/>
        <v>1.0006105768321563</v>
      </c>
      <c r="AB145" s="17">
        <f t="shared" si="117"/>
        <v>3.5262559668969448E-2</v>
      </c>
      <c r="AC145" s="66" t="str">
        <f t="shared" si="118"/>
        <v>0.0566423779254965-24.347822342689i</v>
      </c>
      <c r="AD145" s="64">
        <f t="shared" si="119"/>
        <v>27.729225988254896</v>
      </c>
      <c r="AE145" s="61">
        <f t="shared" si="120"/>
        <v>-89.86670827081187</v>
      </c>
      <c r="AF145" s="31" t="str">
        <f t="shared" si="104"/>
        <v>-6627.51882264077</v>
      </c>
      <c r="AG145" s="31" t="str">
        <f t="shared" si="121"/>
        <v>1169.98385377682i</v>
      </c>
      <c r="AH145" s="31">
        <f t="shared" si="122"/>
        <v>1169.9838537768201</v>
      </c>
      <c r="AI145" s="31">
        <f t="shared" si="123"/>
        <v>1.5707963267948966</v>
      </c>
      <c r="AJ145" s="31" t="str">
        <f t="shared" si="105"/>
        <v>0.999836639982892+0.571121768301888i</v>
      </c>
      <c r="AK145" s="31">
        <f t="shared" si="124"/>
        <v>1.1514570686224279</v>
      </c>
      <c r="AL145" s="31">
        <f t="shared" si="125"/>
        <v>0.51898516126693051</v>
      </c>
      <c r="AM145" s="31" t="str">
        <f t="shared" si="106"/>
        <v>1+0.678508736320792i</v>
      </c>
      <c r="AN145" s="31">
        <f t="shared" si="126"/>
        <v>1.2084593933035723</v>
      </c>
      <c r="AO145" s="31">
        <f t="shared" si="127"/>
        <v>0.59615621365014071</v>
      </c>
      <c r="AP145" s="31" t="str">
        <f t="shared" si="107"/>
        <v>1+0.547552443567551i</v>
      </c>
      <c r="AQ145" s="31">
        <f t="shared" si="128"/>
        <v>1.1400937147694465</v>
      </c>
      <c r="AR145" s="31">
        <f t="shared" si="129"/>
        <v>0.50096214701140429</v>
      </c>
      <c r="AS145" s="58" t="str">
        <f t="shared" si="130"/>
        <v>-3.70386811005174+5.67639500654156i</v>
      </c>
      <c r="AT145" s="49">
        <f t="shared" si="131"/>
        <v>16.621919290905137</v>
      </c>
      <c r="AU145" s="61">
        <f t="shared" si="132"/>
        <v>123.12459232170666</v>
      </c>
      <c r="AV145" s="58" t="str">
        <f t="shared" si="108"/>
        <v>137.998061268925+90.502647235506i</v>
      </c>
      <c r="AW145" s="64">
        <f t="shared" si="133"/>
        <v>44.351145279160022</v>
      </c>
      <c r="AX145" s="61">
        <f t="shared" si="134"/>
        <v>33.257884050894816</v>
      </c>
    </row>
    <row r="146" spans="14:50" x14ac:dyDescent="0.35">
      <c r="N146" s="10">
        <v>28</v>
      </c>
      <c r="O146" s="50">
        <f t="shared" si="135"/>
        <v>190.54607179632498</v>
      </c>
      <c r="P146" s="48" t="str">
        <f t="shared" si="99"/>
        <v>547.187404092767</v>
      </c>
      <c r="Q146" s="17" t="str">
        <f t="shared" si="100"/>
        <v>1+22.9609937318712i</v>
      </c>
      <c r="R146" s="17">
        <f t="shared" si="110"/>
        <v>22.982759476508225</v>
      </c>
      <c r="S146" s="17">
        <f t="shared" si="111"/>
        <v>1.5272717098809281</v>
      </c>
      <c r="T146" s="17" t="str">
        <f t="shared" si="101"/>
        <v>1+0.000434466485812747i</v>
      </c>
      <c r="U146" s="17">
        <f t="shared" si="112"/>
        <v>1.0000000943805591</v>
      </c>
      <c r="V146" s="17">
        <f t="shared" si="113"/>
        <v>4.3446645847595555E-4</v>
      </c>
      <c r="W146" s="31" t="str">
        <f t="shared" si="102"/>
        <v>1-0.00754461824513286i</v>
      </c>
      <c r="X146" s="17">
        <f t="shared" si="114"/>
        <v>1.00002846022724</v>
      </c>
      <c r="Y146" s="17">
        <f t="shared" si="115"/>
        <v>-7.5444751002848136E-3</v>
      </c>
      <c r="Z146" s="31" t="str">
        <f t="shared" si="103"/>
        <v>0.999987997419677+0.0360984800276935i</v>
      </c>
      <c r="AA146" s="17">
        <f t="shared" si="116"/>
        <v>1.0006393432419725</v>
      </c>
      <c r="AB146" s="17">
        <f t="shared" si="117"/>
        <v>3.6083245012498842E-2</v>
      </c>
      <c r="AC146" s="66" t="str">
        <f t="shared" si="118"/>
        <v>0.00788448065353337-23.7940693033595i</v>
      </c>
      <c r="AD146" s="64">
        <f t="shared" si="119"/>
        <v>27.529374920688198</v>
      </c>
      <c r="AE146" s="61">
        <f t="shared" si="120"/>
        <v>-89.981014283735732</v>
      </c>
      <c r="AF146" s="31" t="str">
        <f t="shared" si="104"/>
        <v>-6627.51882264077</v>
      </c>
      <c r="AG146" s="31" t="str">
        <f t="shared" si="121"/>
        <v>1197.23627865146i</v>
      </c>
      <c r="AH146" s="31">
        <f t="shared" si="122"/>
        <v>1197.23627865146</v>
      </c>
      <c r="AI146" s="31">
        <f t="shared" si="123"/>
        <v>1.5707963267948966</v>
      </c>
      <c r="AJ146" s="31" t="str">
        <f t="shared" si="105"/>
        <v>0.999828941062476+0.584424903242315i</v>
      </c>
      <c r="AK146" s="31">
        <f t="shared" si="124"/>
        <v>1.1581063763385042</v>
      </c>
      <c r="AL146" s="31">
        <f t="shared" si="125"/>
        <v>0.52896302555101271</v>
      </c>
      <c r="AM146" s="31" t="str">
        <f t="shared" si="106"/>
        <v>1+0.694313235078342i</v>
      </c>
      <c r="AN146" s="31">
        <f t="shared" si="126"/>
        <v>1.2174033302094065</v>
      </c>
      <c r="AO146" s="31">
        <f t="shared" si="127"/>
        <v>0.60689913838691778</v>
      </c>
      <c r="AP146" s="31" t="str">
        <f t="shared" si="107"/>
        <v>1+0.560306578408882i</v>
      </c>
      <c r="AQ146" s="31">
        <f t="shared" si="128"/>
        <v>1.1462737290055411</v>
      </c>
      <c r="AR146" s="31">
        <f t="shared" si="129"/>
        <v>0.51072167936165902</v>
      </c>
      <c r="AS146" s="58" t="str">
        <f t="shared" si="130"/>
        <v>-3.70365314419801+5.54760103581599i</v>
      </c>
      <c r="AT146" s="49">
        <f t="shared" si="131"/>
        <v>16.482909464709234</v>
      </c>
      <c r="AU146" s="61">
        <f t="shared" si="132"/>
        <v>123.72760707040943</v>
      </c>
      <c r="AV146" s="58" t="str">
        <f t="shared" si="108"/>
        <v>131.970802132032+88.1687195416932i</v>
      </c>
      <c r="AW146" s="64">
        <f t="shared" si="133"/>
        <v>44.012284385397436</v>
      </c>
      <c r="AX146" s="61">
        <f t="shared" si="134"/>
        <v>33.746592786673659</v>
      </c>
    </row>
    <row r="147" spans="14:50" x14ac:dyDescent="0.35">
      <c r="N147" s="10">
        <v>29</v>
      </c>
      <c r="O147" s="50">
        <f t="shared" si="135"/>
        <v>194.98445997580458</v>
      </c>
      <c r="P147" s="48" t="str">
        <f t="shared" ref="P147:P210" si="136">COMPLEX(Adc,0)</f>
        <v>547.187404092767</v>
      </c>
      <c r="Q147" s="17" t="str">
        <f t="shared" ref="Q147:Q210" si="137">IMSUM(COMPLEX(1,0),IMDIV(COMPLEX(0,2*PI()*O147),COMPLEX(wp_lf,0)))</f>
        <v>1+23.4958239816259i</v>
      </c>
      <c r="R147" s="17">
        <f t="shared" si="110"/>
        <v>23.517094730760149</v>
      </c>
      <c r="S147" s="17">
        <f t="shared" si="111"/>
        <v>1.5282612426780411</v>
      </c>
      <c r="T147" s="17" t="str">
        <f t="shared" ref="T147:T210" si="138">IMSUM(COMPLEX(1,0),IMDIV(COMPLEX(0,2*PI()*O147),COMPLEX(wz_esr,0)))</f>
        <v>1+0.000444586510313027i</v>
      </c>
      <c r="U147" s="17">
        <f t="shared" si="112"/>
        <v>1.0000000988285778</v>
      </c>
      <c r="V147" s="17">
        <f t="shared" si="113"/>
        <v>4.4458648102112735E-4</v>
      </c>
      <c r="W147" s="31" t="str">
        <f t="shared" ref="W147:W210" si="139">IMSUB(COMPLEX(1,0),IMDIV(COMPLEX(0,2*PI()*O147),COMPLEX(wz_rhp,0)))</f>
        <v>1-0.00772035497967794i</v>
      </c>
      <c r="X147" s="17">
        <f t="shared" si="114"/>
        <v>1.0000298014964415</v>
      </c>
      <c r="Y147" s="17">
        <f t="shared" si="115"/>
        <v>-7.7202015974566808E-3</v>
      </c>
      <c r="Z147" s="31" t="str">
        <f t="shared" ref="Z147:Z210" si="140">IMSUM(COMPLEX(1,0),IMDIV(COMPLEX(0,2*PI()*O147),COMPLEX(Q*(wsl/2),0)),IMDIV(IMPOWER(COMPLEX(0,2*PI()*O147),2),IMPOWER(COMPLEX(wsl/2,0),2)))</f>
        <v>0.999987431755494+0.0369393216443253i</v>
      </c>
      <c r="AA147" s="17">
        <f t="shared" si="116"/>
        <v>1.0006694644848975</v>
      </c>
      <c r="AB147" s="17">
        <f t="shared" si="117"/>
        <v>3.6922997621172987E-2</v>
      </c>
      <c r="AC147" s="66" t="str">
        <f t="shared" si="118"/>
        <v>-0.0386816363614297-23.2527413098123i</v>
      </c>
      <c r="AD147" s="64">
        <f t="shared" si="119"/>
        <v>27.329495219258</v>
      </c>
      <c r="AE147" s="61">
        <f t="shared" si="120"/>
        <v>-90.095313169068362</v>
      </c>
      <c r="AF147" s="31" t="str">
        <f t="shared" ref="AF147:AF210" si="141">COMPLEX(Adc_ea_iso,0)</f>
        <v>-6627.51882264077</v>
      </c>
      <c r="AG147" s="31" t="str">
        <f t="shared" si="121"/>
        <v>1225.12349404832i</v>
      </c>
      <c r="AH147" s="31">
        <f t="shared" si="122"/>
        <v>1225.12349404832</v>
      </c>
      <c r="AI147" s="31">
        <f t="shared" si="123"/>
        <v>1.5707963267948966</v>
      </c>
      <c r="AJ147" s="31" t="str">
        <f t="shared" ref="AJ147:AJ210" si="142">IMSUM(IMPRODUCT(COMPLEX(wpA_ea_iso,0),IMPOWER(COMPLEX(0,2*PI()*O147),2)),COMPLEX(0,wpB_ea_iso*2*PI()*O147),COMPLEX(1,0))</f>
        <v>0.99982087930312+0.598037908002218i</v>
      </c>
      <c r="AK147" s="31">
        <f t="shared" si="124"/>
        <v>1.1650283816706499</v>
      </c>
      <c r="AL147" s="31">
        <f t="shared" si="125"/>
        <v>0.5390544488363409</v>
      </c>
      <c r="AM147" s="31" t="str">
        <f t="shared" ref="AM147:AM210" si="143">IMSUM(COMPLEX(1,0),IMDIV(COMPLEX(0,2*PI()*O147),COMPLEX(wz1_ea_iso,0)))</f>
        <v>1+0.710485867903443i</v>
      </c>
      <c r="AN147" s="31">
        <f t="shared" si="126"/>
        <v>1.226698890718708</v>
      </c>
      <c r="AO147" s="31">
        <f t="shared" si="127"/>
        <v>0.61772884666016903</v>
      </c>
      <c r="AP147" s="31" t="str">
        <f t="shared" ref="AP147:AP210" si="144">IMSUM(COMPLEX(1,0),IMDIV(COMPLEX(0,2*PI()*O147),COMPLEX(wz2_ea_iso,0)))</f>
        <v>1+0.573357795214613i</v>
      </c>
      <c r="AQ147" s="31">
        <f t="shared" si="128"/>
        <v>1.1527094869625052</v>
      </c>
      <c r="AR147" s="31">
        <f t="shared" si="129"/>
        <v>0.52059924353043696</v>
      </c>
      <c r="AS147" s="58" t="str">
        <f t="shared" si="130"/>
        <v>-3.7034332606915+5.42173975475301i</v>
      </c>
      <c r="AT147" s="49">
        <f t="shared" si="131"/>
        <v>16.345848720264733</v>
      </c>
      <c r="AU147" s="61">
        <f t="shared" si="132"/>
        <v>124.33585042303586</v>
      </c>
      <c r="AV147" s="58" t="str">
        <f t="shared" ref="AV147:AV210" si="145">IMPRODUCT(AC147,AS147)</f>
        <v>126.213566825076+85.9052538033744i</v>
      </c>
      <c r="AW147" s="64">
        <f t="shared" si="133"/>
        <v>43.675343939522747</v>
      </c>
      <c r="AX147" s="61">
        <f t="shared" si="134"/>
        <v>34.240537253967453</v>
      </c>
    </row>
    <row r="148" spans="14:50" x14ac:dyDescent="0.35">
      <c r="N148" s="10">
        <v>30</v>
      </c>
      <c r="O148" s="50">
        <f t="shared" si="135"/>
        <v>199.52623149688802</v>
      </c>
      <c r="P148" s="48" t="str">
        <f t="shared" si="136"/>
        <v>547.187404092767</v>
      </c>
      <c r="Q148" s="17" t="str">
        <f t="shared" si="137"/>
        <v>1+24.04311202826i</v>
      </c>
      <c r="R148" s="17">
        <f t="shared" ref="R148:R211" si="146">IMABS(Q148)</f>
        <v>24.063899019141946</v>
      </c>
      <c r="S148" s="17">
        <f t="shared" ref="S148:S211" si="147">IMARGUMENT(Q148)</f>
        <v>1.5292283315042086</v>
      </c>
      <c r="T148" s="17" t="str">
        <f t="shared" si="138"/>
        <v>1+0.000454942260465876i</v>
      </c>
      <c r="U148" s="17">
        <f t="shared" ref="U148:U211" si="148">IMABS(T148)</f>
        <v>1.0000001034862247</v>
      </c>
      <c r="V148" s="17">
        <f t="shared" ref="V148:V211" si="149">IMARGUMENT(T148)</f>
        <v>4.549422290790402E-4</v>
      </c>
      <c r="W148" s="31" t="str">
        <f t="shared" si="139"/>
        <v>1-0.00790018514862427i</v>
      </c>
      <c r="X148" s="17">
        <f t="shared" ref="X148:X211" si="150">IMABS(W148)</f>
        <v>1.0000312059757848</v>
      </c>
      <c r="Y148" s="17">
        <f t="shared" ref="Y148:Y211" si="151">IMARGUMENT(W148)</f>
        <v>-7.9000207968900997E-3</v>
      </c>
      <c r="Z148" s="31" t="str">
        <f t="shared" si="140"/>
        <v>0.999986839432378+0.037799748978243i</v>
      </c>
      <c r="AA148" s="17">
        <f t="shared" ref="AA148:AA211" si="152">IMABS(Z148)</f>
        <v>1.0007010043268543</v>
      </c>
      <c r="AB148" s="17">
        <f t="shared" ref="AB148:AB211" si="153">IMARGUMENT(Z148)</f>
        <v>3.7782258133942009E-2</v>
      </c>
      <c r="AC148" s="66" t="str">
        <f t="shared" ref="AC148:AC211" si="154">(IMDIV(IMPRODUCT(P148,T148,W148),IMPRODUCT(Q148,Z148)))</f>
        <v>-0.0831536501559245-22.723564065406i</v>
      </c>
      <c r="AD148" s="64">
        <f t="shared" ref="AD148:AD211" si="155">20*LOG(IMABS(AC148))</f>
        <v>27.129587136948018</v>
      </c>
      <c r="AE148" s="61">
        <f t="shared" ref="AE148:AE211" si="156">(180/PI())*IMARGUMENT(AC148)</f>
        <v>-90.209664818651461</v>
      </c>
      <c r="AF148" s="31" t="str">
        <f t="shared" si="141"/>
        <v>-6627.51882264077</v>
      </c>
      <c r="AG148" s="31" t="str">
        <f t="shared" ref="AG148:AG211" si="157">COMPLEX(0,1*2*PI()*O148)</f>
        <v>1253.66028613816i</v>
      </c>
      <c r="AH148" s="31">
        <f t="shared" ref="AH148:AH211" si="158">IMABS(AG148)</f>
        <v>1253.66028613816</v>
      </c>
      <c r="AI148" s="31">
        <f t="shared" ref="AI148:AI211" si="159">IMARGUMENT(AG148)</f>
        <v>1.5707963267948966</v>
      </c>
      <c r="AJ148" s="31" t="str">
        <f t="shared" si="142"/>
        <v>0.99981243760475+0.611968000376912i</v>
      </c>
      <c r="AK148" s="31">
        <f t="shared" ref="AK148:AK211" si="160">IMABS(AJ148)</f>
        <v>1.1722328027633711</v>
      </c>
      <c r="AL148" s="31">
        <f t="shared" ref="AL148:AL211" si="161">IMARGUMENT(AJ148)</f>
        <v>0.54925657642132597</v>
      </c>
      <c r="AM148" s="31" t="str">
        <f t="shared" si="143"/>
        <v>1+0.727035209740104i</v>
      </c>
      <c r="AN148" s="31">
        <f t="shared" ref="AN148:AN211" si="162">IMABS(AM148)</f>
        <v>1.2363576328076908</v>
      </c>
      <c r="AO148" s="31">
        <f t="shared" ref="AO148:AO211" si="163">IMARGUMENT(AM148)</f>
        <v>0.62864091955801027</v>
      </c>
      <c r="AP148" s="31" t="str">
        <f t="shared" si="144"/>
        <v>1+0.586713013912658i</v>
      </c>
      <c r="AQ148" s="31">
        <f t="shared" ref="AQ148:AQ211" si="164">IMABS(AP148)</f>
        <v>1.1594102641836816</v>
      </c>
      <c r="AR148" s="31">
        <f t="shared" ref="AR148:AR211" si="165">IMARGUMENT(AP148)</f>
        <v>0.53059236632916051</v>
      </c>
      <c r="AS148" s="58" t="str">
        <f t="shared" ref="AS148:AS211" si="166">IMDIV(IMPRODUCT(AF148,AM148,AP148),IMPRODUCT(AG148,AJ148))</f>
        <v>-3.70320852991886+5.29874413458859i</v>
      </c>
      <c r="AT148" s="49">
        <f t="shared" ref="AT148:AT211" si="167">20*LOG(IMABS(AS148))</f>
        <v>16.210769730393064</v>
      </c>
      <c r="AU148" s="61">
        <f t="shared" ref="AU148:AU211" si="168">(180/PI())*IMARGUMENT(AS148)</f>
        <v>124.9490910536705</v>
      </c>
      <c r="AV148" s="58" t="str">
        <f t="shared" si="145"/>
        <v>120.714287115069+83.7094863611358i</v>
      </c>
      <c r="AW148" s="64">
        <f t="shared" ref="AW148:AW211" si="169">20*LOG(IMABS(AV148))</f>
        <v>43.340356867341058</v>
      </c>
      <c r="AX148" s="61">
        <f t="shared" ref="AX148:AX211" si="170">(180/PI())*IMARGUMENT(AV148)</f>
        <v>34.739426235019117</v>
      </c>
    </row>
    <row r="149" spans="14:50" x14ac:dyDescent="0.35">
      <c r="N149" s="10">
        <v>31</v>
      </c>
      <c r="O149" s="50">
        <f t="shared" si="135"/>
        <v>204.17379446695315</v>
      </c>
      <c r="P149" s="48" t="str">
        <f t="shared" si="136"/>
        <v>547.187404092767</v>
      </c>
      <c r="Q149" s="17" t="str">
        <f t="shared" si="137"/>
        <v>1+24.6031480511394i</v>
      </c>
      <c r="R149" s="17">
        <f t="shared" si="146"/>
        <v>24.623462267241877</v>
      </c>
      <c r="S149" s="17">
        <f t="shared" si="147"/>
        <v>1.5301734818827604</v>
      </c>
      <c r="T149" s="17" t="str">
        <f t="shared" si="138"/>
        <v>1+0.000465539227027095i</v>
      </c>
      <c r="U149" s="17">
        <f t="shared" si="148"/>
        <v>1.00000010836338</v>
      </c>
      <c r="V149" s="17">
        <f t="shared" si="149"/>
        <v>4.6553919339549472E-4</v>
      </c>
      <c r="W149" s="31" t="str">
        <f t="shared" si="139"/>
        <v>1-0.00808420410030767i</v>
      </c>
      <c r="X149" s="17">
        <f t="shared" si="150"/>
        <v>1.0000326766440861</v>
      </c>
      <c r="Y149" s="17">
        <f t="shared" si="151"/>
        <v>-8.0840279945624417E-3</v>
      </c>
      <c r="Z149" s="31" t="str">
        <f t="shared" si="140"/>
        <v>0.999986219193935+0.0386802182394075i</v>
      </c>
      <c r="AA149" s="17">
        <f t="shared" si="152"/>
        <v>1.0007340295307383</v>
      </c>
      <c r="AB149" s="17">
        <f t="shared" si="153"/>
        <v>3.8661477204384447E-2</v>
      </c>
      <c r="AC149" s="66" t="str">
        <f t="shared" si="154"/>
        <v>-0.125624892179685-22.2062688737168i</v>
      </c>
      <c r="AD149" s="64">
        <f t="shared" si="155"/>
        <v>26.92965086713415</v>
      </c>
      <c r="AE149" s="61">
        <f t="shared" si="156"/>
        <v>-90.324129162847115</v>
      </c>
      <c r="AF149" s="31" t="str">
        <f t="shared" si="141"/>
        <v>-6627.51882264077</v>
      </c>
      <c r="AG149" s="31" t="str">
        <f t="shared" si="157"/>
        <v>1282.86178550586i</v>
      </c>
      <c r="AH149" s="31">
        <f t="shared" si="158"/>
        <v>1282.8617855058601</v>
      </c>
      <c r="AI149" s="31">
        <f t="shared" si="159"/>
        <v>1.5707963267948966</v>
      </c>
      <c r="AJ149" s="31" t="str">
        <f t="shared" si="142"/>
        <v>0.999803598061393+0.62622256628576i</v>
      </c>
      <c r="AK149" s="31">
        <f t="shared" si="160"/>
        <v>1.1797296034354783</v>
      </c>
      <c r="AL149" s="31">
        <f t="shared" si="161"/>
        <v>0.55956633959269308</v>
      </c>
      <c r="AM149" s="31" t="str">
        <f t="shared" si="143"/>
        <v>1+0.743970035268414i</v>
      </c>
      <c r="AN149" s="31">
        <f t="shared" si="162"/>
        <v>1.2463913564275408</v>
      </c>
      <c r="AO149" s="31">
        <f t="shared" si="163"/>
        <v>0.63963074832904221</v>
      </c>
      <c r="AP149" s="31" t="str">
        <f t="shared" si="144"/>
        <v>1+0.600379315616742i</v>
      </c>
      <c r="AQ149" s="31">
        <f t="shared" si="164"/>
        <v>1.166385580595211</v>
      </c>
      <c r="AR149" s="31">
        <f t="shared" si="165"/>
        <v>0.54069836213890232</v>
      </c>
      <c r="AS149" s="58" t="str">
        <f t="shared" si="166"/>
        <v>-3.70297903590059+5.178548667457i</v>
      </c>
      <c r="AT149" s="49">
        <f t="shared" si="167"/>
        <v>16.077703892200791</v>
      </c>
      <c r="AU149" s="61">
        <f t="shared" si="168"/>
        <v>125.56708684999836</v>
      </c>
      <c r="AV149" s="58" t="str">
        <f t="shared" si="145"/>
        <v>115.461430427307+81.5787934869486i</v>
      </c>
      <c r="AW149" s="64">
        <f t="shared" si="169"/>
        <v>43.007354759334959</v>
      </c>
      <c r="AX149" s="61">
        <f t="shared" si="170"/>
        <v>35.242957687151154</v>
      </c>
    </row>
    <row r="150" spans="14:50" x14ac:dyDescent="0.35">
      <c r="N150" s="10">
        <v>32</v>
      </c>
      <c r="O150" s="50">
        <f t="shared" si="135"/>
        <v>208.92961308540396</v>
      </c>
      <c r="P150" s="48" t="str">
        <f t="shared" si="136"/>
        <v>547.187404092767</v>
      </c>
      <c r="Q150" s="17" t="str">
        <f t="shared" si="137"/>
        <v>1+25.176228988777i</v>
      </c>
      <c r="R150" s="17">
        <f t="shared" si="146"/>
        <v>25.196081165437917</v>
      </c>
      <c r="S150" s="17">
        <f t="shared" si="147"/>
        <v>1.5310971881865965</v>
      </c>
      <c r="T150" s="17" t="str">
        <f t="shared" si="138"/>
        <v>1+0.000476383028648628i</v>
      </c>
      <c r="U150" s="17">
        <f t="shared" si="148"/>
        <v>1.0000001134703886</v>
      </c>
      <c r="V150" s="17">
        <f t="shared" si="149"/>
        <v>4.7638299261171929E-4</v>
      </c>
      <c r="W150" s="31" t="str">
        <f t="shared" si="139"/>
        <v>1-0.00827250940401223i</v>
      </c>
      <c r="X150" s="17">
        <f t="shared" si="150"/>
        <v>1.0000342166205312</v>
      </c>
      <c r="Y150" s="17">
        <f t="shared" si="151"/>
        <v>-8.2723207036551616E-3</v>
      </c>
      <c r="Z150" s="31" t="str">
        <f t="shared" si="140"/>
        <v>0.999985569724554+0.0395811962642761i</v>
      </c>
      <c r="AA150" s="17">
        <f t="shared" si="152"/>
        <v>1.0007686099968625</v>
      </c>
      <c r="AB150" s="17">
        <f t="shared" si="153"/>
        <v>3.9561115716254355E-2</v>
      </c>
      <c r="AC150" s="66" t="str">
        <f t="shared" si="154"/>
        <v>-0.16618453785333-21.7005925518908i</v>
      </c>
      <c r="AD150" s="64">
        <f t="shared" si="155"/>
        <v>26.729686543980272</v>
      </c>
      <c r="AE150" s="61">
        <f t="shared" si="156"/>
        <v>-90.438766198999247</v>
      </c>
      <c r="AF150" s="31" t="str">
        <f t="shared" si="141"/>
        <v>-6627.51882264077</v>
      </c>
      <c r="AG150" s="31" t="str">
        <f t="shared" si="157"/>
        <v>1312.74347517293i</v>
      </c>
      <c r="AH150" s="31">
        <f t="shared" si="158"/>
        <v>1312.7434751729299</v>
      </c>
      <c r="AI150" s="31">
        <f t="shared" si="159"/>
        <v>1.5707963267948966</v>
      </c>
      <c r="AJ150" s="31" t="str">
        <f t="shared" si="142"/>
        <v>0.999794341923192+0.640809163688288i</v>
      </c>
      <c r="AK150" s="31">
        <f t="shared" si="160"/>
        <v>1.1875289935022688</v>
      </c>
      <c r="AL150" s="31">
        <f t="shared" si="161"/>
        <v>0.56998045585187096</v>
      </c>
      <c r="AM150" s="31" t="str">
        <f t="shared" si="143"/>
        <v>1+0.761299323557038i</v>
      </c>
      <c r="AN150" s="31">
        <f t="shared" si="162"/>
        <v>1.2568121021252157</v>
      </c>
      <c r="AO150" s="31">
        <f t="shared" si="163"/>
        <v>0.65069354174938121</v>
      </c>
      <c r="AP150" s="31" t="str">
        <f t="shared" si="144"/>
        <v>1+0.61436394638093i</v>
      </c>
      <c r="AQ150" s="31">
        <f t="shared" si="164"/>
        <v>1.1736452013333289</v>
      </c>
      <c r="AR150" s="31">
        <f t="shared" si="165"/>
        <v>0.55091433167079373</v>
      </c>
      <c r="AS150" s="58" t="str">
        <f t="shared" si="166"/>
        <v>-3.70274487656202+5.06108933269837i</v>
      </c>
      <c r="AT150" s="49">
        <f t="shared" si="167"/>
        <v>15.946681222827186</v>
      </c>
      <c r="AU150" s="61">
        <f t="shared" si="168"/>
        <v>126.18958525141105</v>
      </c>
      <c r="AV150" s="58" t="str">
        <f t="shared" si="145"/>
        <v>110.443976423708+79.5106830980847i</v>
      </c>
      <c r="AW150" s="64">
        <f t="shared" si="169"/>
        <v>42.676367766807431</v>
      </c>
      <c r="AX150" s="61">
        <f t="shared" si="170"/>
        <v>35.750819052411906</v>
      </c>
    </row>
    <row r="151" spans="14:50" x14ac:dyDescent="0.35">
      <c r="N151" s="10">
        <v>33</v>
      </c>
      <c r="O151" s="50">
        <f t="shared" si="135"/>
        <v>213.79620895022339</v>
      </c>
      <c r="P151" s="48" t="str">
        <f t="shared" si="136"/>
        <v>547.187404092767</v>
      </c>
      <c r="Q151" s="17" t="str">
        <f t="shared" si="137"/>
        <v>1+25.762658696271i</v>
      </c>
      <c r="R151" s="17">
        <f t="shared" si="146"/>
        <v>25.782059326216508</v>
      </c>
      <c r="S151" s="17">
        <f t="shared" si="147"/>
        <v>1.531999933868333</v>
      </c>
      <c r="T151" s="17" t="str">
        <f t="shared" si="138"/>
        <v>1+0.000487479414857622i</v>
      </c>
      <c r="U151" s="17">
        <f t="shared" si="148"/>
        <v>1.0000001188180829</v>
      </c>
      <c r="V151" s="17">
        <f t="shared" si="149"/>
        <v>4.8747937624337887E-4</v>
      </c>
      <c r="W151" s="31" t="str">
        <f t="shared" si="139"/>
        <v>1-0.00846520090170233i</v>
      </c>
      <c r="X151" s="17">
        <f t="shared" si="150"/>
        <v>1.0000358291712883</v>
      </c>
      <c r="Y151" s="17">
        <f t="shared" si="151"/>
        <v>-8.4649987060180787E-3</v>
      </c>
      <c r="Z151" s="31" t="str">
        <f t="shared" si="140"/>
        <v>0.999984889646624+0.0405031607633228i</v>
      </c>
      <c r="AA151" s="17">
        <f t="shared" si="152"/>
        <v>1.0008048189099563</v>
      </c>
      <c r="AB151" s="17">
        <f t="shared" si="153"/>
        <v>4.0481645002786559E-2</v>
      </c>
      <c r="AC151" s="66" t="str">
        <f t="shared" si="154"/>
        <v>-0.204917788046522-21.2062773432667i</v>
      </c>
      <c r="AD151" s="64">
        <f t="shared" si="155"/>
        <v>26.529694242715195</v>
      </c>
      <c r="AE151" s="61">
        <f t="shared" si="156"/>
        <v>-90.553636019963349</v>
      </c>
      <c r="AF151" s="31" t="str">
        <f t="shared" si="141"/>
        <v>-6627.51882264077</v>
      </c>
      <c r="AG151" s="31" t="str">
        <f t="shared" si="157"/>
        <v>1343.32119880674i</v>
      </c>
      <c r="AH151" s="31">
        <f t="shared" si="158"/>
        <v>1343.3211988067401</v>
      </c>
      <c r="AI151" s="31">
        <f t="shared" si="159"/>
        <v>1.5707963267948966</v>
      </c>
      <c r="AJ151" s="31" t="str">
        <f t="shared" si="142"/>
        <v>0.999784649556637+0.655735526591516i</v>
      </c>
      <c r="AK151" s="31">
        <f t="shared" si="160"/>
        <v>1.195641428825273</v>
      </c>
      <c r="AL151" s="31">
        <f t="shared" si="161"/>
        <v>0.58049543001113013</v>
      </c>
      <c r="AM151" s="31" t="str">
        <f t="shared" si="143"/>
        <v>1+0.779032262823993i</v>
      </c>
      <c r="AN151" s="31">
        <f t="shared" si="162"/>
        <v>1.2676321495294567</v>
      </c>
      <c r="AO151" s="31">
        <f t="shared" si="163"/>
        <v>0.66182433447036026</v>
      </c>
      <c r="AP151" s="31" t="str">
        <f t="shared" si="144"/>
        <v>1+0.628674321041553i</v>
      </c>
      <c r="AQ151" s="31">
        <f t="shared" si="164"/>
        <v>1.1811991372910233</v>
      </c>
      <c r="AR151" s="31">
        <f t="shared" si="165"/>
        <v>0.56123716151756742</v>
      </c>
      <c r="AS151" s="58" t="str">
        <f t="shared" si="166"/>
        <v>-3.70250616393434+4.94630356399774i</v>
      </c>
      <c r="AT151" s="49">
        <f t="shared" si="167"/>
        <v>15.817730257587236</v>
      </c>
      <c r="AU151" s="61">
        <f t="shared" si="168"/>
        <v>126.81632363879531</v>
      </c>
      <c r="AV151" s="58" t="str">
        <f t="shared" si="145"/>
        <v>105.651394575467+77.502786992205i</v>
      </c>
      <c r="AW151" s="64">
        <f t="shared" si="169"/>
        <v>42.347424500302452</v>
      </c>
      <c r="AX151" s="61">
        <f t="shared" si="170"/>
        <v>36.262687618831855</v>
      </c>
    </row>
    <row r="152" spans="14:50" x14ac:dyDescent="0.35">
      <c r="N152" s="10">
        <v>34</v>
      </c>
      <c r="O152" s="50">
        <f t="shared" si="135"/>
        <v>218.77616239495524</v>
      </c>
      <c r="P152" s="48" t="str">
        <f t="shared" si="136"/>
        <v>547.187404092767</v>
      </c>
      <c r="Q152" s="17" t="str">
        <f t="shared" si="137"/>
        <v>1+26.362748106415i</v>
      </c>
      <c r="R152" s="17">
        <f t="shared" si="146"/>
        <v>26.381707445165251</v>
      </c>
      <c r="S152" s="17">
        <f t="shared" si="147"/>
        <v>1.5328821916867843</v>
      </c>
      <c r="T152" s="17" t="str">
        <f t="shared" si="138"/>
        <v>1+0.000498834269104927i</v>
      </c>
      <c r="U152" s="17">
        <f t="shared" si="148"/>
        <v>1.0000001244178063</v>
      </c>
      <c r="V152" s="17">
        <f t="shared" si="149"/>
        <v>4.9883422772902029E-4</v>
      </c>
      <c r="W152" s="31" t="str">
        <f t="shared" si="139"/>
        <v>1-0.00866238076096072i</v>
      </c>
      <c r="X152" s="17">
        <f t="shared" si="150"/>
        <v>1.0000375177164345</v>
      </c>
      <c r="Y152" s="17">
        <f t="shared" si="151"/>
        <v>-8.6621641048206001E-3</v>
      </c>
      <c r="Z152" s="31" t="str">
        <f t="shared" si="140"/>
        <v>0.999984177517609+0.0414466005743291i</v>
      </c>
      <c r="AA152" s="17">
        <f t="shared" si="152"/>
        <v>1.0008427328930041</v>
      </c>
      <c r="AB152" s="17">
        <f t="shared" si="153"/>
        <v>4.1423547069770889E-2</v>
      </c>
      <c r="AC152" s="66" t="str">
        <f t="shared" si="154"/>
        <v>-0.241906042798246-20.7230708294519i</v>
      </c>
      <c r="AD152" s="64">
        <f t="shared" si="155"/>
        <v>26.329673979787739</v>
      </c>
      <c r="AE152" s="61">
        <f t="shared" si="156"/>
        <v>-90.668798842706167</v>
      </c>
      <c r="AF152" s="31" t="str">
        <f t="shared" si="141"/>
        <v>-6627.51882264077</v>
      </c>
      <c r="AG152" s="31" t="str">
        <f t="shared" si="157"/>
        <v>1374.61116912112i</v>
      </c>
      <c r="AH152" s="31">
        <f t="shared" si="158"/>
        <v>1374.6111691211199</v>
      </c>
      <c r="AI152" s="31">
        <f t="shared" si="159"/>
        <v>1.5707963267948966</v>
      </c>
      <c r="AJ152" s="31" t="str">
        <f t="shared" si="142"/>
        <v>0.999774500402919+0.671009569150628i</v>
      </c>
      <c r="AK152" s="31">
        <f t="shared" si="160"/>
        <v>1.2040776110980629</v>
      </c>
      <c r="AL152" s="31">
        <f t="shared" si="161"/>
        <v>0.59110755619637867</v>
      </c>
      <c r="AM152" s="31" t="str">
        <f t="shared" si="143"/>
        <v>1+0.797178255308412i</v>
      </c>
      <c r="AN152" s="31">
        <f t="shared" si="162"/>
        <v>1.2788640157329332</v>
      </c>
      <c r="AO152" s="31">
        <f t="shared" si="163"/>
        <v>0.67301799632710091</v>
      </c>
      <c r="AP152" s="31" t="str">
        <f t="shared" si="144"/>
        <v>1+0.643318027148683i</v>
      </c>
      <c r="AQ152" s="31">
        <f t="shared" si="164"/>
        <v>1.1890576453875032</v>
      </c>
      <c r="AR152" s="31">
        <f t="shared" si="165"/>
        <v>0.5716635245414301</v>
      </c>
      <c r="AS152" s="58" t="str">
        <f t="shared" si="166"/>
        <v>-3.70226302428098+4.83413021733087i</v>
      </c>
      <c r="AT152" s="49">
        <f t="shared" si="167"/>
        <v>15.69087795119672</v>
      </c>
      <c r="AU152" s="61">
        <f t="shared" si="168"/>
        <v>127.44702977534668</v>
      </c>
      <c r="AV152" s="58" t="str">
        <f t="shared" si="145"/>
        <v>101.073622690143+75.5528535701896i</v>
      </c>
      <c r="AW152" s="64">
        <f t="shared" si="169"/>
        <v>42.020551930984439</v>
      </c>
      <c r="AX152" s="61">
        <f t="shared" si="170"/>
        <v>36.778230932640611</v>
      </c>
    </row>
    <row r="153" spans="14:50" x14ac:dyDescent="0.35">
      <c r="N153" s="10">
        <v>35</v>
      </c>
      <c r="O153" s="50">
        <f t="shared" si="135"/>
        <v>223.87211385683412</v>
      </c>
      <c r="P153" s="48" t="str">
        <f t="shared" si="136"/>
        <v>547.187404092767</v>
      </c>
      <c r="Q153" s="17" t="str">
        <f t="shared" si="137"/>
        <v>1+26.9768153945573i</v>
      </c>
      <c r="R153" s="17">
        <f t="shared" si="146"/>
        <v>26.995343465716893</v>
      </c>
      <c r="S153" s="17">
        <f t="shared" si="147"/>
        <v>1.5337444239297422</v>
      </c>
      <c r="T153" s="17" t="str">
        <f t="shared" si="138"/>
        <v>1+0.000510453611884565i</v>
      </c>
      <c r="U153" s="17">
        <f t="shared" si="148"/>
        <v>1.0000001302814365</v>
      </c>
      <c r="V153" s="17">
        <f t="shared" si="149"/>
        <v>5.1045356754948247E-4</v>
      </c>
      <c r="W153" s="31" t="str">
        <f t="shared" si="139"/>
        <v>1-0.00886415352915876i</v>
      </c>
      <c r="X153" s="17">
        <f t="shared" si="150"/>
        <v>1.0000392858372058</v>
      </c>
      <c r="Y153" s="17">
        <f t="shared" si="151"/>
        <v>-8.8639213784145743E-3</v>
      </c>
      <c r="Z153" s="31" t="str">
        <f t="shared" si="140"/>
        <v>0.999983431826988+0.0424120159215705i</v>
      </c>
      <c r="AA153" s="17">
        <f t="shared" si="152"/>
        <v>1.0008824321682404</v>
      </c>
      <c r="AB153" s="17">
        <f t="shared" si="153"/>
        <v>4.2387314822378487E-2</v>
      </c>
      <c r="AC153" s="66" t="str">
        <f t="shared" si="154"/>
        <v>-0.277227067588845-20.2507258420359i</v>
      </c>
      <c r="AD153" s="64">
        <f t="shared" si="155"/>
        <v>26.129625712903088</v>
      </c>
      <c r="AE153" s="61">
        <f t="shared" si="156"/>
        <v>-90.784315036973524</v>
      </c>
      <c r="AF153" s="31" t="str">
        <f t="shared" si="141"/>
        <v>-6627.51882264077</v>
      </c>
      <c r="AG153" s="31" t="str">
        <f t="shared" si="157"/>
        <v>1406.6299764725i</v>
      </c>
      <c r="AH153" s="31">
        <f t="shared" si="158"/>
        <v>1406.6299764724999</v>
      </c>
      <c r="AI153" s="31">
        <f t="shared" si="159"/>
        <v>1.5707963267948966</v>
      </c>
      <c r="AJ153" s="31" t="str">
        <f t="shared" si="142"/>
        <v>0.999763872934323+0.686639389865166i</v>
      </c>
      <c r="AK153" s="31">
        <f t="shared" si="160"/>
        <v>1.212848487379625</v>
      </c>
      <c r="AL153" s="31">
        <f t="shared" si="161"/>
        <v>0.60181292078794268</v>
      </c>
      <c r="AM153" s="31" t="str">
        <f t="shared" si="143"/>
        <v>1+0.815746922255697i</v>
      </c>
      <c r="AN153" s="31">
        <f t="shared" si="162"/>
        <v>1.2905204536037553</v>
      </c>
      <c r="AO153" s="31">
        <f t="shared" si="163"/>
        <v>0.68426924257864552</v>
      </c>
      <c r="AP153" s="31" t="str">
        <f t="shared" si="144"/>
        <v>1+0.658302828989129i</v>
      </c>
      <c r="AQ153" s="31">
        <f t="shared" si="164"/>
        <v>1.1972312285666</v>
      </c>
      <c r="AR153" s="31">
        <f t="shared" si="165"/>
        <v>0.58218988113906744</v>
      </c>
      <c r="AS153" s="58" t="str">
        <f t="shared" si="166"/>
        <v>-3.70201559814289+4.72450953969355i</v>
      </c>
      <c r="AT153" s="49">
        <f t="shared" si="167"/>
        <v>15.566149582765069</v>
      </c>
      <c r="AU153" s="61">
        <f t="shared" si="168"/>
        <v>128.08142229727144</v>
      </c>
      <c r="AV153" s="58" t="str">
        <f t="shared" si="145"/>
        <v>96.7010463548586+73.6587410154475i</v>
      </c>
      <c r="AW153" s="64">
        <f t="shared" si="169"/>
        <v>41.695775295668156</v>
      </c>
      <c r="AX153" s="61">
        <f t="shared" si="170"/>
        <v>37.297107260297928</v>
      </c>
    </row>
    <row r="154" spans="14:50" x14ac:dyDescent="0.35">
      <c r="N154" s="10">
        <v>36</v>
      </c>
      <c r="O154" s="50">
        <f t="shared" si="135"/>
        <v>229.08676527677744</v>
      </c>
      <c r="P154" s="48" t="str">
        <f t="shared" si="136"/>
        <v>547.187404092767</v>
      </c>
      <c r="Q154" s="17" t="str">
        <f t="shared" si="137"/>
        <v>1+27.605186147302i</v>
      </c>
      <c r="R154" s="17">
        <f t="shared" si="146"/>
        <v>27.623292747737263</v>
      </c>
      <c r="S154" s="17">
        <f t="shared" si="147"/>
        <v>1.534587082633053</v>
      </c>
      <c r="T154" s="17" t="str">
        <f t="shared" si="138"/>
        <v>1+0.000522343603925875i</v>
      </c>
      <c r="U154" s="17">
        <f t="shared" si="148"/>
        <v>1.0000001364214111</v>
      </c>
      <c r="V154" s="17">
        <f t="shared" si="149"/>
        <v>5.2234355641997854E-4</v>
      </c>
      <c r="W154" s="31" t="str">
        <f t="shared" si="139"/>
        <v>1-0.00907062618888886i</v>
      </c>
      <c r="X154" s="17">
        <f t="shared" si="150"/>
        <v>1.0000411372835911</v>
      </c>
      <c r="Y154" s="17">
        <f t="shared" si="151"/>
        <v>-9.0703774354373903E-3</v>
      </c>
      <c r="Z154" s="31" t="str">
        <f t="shared" si="140"/>
        <v>0.99998265099305+0.0433999186810428i</v>
      </c>
      <c r="AA154" s="17">
        <f t="shared" si="152"/>
        <v>1.0009240007256339</v>
      </c>
      <c r="AB154" s="17">
        <f t="shared" si="153"/>
        <v>4.3373452295733597E-2</v>
      </c>
      <c r="AC154" s="66" t="str">
        <f t="shared" si="154"/>
        <v>-0.310955152463536-19.789000374099i</v>
      </c>
      <c r="AD154" s="64">
        <f t="shared" si="155"/>
        <v>25.929549340938674</v>
      </c>
      <c r="AE154" s="61">
        <f t="shared" si="156"/>
        <v>-90.900245154027729</v>
      </c>
      <c r="AF154" s="31" t="str">
        <f t="shared" si="141"/>
        <v>-6627.51882264077</v>
      </c>
      <c r="AG154" s="31" t="str">
        <f t="shared" si="157"/>
        <v>1439.39459765635i</v>
      </c>
      <c r="AH154" s="31">
        <f t="shared" si="158"/>
        <v>1439.39459765635</v>
      </c>
      <c r="AI154" s="31">
        <f t="shared" si="159"/>
        <v>1.5707963267948966</v>
      </c>
      <c r="AJ154" s="31" t="str">
        <f t="shared" si="142"/>
        <v>0.999752744608562+0.702633275872957i</v>
      </c>
      <c r="AK154" s="31">
        <f t="shared" si="160"/>
        <v>1.2219652493898161</v>
      </c>
      <c r="AL154" s="31">
        <f t="shared" si="161"/>
        <v>0.61260740632433175</v>
      </c>
      <c r="AM154" s="31" t="str">
        <f t="shared" si="143"/>
        <v>1+0.834748109018848i</v>
      </c>
      <c r="AN154" s="31">
        <f t="shared" si="162"/>
        <v>1.3026144500620829</v>
      </c>
      <c r="AO154" s="31">
        <f t="shared" si="163"/>
        <v>0.69557264504124072</v>
      </c>
      <c r="AP154" s="31" t="str">
        <f t="shared" si="144"/>
        <v>1+0.673636671703171i</v>
      </c>
      <c r="AQ154" s="31">
        <f t="shared" si="164"/>
        <v>1.2057306355332131</v>
      </c>
      <c r="AR154" s="31">
        <f t="shared" si="165"/>
        <v>0.59281248141973641</v>
      </c>
      <c r="AS154" s="58" t="str">
        <f t="shared" si="166"/>
        <v>-3.70176404029879+4.61738313858986i</v>
      </c>
      <c r="AT154" s="49">
        <f t="shared" si="167"/>
        <v>15.443568665232894</v>
      </c>
      <c r="AU154" s="61">
        <f t="shared" si="168"/>
        <v>128.71921125280255</v>
      </c>
      <c r="AV154" s="58" t="str">
        <f t="shared" si="145"/>
        <v>92.5244792584483+71.8184109004562i</v>
      </c>
      <c r="AW154" s="64">
        <f t="shared" si="169"/>
        <v>41.373118006171566</v>
      </c>
      <c r="AX154" s="61">
        <f t="shared" si="170"/>
        <v>37.818966098774801</v>
      </c>
    </row>
    <row r="155" spans="14:50" x14ac:dyDescent="0.35">
      <c r="N155" s="10">
        <v>37</v>
      </c>
      <c r="O155" s="50">
        <f t="shared" si="135"/>
        <v>234.42288153199232</v>
      </c>
      <c r="P155" s="48" t="str">
        <f t="shared" si="136"/>
        <v>547.187404092767</v>
      </c>
      <c r="Q155" s="17" t="str">
        <f t="shared" si="137"/>
        <v>1+28.2481935351397i</v>
      </c>
      <c r="R155" s="17">
        <f t="shared" si="146"/>
        <v>28.265888240044895</v>
      </c>
      <c r="S155" s="17">
        <f t="shared" si="147"/>
        <v>1.5354106097959843</v>
      </c>
      <c r="T155" s="17" t="str">
        <f t="shared" si="138"/>
        <v>1+0.000534510549460019i</v>
      </c>
      <c r="U155" s="17">
        <f t="shared" si="148"/>
        <v>1.0000001428507537</v>
      </c>
      <c r="V155" s="17">
        <f t="shared" si="149"/>
        <v>5.3451049855653425E-4</v>
      </c>
      <c r="W155" s="31" t="str">
        <f t="shared" si="139"/>
        <v>1-0.0092819082146882i</v>
      </c>
      <c r="X155" s="17">
        <f t="shared" si="150"/>
        <v>1.0000430759822827</v>
      </c>
      <c r="Y155" s="17">
        <f t="shared" si="151"/>
        <v>-9.2816416711827866E-3</v>
      </c>
      <c r="Z155" s="31" t="str">
        <f t="shared" si="140"/>
        <v>0.999981833359542+0.0444108326518655i</v>
      </c>
      <c r="AA155" s="17">
        <f t="shared" si="152"/>
        <v>1.0009675264992082</v>
      </c>
      <c r="AB155" s="17">
        <f t="shared" si="153"/>
        <v>4.4382474889205971E-2</v>
      </c>
      <c r="AC155" s="66" t="str">
        <f t="shared" si="154"/>
        <v>-0.34316126429611-19.3376574916669i</v>
      </c>
      <c r="AD155" s="64">
        <f t="shared" si="155"/>
        <v>25.729444703740274</v>
      </c>
      <c r="AE155" s="61">
        <f t="shared" si="156"/>
        <v>-91.016649955453644</v>
      </c>
      <c r="AF155" s="31" t="str">
        <f t="shared" si="141"/>
        <v>-6627.51882264077</v>
      </c>
      <c r="AG155" s="31" t="str">
        <f t="shared" si="157"/>
        <v>1472.92240490851i</v>
      </c>
      <c r="AH155" s="31">
        <f t="shared" si="158"/>
        <v>1472.9224049085101</v>
      </c>
      <c r="AI155" s="31">
        <f t="shared" si="159"/>
        <v>1.5707963267948966</v>
      </c>
      <c r="AJ155" s="31" t="str">
        <f t="shared" si="142"/>
        <v>0.999741091820965+0.718999707344067i</v>
      </c>
      <c r="AK155" s="31">
        <f t="shared" si="160"/>
        <v>1.2314393325845288</v>
      </c>
      <c r="AL155" s="31">
        <f t="shared" si="161"/>
        <v>0.62348669638702281</v>
      </c>
      <c r="AM155" s="31" t="str">
        <f t="shared" si="143"/>
        <v>1+0.854191890278593i</v>
      </c>
      <c r="AN155" s="31">
        <f t="shared" si="162"/>
        <v>1.315159224359437</v>
      </c>
      <c r="AO155" s="31">
        <f t="shared" si="163"/>
        <v>0.70692264406700667</v>
      </c>
      <c r="AP155" s="31" t="str">
        <f t="shared" si="144"/>
        <v>1+0.689327685497182i</v>
      </c>
      <c r="AQ155" s="31">
        <f t="shared" si="164"/>
        <v>1.214566860239856</v>
      </c>
      <c r="AR155" s="31">
        <f t="shared" si="165"/>
        <v>0.60352736832658416</v>
      </c>
      <c r="AS155" s="58" t="str">
        <f t="shared" si="166"/>
        <v>-3.70150851963596+4.51269395225465i</v>
      </c>
      <c r="AT155" s="49">
        <f t="shared" si="167"/>
        <v>15.323156859913274</v>
      </c>
      <c r="AU155" s="61">
        <f t="shared" si="168"/>
        <v>129.3600986874882</v>
      </c>
      <c r="AV155" s="58" t="str">
        <f t="shared" si="145"/>
        <v>88.5351443568181+70.0299221931701i</v>
      </c>
      <c r="AW155" s="64">
        <f t="shared" si="169"/>
        <v>41.052601563653546</v>
      </c>
      <c r="AX155" s="61">
        <f t="shared" si="170"/>
        <v>38.343448732034595</v>
      </c>
    </row>
    <row r="156" spans="14:50" x14ac:dyDescent="0.35">
      <c r="N156" s="10">
        <v>38</v>
      </c>
      <c r="O156" s="50">
        <f t="shared" si="135"/>
        <v>239.88329190194912</v>
      </c>
      <c r="P156" s="48" t="str">
        <f t="shared" si="136"/>
        <v>547.187404092767</v>
      </c>
      <c r="Q156" s="17" t="str">
        <f t="shared" si="137"/>
        <v>1+28.9061784890991i</v>
      </c>
      <c r="R156" s="17">
        <f t="shared" si="146"/>
        <v>28.923470656953594</v>
      </c>
      <c r="S156" s="17">
        <f t="shared" si="147"/>
        <v>1.536215437592878</v>
      </c>
      <c r="T156" s="17" t="str">
        <f t="shared" si="138"/>
        <v>1+0.000546960899562575i</v>
      </c>
      <c r="U156" s="17">
        <f t="shared" si="148"/>
        <v>1.0000001495831017</v>
      </c>
      <c r="V156" s="17">
        <f t="shared" si="149"/>
        <v>5.4696084501850881E-4</v>
      </c>
      <c r="W156" s="31" t="str">
        <f t="shared" si="139"/>
        <v>1-0.00949811163108364i</v>
      </c>
      <c r="X156" s="17">
        <f t="shared" si="150"/>
        <v>1.0000451060450006</v>
      </c>
      <c r="Y156" s="17">
        <f t="shared" si="151"/>
        <v>-9.4978260252676413E-3</v>
      </c>
      <c r="Z156" s="31" t="str">
        <f t="shared" si="140"/>
        <v>0.999980977192154+0.0454452938340074i</v>
      </c>
      <c r="AA156" s="17">
        <f t="shared" si="152"/>
        <v>1.0010131015515404</v>
      </c>
      <c r="AB156" s="17">
        <f t="shared" si="153"/>
        <v>4.5414909604396606E-2</v>
      </c>
      <c r="AC156" s="66" t="str">
        <f t="shared" si="154"/>
        <v>-0.373913192471462-18.8964652452467i</v>
      </c>
      <c r="AD156" s="64">
        <f t="shared" si="155"/>
        <v>25.529311581797604</v>
      </c>
      <c r="AE156" s="61">
        <f t="shared" si="156"/>
        <v>-91.133590442033778</v>
      </c>
      <c r="AF156" s="31" t="str">
        <f t="shared" si="141"/>
        <v>-6627.51882264077</v>
      </c>
      <c r="AG156" s="31" t="str">
        <f t="shared" si="157"/>
        <v>1507.2311751162i</v>
      </c>
      <c r="AH156" s="31">
        <f t="shared" si="158"/>
        <v>1507.2311751161999</v>
      </c>
      <c r="AI156" s="31">
        <f t="shared" si="159"/>
        <v>1.5707963267948966</v>
      </c>
      <c r="AJ156" s="31" t="str">
        <f t="shared" si="142"/>
        <v>0.999728889854409+0.735747361977097i</v>
      </c>
      <c r="AK156" s="31">
        <f t="shared" si="160"/>
        <v>1.2412824150312396</v>
      </c>
      <c r="AL156" s="31">
        <f t="shared" si="161"/>
        <v>0.6344462814766747</v>
      </c>
      <c r="AM156" s="31" t="str">
        <f t="shared" si="143"/>
        <v>1+0.874088575385138i</v>
      </c>
      <c r="AN156" s="31">
        <f t="shared" si="162"/>
        <v>1.3281682264001125</v>
      </c>
      <c r="AO156" s="31">
        <f t="shared" si="163"/>
        <v>0.71831356131133872</v>
      </c>
      <c r="AP156" s="31" t="str">
        <f t="shared" si="144"/>
        <v>1+0.70538418995438i</v>
      </c>
      <c r="AQ156" s="31">
        <f t="shared" si="164"/>
        <v>1.2237511411384248</v>
      </c>
      <c r="AR156" s="31">
        <f t="shared" si="165"/>
        <v>0.61433038172492394</v>
      </c>
      <c r="AS156" s="58" t="str">
        <f t="shared" si="166"/>
        <v>-3.70124921892852+4.41038622058566i</v>
      </c>
      <c r="AT156" s="49">
        <f t="shared" si="167"/>
        <v>15.204933896771703</v>
      </c>
      <c r="AU156" s="61">
        <f t="shared" si="168"/>
        <v>130.00377927326778</v>
      </c>
      <c r="AV156" s="58" t="str">
        <f t="shared" si="145"/>
        <v>84.7246558469939+68.2914256377079i</v>
      </c>
      <c r="AW156" s="64">
        <f t="shared" si="169"/>
        <v>40.734245478569306</v>
      </c>
      <c r="AX156" s="61">
        <f t="shared" si="170"/>
        <v>38.870188831234003</v>
      </c>
    </row>
    <row r="157" spans="14:50" x14ac:dyDescent="0.35">
      <c r="N157" s="10">
        <v>39</v>
      </c>
      <c r="O157" s="50">
        <f t="shared" si="135"/>
        <v>245.4708915685033</v>
      </c>
      <c r="P157" s="48" t="str">
        <f t="shared" si="136"/>
        <v>547.187404092767</v>
      </c>
      <c r="Q157" s="17" t="str">
        <f t="shared" si="137"/>
        <v>1+29.5794898815117i</v>
      </c>
      <c r="R157" s="17">
        <f t="shared" si="146"/>
        <v>29.596388658930216</v>
      </c>
      <c r="S157" s="17">
        <f t="shared" si="147"/>
        <v>1.5370019885810988</v>
      </c>
      <c r="T157" s="17" t="str">
        <f t="shared" si="138"/>
        <v>1+0.000559701255573959i</v>
      </c>
      <c r="U157" s="17">
        <f t="shared" si="148"/>
        <v>1.0000001566327354</v>
      </c>
      <c r="V157" s="17">
        <f t="shared" si="149"/>
        <v>5.597011971289396E-4</v>
      </c>
      <c r="W157" s="31" t="str">
        <f t="shared" si="139"/>
        <v>1-0.00971935107198819i</v>
      </c>
      <c r="X157" s="17">
        <f t="shared" si="150"/>
        <v>1.00004723177721</v>
      </c>
      <c r="Y157" s="17">
        <f t="shared" si="151"/>
        <v>-9.7190450406232868E-3</v>
      </c>
      <c r="Z157" s="31" t="str">
        <f t="shared" si="140"/>
        <v>0.999980080674841+0.0465038507124794i</v>
      </c>
      <c r="AA157" s="17">
        <f t="shared" si="152"/>
        <v>1.001060822266834</v>
      </c>
      <c r="AB157" s="17">
        <f t="shared" si="153"/>
        <v>4.6471295286776348E-2</v>
      </c>
      <c r="AC157" s="66" t="str">
        <f t="shared" si="154"/>
        <v>-0.40327568825531-18.4651965815712i</v>
      </c>
      <c r="AD157" s="64">
        <f t="shared" si="155"/>
        <v>25.329149695799845</v>
      </c>
      <c r="AE157" s="61">
        <f t="shared" si="156"/>
        <v>-91.251127882691549</v>
      </c>
      <c r="AF157" s="31" t="str">
        <f t="shared" si="141"/>
        <v>-6627.51882264077</v>
      </c>
      <c r="AG157" s="31" t="str">
        <f t="shared" si="157"/>
        <v>1542.33909924349i</v>
      </c>
      <c r="AH157" s="31">
        <f t="shared" si="158"/>
        <v>1542.33909924349</v>
      </c>
      <c r="AI157" s="31">
        <f t="shared" si="159"/>
        <v>1.5707963267948966</v>
      </c>
      <c r="AJ157" s="31" t="str">
        <f t="shared" si="142"/>
        <v>0.999716112826885+0.752885119600215i</v>
      </c>
      <c r="AK157" s="31">
        <f t="shared" si="160"/>
        <v>1.251506416108654</v>
      </c>
      <c r="AL157" s="31">
        <f t="shared" si="161"/>
        <v>0.64548146588305222</v>
      </c>
      <c r="AM157" s="31" t="str">
        <f t="shared" si="143"/>
        <v>1+0.894448713824278i</v>
      </c>
      <c r="AN157" s="31">
        <f t="shared" si="162"/>
        <v>1.3416551351453567</v>
      </c>
      <c r="AO157" s="31">
        <f t="shared" si="163"/>
        <v>0.72973961322373404</v>
      </c>
      <c r="AP157" s="31" t="str">
        <f t="shared" si="144"/>
        <v>1+0.721814698445952i</v>
      </c>
      <c r="AQ157" s="31">
        <f t="shared" si="164"/>
        <v>1.2332949602153658</v>
      </c>
      <c r="AR157" s="31">
        <f t="shared" si="165"/>
        <v>0.62521716347405132</v>
      </c>
      <c r="AS157" s="58" t="str">
        <f t="shared" si="166"/>
        <v>-3.70098633452025+4.31040545675965i</v>
      </c>
      <c r="AT157" s="49">
        <f t="shared" si="167"/>
        <v>15.088917501044875</v>
      </c>
      <c r="AU157" s="61">
        <f t="shared" si="168"/>
        <v>130.64994097841651</v>
      </c>
      <c r="AV157" s="58" t="str">
        <f t="shared" si="145"/>
        <v>81.0850019166213+66.6011584853909i</v>
      </c>
      <c r="AW157" s="64">
        <f t="shared" si="169"/>
        <v>40.418067196844724</v>
      </c>
      <c r="AX157" s="61">
        <f t="shared" si="170"/>
        <v>39.398813095724982</v>
      </c>
    </row>
    <row r="158" spans="14:50" x14ac:dyDescent="0.35">
      <c r="N158" s="10">
        <v>40</v>
      </c>
      <c r="O158" s="50">
        <f t="shared" si="135"/>
        <v>251.18864315095806</v>
      </c>
      <c r="P158" s="48" t="str">
        <f t="shared" si="136"/>
        <v>547.187404092767</v>
      </c>
      <c r="Q158" s="17" t="str">
        <f t="shared" si="137"/>
        <v>1+30.2684847109905i</v>
      </c>
      <c r="R158" s="17">
        <f t="shared" si="146"/>
        <v>30.284999037468459</v>
      </c>
      <c r="S158" s="17">
        <f t="shared" si="147"/>
        <v>1.5377706759052914</v>
      </c>
      <c r="T158" s="17" t="str">
        <f t="shared" si="138"/>
        <v>1+0.000572738372599574i</v>
      </c>
      <c r="U158" s="17">
        <f t="shared" si="148"/>
        <v>1.0000001640146083</v>
      </c>
      <c r="V158" s="17">
        <f t="shared" si="149"/>
        <v>5.7273830997460798E-4</v>
      </c>
      <c r="W158" s="31" t="str">
        <f t="shared" si="139"/>
        <v>1-0.00994574384148199i</v>
      </c>
      <c r="X158" s="17">
        <f t="shared" si="150"/>
        <v>1.0000494576872487</v>
      </c>
      <c r="Y158" s="17">
        <f t="shared" si="151"/>
        <v>-9.9454159238423576E-3</v>
      </c>
      <c r="Z158" s="31" t="str">
        <f t="shared" si="140"/>
        <v>0.999979141905968+0.0475870645481508i</v>
      </c>
      <c r="AA158" s="17">
        <f t="shared" si="152"/>
        <v>1.0011107895529374</v>
      </c>
      <c r="AB158" s="17">
        <f t="shared" si="153"/>
        <v>4.755218287093621E-2</v>
      </c>
      <c r="AC158" s="66" t="str">
        <f t="shared" si="154"/>
        <v>-0.431310598109983-18.0436292556604i</v>
      </c>
      <c r="AD158" s="64">
        <f t="shared" si="155"/>
        <v>25.128958706068264</v>
      </c>
      <c r="AE158" s="61">
        <f t="shared" si="156"/>
        <v>-91.369323843503452</v>
      </c>
      <c r="AF158" s="31" t="str">
        <f t="shared" si="141"/>
        <v>-6627.51882264077</v>
      </c>
      <c r="AG158" s="31" t="str">
        <f t="shared" si="157"/>
        <v>1578.26479197648i</v>
      </c>
      <c r="AH158" s="31">
        <f t="shared" si="158"/>
        <v>1578.26479197648</v>
      </c>
      <c r="AI158" s="31">
        <f t="shared" si="159"/>
        <v>1.5707963267948966</v>
      </c>
      <c r="AJ158" s="31" t="str">
        <f t="shared" si="142"/>
        <v>0.999702733636606+0.770422066879357i</v>
      </c>
      <c r="AK158" s="31">
        <f t="shared" si="160"/>
        <v>1.2621234950571054</v>
      </c>
      <c r="AL158" s="31">
        <f t="shared" si="161"/>
        <v>0.65658737554230706</v>
      </c>
      <c r="AM158" s="31" t="str">
        <f t="shared" si="143"/>
        <v>1+0.915283100810921i</v>
      </c>
      <c r="AN158" s="31">
        <f t="shared" si="162"/>
        <v>1.355633857142132</v>
      </c>
      <c r="AO158" s="31">
        <f t="shared" si="163"/>
        <v>0.74119492518883301</v>
      </c>
      <c r="AP158" s="31" t="str">
        <f t="shared" si="144"/>
        <v>1+0.738627922644992i</v>
      </c>
      <c r="AQ158" s="31">
        <f t="shared" si="164"/>
        <v>1.243210041831571</v>
      </c>
      <c r="AR158" s="31">
        <f t="shared" si="165"/>
        <v>0.63618316349156712</v>
      </c>
      <c r="AS158" s="58" t="str">
        <f t="shared" si="166"/>
        <v>-3.70072007591187+4.21269841950826i</v>
      </c>
      <c r="AT158" s="49">
        <f t="shared" si="167"/>
        <v>14.975123326761484</v>
      </c>
      <c r="AU158" s="61">
        <f t="shared" si="168"/>
        <v>131.29826577503758</v>
      </c>
      <c r="AV158" s="58" t="str">
        <f t="shared" si="145"/>
        <v>77.6085282368927+64.9574395537581i</v>
      </c>
      <c r="AW158" s="64">
        <f t="shared" si="169"/>
        <v>40.104082032829744</v>
      </c>
      <c r="AX158" s="61">
        <f t="shared" si="170"/>
        <v>39.928941931534133</v>
      </c>
    </row>
    <row r="159" spans="14:50" x14ac:dyDescent="0.35">
      <c r="N159" s="10">
        <v>41</v>
      </c>
      <c r="O159" s="50">
        <f t="shared" si="135"/>
        <v>257.03957827688663</v>
      </c>
      <c r="P159" s="48" t="str">
        <f t="shared" si="136"/>
        <v>547.187404092767</v>
      </c>
      <c r="Q159" s="17" t="str">
        <f t="shared" si="137"/>
        <v>1+30.9735282917137i</v>
      </c>
      <c r="R159" s="17">
        <f t="shared" si="146"/>
        <v>30.989666904269704</v>
      </c>
      <c r="S159" s="17">
        <f t="shared" si="147"/>
        <v>1.5385219034979556</v>
      </c>
      <c r="T159" s="17" t="str">
        <f t="shared" si="138"/>
        <v>1+0.000586079163091426i</v>
      </c>
      <c r="U159" s="17">
        <f t="shared" si="148"/>
        <v>1.0000001717443781</v>
      </c>
      <c r="V159" s="17">
        <f t="shared" si="149"/>
        <v>5.8607909598756651E-4</v>
      </c>
      <c r="W159" s="31" t="str">
        <f t="shared" si="139"/>
        <v>1-0.010177409976008i</v>
      </c>
      <c r="X159" s="17">
        <f t="shared" si="150"/>
        <v>1.0000517884958857</v>
      </c>
      <c r="Y159" s="17">
        <f t="shared" si="151"/>
        <v>-1.0177058606909345E-2</v>
      </c>
      <c r="Z159" s="31" t="str">
        <f t="shared" si="140"/>
        <v>0.999978158894281+0.0486955096753345i</v>
      </c>
      <c r="AA159" s="17">
        <f t="shared" si="152"/>
        <v>1.001163109052734</v>
      </c>
      <c r="AB159" s="17">
        <f t="shared" si="153"/>
        <v>4.8658135629382558E-2</v>
      </c>
      <c r="AC159" s="66" t="str">
        <f t="shared" si="154"/>
        <v>-0.458076991204977-17.6315457433093i</v>
      </c>
      <c r="AD159" s="64">
        <f t="shared" si="155"/>
        <v>24.928738211867369</v>
      </c>
      <c r="AE159" s="61">
        <f t="shared" si="156"/>
        <v>-91.488240216777612</v>
      </c>
      <c r="AF159" s="31" t="str">
        <f t="shared" si="141"/>
        <v>-6627.51882264077</v>
      </c>
      <c r="AG159" s="31" t="str">
        <f t="shared" si="157"/>
        <v>1615.02730159297i</v>
      </c>
      <c r="AH159" s="31">
        <f t="shared" si="158"/>
        <v>1615.0273015929699</v>
      </c>
      <c r="AI159" s="31">
        <f t="shared" si="159"/>
        <v>1.5707963267948966</v>
      </c>
      <c r="AJ159" s="31" t="str">
        <f t="shared" si="142"/>
        <v>0.999688723904515+0.788367502136101i</v>
      </c>
      <c r="AK159" s="31">
        <f t="shared" si="160"/>
        <v>1.2731460494091607</v>
      </c>
      <c r="AL159" s="31">
        <f t="shared" si="161"/>
        <v>0.66775896686633007</v>
      </c>
      <c r="AM159" s="31" t="str">
        <f t="shared" si="143"/>
        <v>1+0.936602783012812i</v>
      </c>
      <c r="AN159" s="31">
        <f t="shared" si="162"/>
        <v>1.3701185252186558</v>
      </c>
      <c r="AO159" s="31">
        <f t="shared" si="163"/>
        <v>0.75267354623692029</v>
      </c>
      <c r="AP159" s="31" t="str">
        <f t="shared" si="144"/>
        <v>1+0.755832777145509i</v>
      </c>
      <c r="AQ159" s="31">
        <f t="shared" si="164"/>
        <v>1.2535083513912035</v>
      </c>
      <c r="AR159" s="31">
        <f t="shared" si="165"/>
        <v>0.64722364681076938</v>
      </c>
      <c r="AS159" s="58" t="str">
        <f t="shared" si="166"/>
        <v>-3.70045066525084+4.11721308602764i</v>
      </c>
      <c r="AT159" s="49">
        <f t="shared" si="167"/>
        <v>14.863564897675502</v>
      </c>
      <c r="AU159" s="61">
        <f t="shared" si="168"/>
        <v>131.9484303803863</v>
      </c>
      <c r="AV159" s="58" t="str">
        <f t="shared" si="145"/>
        <v>74.2879221680885+63.3586645926322i</v>
      </c>
      <c r="AW159" s="64">
        <f t="shared" si="169"/>
        <v>39.792303109542864</v>
      </c>
      <c r="AX159" s="61">
        <f t="shared" si="170"/>
        <v>40.460190163608701</v>
      </c>
    </row>
    <row r="160" spans="14:50" x14ac:dyDescent="0.35">
      <c r="N160" s="10">
        <v>42</v>
      </c>
      <c r="O160" s="50">
        <f t="shared" si="135"/>
        <v>263.02679918953817</v>
      </c>
      <c r="P160" s="48" t="str">
        <f t="shared" si="136"/>
        <v>547.187404092767</v>
      </c>
      <c r="Q160" s="17" t="str">
        <f t="shared" si="137"/>
        <v>1+31.6949944471202i</v>
      </c>
      <c r="R160" s="17">
        <f t="shared" si="146"/>
        <v>31.710765884837606</v>
      </c>
      <c r="S160" s="17">
        <f t="shared" si="147"/>
        <v>1.5392560662763664</v>
      </c>
      <c r="T160" s="17" t="str">
        <f t="shared" si="138"/>
        <v>1+0.000599730700513224i</v>
      </c>
      <c r="U160" s="17">
        <f t="shared" si="148"/>
        <v>1.0000001798384404</v>
      </c>
      <c r="V160" s="17">
        <f t="shared" si="149"/>
        <v>5.9973062861014379E-4</v>
      </c>
      <c r="W160" s="31" t="str">
        <f t="shared" si="139"/>
        <v>1-0.0104144723080172i</v>
      </c>
      <c r="X160" s="17">
        <f t="shared" si="150"/>
        <v>1.000054229146327</v>
      </c>
      <c r="Y160" s="17">
        <f t="shared" si="151"/>
        <v>-1.0414095810347369E-2</v>
      </c>
      <c r="Z160" s="31" t="str">
        <f t="shared" si="140"/>
        <v>0.99997712955468+0.0498297738063093i</v>
      </c>
      <c r="AA160" s="17">
        <f t="shared" si="152"/>
        <v>1.0012178913653138</v>
      </c>
      <c r="AB160" s="17">
        <f t="shared" si="153"/>
        <v>4.9789729424819823E-2</v>
      </c>
      <c r="AC160" s="66" t="str">
        <f t="shared" si="154"/>
        <v>-0.483631281362313-17.2287331540919i</v>
      </c>
      <c r="AD160" s="64">
        <f t="shared" si="155"/>
        <v>24.728487750591455</v>
      </c>
      <c r="AE160" s="61">
        <f t="shared" si="156"/>
        <v>-91.607939250199294</v>
      </c>
      <c r="AF160" s="31" t="str">
        <f t="shared" si="141"/>
        <v>-6627.51882264077</v>
      </c>
      <c r="AG160" s="31" t="str">
        <f t="shared" si="157"/>
        <v>1652.64612006218i</v>
      </c>
      <c r="AH160" s="31">
        <f t="shared" si="158"/>
        <v>1652.64612006218</v>
      </c>
      <c r="AI160" s="31">
        <f t="shared" si="159"/>
        <v>1.5707963267948966</v>
      </c>
      <c r="AJ160" s="31" t="str">
        <f t="shared" si="142"/>
        <v>0.999674053914092+0.806730940277754i</v>
      </c>
      <c r="AK160" s="31">
        <f t="shared" si="160"/>
        <v>1.2845867133325271</v>
      </c>
      <c r="AL160" s="31">
        <f t="shared" si="161"/>
        <v>0.67899103651965842</v>
      </c>
      <c r="AM160" s="31" t="str">
        <f t="shared" si="143"/>
        <v>1+0.958419064407661i</v>
      </c>
      <c r="AN160" s="31">
        <f t="shared" si="162"/>
        <v>1.3851234973893325</v>
      </c>
      <c r="AO160" s="31">
        <f t="shared" si="163"/>
        <v>0.76416946423677057</v>
      </c>
      <c r="AP160" s="31" t="str">
        <f t="shared" si="144"/>
        <v>1+0.773438384189099i</v>
      </c>
      <c r="AQ160" s="31">
        <f t="shared" si="164"/>
        <v>1.264202093866738</v>
      </c>
      <c r="AR160" s="31">
        <f t="shared" si="165"/>
        <v>0.65833370162317495</v>
      </c>
      <c r="AS160" s="58" t="str">
        <f t="shared" si="166"/>
        <v>-3.70017833672609+4.02389862549737i</v>
      </c>
      <c r="AT160" s="49">
        <f t="shared" si="167"/>
        <v>14.754253556072896</v>
      </c>
      <c r="AU160" s="61">
        <f t="shared" si="168"/>
        <v>132.6001070279834</v>
      </c>
      <c r="AV160" s="58" t="str">
        <f t="shared" si="145"/>
        <v>71.1161976480713+61.8033019376841i</v>
      </c>
      <c r="AW160" s="64">
        <f t="shared" si="169"/>
        <v>39.482741306664359</v>
      </c>
      <c r="AX160" s="61">
        <f t="shared" si="170"/>
        <v>40.99216777778409</v>
      </c>
    </row>
    <row r="161" spans="14:50" x14ac:dyDescent="0.35">
      <c r="N161" s="10">
        <v>43</v>
      </c>
      <c r="O161" s="50">
        <f t="shared" si="135"/>
        <v>269.15348039269179</v>
      </c>
      <c r="P161" s="48" t="str">
        <f t="shared" si="136"/>
        <v>547.187404092767</v>
      </c>
      <c r="Q161" s="17" t="str">
        <f t="shared" si="137"/>
        <v>1+32.4332657081156i</v>
      </c>
      <c r="R161" s="17">
        <f t="shared" si="146"/>
        <v>32.448678316585209</v>
      </c>
      <c r="S161" s="17">
        <f t="shared" si="147"/>
        <v>1.5399735503358563</v>
      </c>
      <c r="T161" s="17" t="str">
        <f t="shared" si="138"/>
        <v>1+0.000613700223090811i</v>
      </c>
      <c r="U161" s="17">
        <f t="shared" si="148"/>
        <v>1.0000001883139642</v>
      </c>
      <c r="V161" s="17">
        <f t="shared" si="149"/>
        <v>6.1370014604527332E-4</v>
      </c>
      <c r="W161" s="31" t="str">
        <f t="shared" si="139"/>
        <v>1-0.010657056531096i</v>
      </c>
      <c r="X161" s="17">
        <f t="shared" si="150"/>
        <v>1.000056784814696</v>
      </c>
      <c r="Y161" s="17">
        <f t="shared" si="151"/>
        <v>-1.0656653107811576E-2</v>
      </c>
      <c r="Z161" s="31" t="str">
        <f t="shared" si="140"/>
        <v>0.999976051703799+0.0509904583429315i</v>
      </c>
      <c r="AA161" s="17">
        <f t="shared" si="152"/>
        <v>1.0012752522773851</v>
      </c>
      <c r="AB161" s="17">
        <f t="shared" si="153"/>
        <v>5.0947552965830409E-2</v>
      </c>
      <c r="AC161" s="66" t="str">
        <f t="shared" si="154"/>
        <v>-0.508027343667028-16.834983144969i</v>
      </c>
      <c r="AD161" s="64">
        <f t="shared" si="155"/>
        <v>24.52820679682624</v>
      </c>
      <c r="AE161" s="61">
        <f t="shared" si="156"/>
        <v>-91.728483576040716</v>
      </c>
      <c r="AF161" s="31" t="str">
        <f t="shared" si="141"/>
        <v>-6627.51882264077</v>
      </c>
      <c r="AG161" s="31" t="str">
        <f t="shared" si="157"/>
        <v>1691.14119337961i</v>
      </c>
      <c r="AH161" s="31">
        <f t="shared" si="158"/>
        <v>1691.1411933796101</v>
      </c>
      <c r="AI161" s="31">
        <f t="shared" si="159"/>
        <v>1.5707963267948966</v>
      </c>
      <c r="AJ161" s="31" t="str">
        <f t="shared" si="142"/>
        <v>0.99965869254832+0.82552211784229i</v>
      </c>
      <c r="AK161" s="31">
        <f t="shared" si="160"/>
        <v>1.2964583559197869</v>
      </c>
      <c r="AL161" s="31">
        <f t="shared" si="161"/>
        <v>0.69027823211014905</v>
      </c>
      <c r="AM161" s="31" t="str">
        <f t="shared" si="143"/>
        <v>1+0.980743512276638i</v>
      </c>
      <c r="AN161" s="31">
        <f t="shared" si="162"/>
        <v>1.4006633560112567</v>
      </c>
      <c r="AO161" s="31">
        <f t="shared" si="163"/>
        <v>0.77567662147793359</v>
      </c>
      <c r="AP161" s="31" t="str">
        <f t="shared" si="144"/>
        <v>1+0.791454078501656i</v>
      </c>
      <c r="AQ161" s="31">
        <f t="shared" si="164"/>
        <v>1.2753037122101172</v>
      </c>
      <c r="AR161" s="31">
        <f t="shared" si="165"/>
        <v>0.66950824828903865</v>
      </c>
      <c r="AS161" s="58" t="str">
        <f t="shared" si="166"/>
        <v>-3.69990333586836+3.93270537318402i</v>
      </c>
      <c r="AT161" s="49">
        <f t="shared" si="167"/>
        <v>14.647198419848666</v>
      </c>
      <c r="AU161" s="61">
        <f t="shared" si="168"/>
        <v>133.25296426414781</v>
      </c>
      <c r="AV161" s="58" t="str">
        <f t="shared" si="145"/>
        <v>68.086680735228+60.2898884331947i</v>
      </c>
      <c r="AW161" s="64">
        <f t="shared" si="169"/>
        <v>39.175405216674903</v>
      </c>
      <c r="AX161" s="61">
        <f t="shared" si="170"/>
        <v>41.52448068810709</v>
      </c>
    </row>
    <row r="162" spans="14:50" x14ac:dyDescent="0.35">
      <c r="N162" s="10">
        <v>44</v>
      </c>
      <c r="O162" s="50">
        <f t="shared" si="135"/>
        <v>275.42287033381683</v>
      </c>
      <c r="P162" s="48" t="str">
        <f t="shared" si="136"/>
        <v>547.187404092767</v>
      </c>
      <c r="Q162" s="17" t="str">
        <f t="shared" si="137"/>
        <v>1+33.1887335158945i</v>
      </c>
      <c r="R162" s="17">
        <f t="shared" si="146"/>
        <v>33.203795451560332</v>
      </c>
      <c r="S162" s="17">
        <f t="shared" si="147"/>
        <v>1.5406747331394894</v>
      </c>
      <c r="T162" s="17" t="str">
        <f t="shared" si="138"/>
        <v>1+0.000627995137649964i</v>
      </c>
      <c r="U162" s="17">
        <f t="shared" si="148"/>
        <v>1.000000197188927</v>
      </c>
      <c r="V162" s="17">
        <f t="shared" si="149"/>
        <v>6.2799505509418389E-4</v>
      </c>
      <c r="W162" s="31" t="str">
        <f t="shared" si="139"/>
        <v>1-0.0109052912666104i</v>
      </c>
      <c r="X162" s="17">
        <f t="shared" si="150"/>
        <v>1.0000594609210043</v>
      </c>
      <c r="Y162" s="17">
        <f t="shared" si="151"/>
        <v>-1.0904858992161081E-2</v>
      </c>
      <c r="Z162" s="31" t="str">
        <f t="shared" si="140"/>
        <v>0.999974923055371+0.0521781786955057i</v>
      </c>
      <c r="AA162" s="17">
        <f t="shared" si="152"/>
        <v>1.0013353130053764</v>
      </c>
      <c r="AB162" s="17">
        <f t="shared" si="153"/>
        <v>5.2132208065863522E-2</v>
      </c>
      <c r="AC162" s="66" t="str">
        <f t="shared" si="154"/>
        <v>-0.53131662596467-16.4500918345772i</v>
      </c>
      <c r="AD162" s="64">
        <f t="shared" si="155"/>
        <v>24.327894761283829</v>
      </c>
      <c r="AE162" s="61">
        <f t="shared" si="156"/>
        <v>-91.849936240433109</v>
      </c>
      <c r="AF162" s="31" t="str">
        <f t="shared" si="141"/>
        <v>-6627.51882264077</v>
      </c>
      <c r="AG162" s="31" t="str">
        <f t="shared" si="157"/>
        <v>1730.53293214267i</v>
      </c>
      <c r="AH162" s="31">
        <f t="shared" si="158"/>
        <v>1730.53293214267</v>
      </c>
      <c r="AI162" s="31">
        <f t="shared" si="159"/>
        <v>1.5707963267948966</v>
      </c>
      <c r="AJ162" s="31" t="str">
        <f t="shared" si="142"/>
        <v>0.999642607223684+0.844750998160782i</v>
      </c>
      <c r="AK162" s="31">
        <f t="shared" si="160"/>
        <v>1.3087740794616165</v>
      </c>
      <c r="AL162" s="31">
        <f t="shared" si="161"/>
        <v>0.70161506375030702</v>
      </c>
      <c r="AM162" s="31" t="str">
        <f t="shared" si="143"/>
        <v>1+1.0035879633375i</v>
      </c>
      <c r="AN162" s="31">
        <f t="shared" si="162"/>
        <v>1.4167529072339717</v>
      </c>
      <c r="AO162" s="31">
        <f t="shared" si="163"/>
        <v>0.7871889305450871</v>
      </c>
      <c r="AP162" s="31" t="str">
        <f t="shared" si="144"/>
        <v>1+0.809889412242768i</v>
      </c>
      <c r="AQ162" s="31">
        <f t="shared" si="164"/>
        <v>1.2868258856826498</v>
      </c>
      <c r="AR162" s="31">
        <f t="shared" si="165"/>
        <v>0.68074204928964255</v>
      </c>
      <c r="AS162" s="58" t="str">
        <f t="shared" si="166"/>
        <v>-3.69962591876025+3.84358480510504i</v>
      </c>
      <c r="AT162" s="49">
        <f t="shared" si="167"/>
        <v>14.542406348187926</v>
      </c>
      <c r="AU162" s="61">
        <f t="shared" si="168"/>
        <v>133.90666776533874</v>
      </c>
      <c r="AV162" s="58" t="str">
        <f t="shared" si="145"/>
        <v>65.1929957784506+58.8170256069307i</v>
      </c>
      <c r="AW162" s="64">
        <f t="shared" si="169"/>
        <v>38.870301109471761</v>
      </c>
      <c r="AX162" s="61">
        <f t="shared" si="170"/>
        <v>42.056731524905629</v>
      </c>
    </row>
    <row r="163" spans="14:50" x14ac:dyDescent="0.35">
      <c r="N163" s="10">
        <v>45</v>
      </c>
      <c r="O163" s="50">
        <f t="shared" si="135"/>
        <v>281.83829312644554</v>
      </c>
      <c r="P163" s="48" t="str">
        <f t="shared" si="136"/>
        <v>547.187404092767</v>
      </c>
      <c r="Q163" s="17" t="str">
        <f t="shared" si="137"/>
        <v>1+33.9617984294882i</v>
      </c>
      <c r="R163" s="17">
        <f t="shared" si="146"/>
        <v>33.976517663898207</v>
      </c>
      <c r="S163" s="17">
        <f t="shared" si="147"/>
        <v>1.5413599837041587</v>
      </c>
      <c r="T163" s="17" t="str">
        <f t="shared" si="138"/>
        <v>1+0.000642623023543596i</v>
      </c>
      <c r="U163" s="17">
        <f t="shared" si="148"/>
        <v>1.0000002064821538</v>
      </c>
      <c r="V163" s="17">
        <f t="shared" si="149"/>
        <v>6.4262293508348485E-4</v>
      </c>
      <c r="W163" s="31" t="str">
        <f t="shared" si="139"/>
        <v>1-0.0111593081319029i</v>
      </c>
      <c r="X163" s="17">
        <f t="shared" si="150"/>
        <v>1.0000622631406422</v>
      </c>
      <c r="Y163" s="17">
        <f t="shared" si="151"/>
        <v>-1.1158844943042782E-2</v>
      </c>
      <c r="Z163" s="31" t="str">
        <f t="shared" si="140"/>
        <v>0.999973741215381+0.0533935646090839i</v>
      </c>
      <c r="AA163" s="17">
        <f t="shared" si="152"/>
        <v>1.0013982004487276</v>
      </c>
      <c r="AB163" s="17">
        <f t="shared" si="153"/>
        <v>5.334430990542495E-2</v>
      </c>
      <c r="AC163" s="66" t="str">
        <f t="shared" si="154"/>
        <v>-0.553548255458986-16.0738597182668i</v>
      </c>
      <c r="AD163" s="64">
        <f t="shared" si="155"/>
        <v>24.127550989608487</v>
      </c>
      <c r="AE163" s="61">
        <f t="shared" si="156"/>
        <v>-91.972360732699059</v>
      </c>
      <c r="AF163" s="31" t="str">
        <f t="shared" si="141"/>
        <v>-6627.51882264077</v>
      </c>
      <c r="AG163" s="31" t="str">
        <f t="shared" si="157"/>
        <v>1770.84222237266i</v>
      </c>
      <c r="AH163" s="31">
        <f t="shared" si="158"/>
        <v>1770.84222237266</v>
      </c>
      <c r="AI163" s="31">
        <f t="shared" si="159"/>
        <v>1.5707963267948966</v>
      </c>
      <c r="AJ163" s="31" t="str">
        <f t="shared" si="142"/>
        <v>0.999625763821052+0.8644277766401i</v>
      </c>
      <c r="AK163" s="31">
        <f t="shared" si="160"/>
        <v>1.3215472177420557</v>
      </c>
      <c r="AL163" s="31">
        <f t="shared" si="161"/>
        <v>0.71299591643710059</v>
      </c>
      <c r="AM163" s="31" t="str">
        <f t="shared" si="143"/>
        <v>1+1.02696453002058i</v>
      </c>
      <c r="AN163" s="31">
        <f t="shared" si="162"/>
        <v>1.4334071807830429</v>
      </c>
      <c r="AO163" s="31">
        <f t="shared" si="163"/>
        <v>0.79870029038355828</v>
      </c>
      <c r="AP163" s="31" t="str">
        <f t="shared" si="144"/>
        <v>1+0.828754160070404i</v>
      </c>
      <c r="AQ163" s="31">
        <f t="shared" si="164"/>
        <v>1.2987815281385862</v>
      </c>
      <c r="AR163" s="31">
        <f t="shared" si="165"/>
        <v>0.69202972008575181</v>
      </c>
      <c r="AS163" s="58" t="str">
        <f t="shared" si="166"/>
        <v>-3.69934635116028+3.75648951322941i</v>
      </c>
      <c r="AT163" s="49">
        <f t="shared" si="167"/>
        <v>14.439881916113915</v>
      </c>
      <c r="AU163" s="61">
        <f t="shared" si="168"/>
        <v>134.56088117147641</v>
      </c>
      <c r="AV163" s="58" t="str">
        <f t="shared" si="145"/>
        <v>62.4290521878132+57.3833760811344i</v>
      </c>
      <c r="AW163" s="64">
        <f t="shared" si="169"/>
        <v>38.567432905722406</v>
      </c>
      <c r="AX163" s="61">
        <f t="shared" si="170"/>
        <v>42.588520438777351</v>
      </c>
    </row>
    <row r="164" spans="14:50" x14ac:dyDescent="0.35">
      <c r="N164" s="10">
        <v>46</v>
      </c>
      <c r="O164" s="50">
        <f t="shared" si="135"/>
        <v>288.40315031266073</v>
      </c>
      <c r="P164" s="48" t="str">
        <f t="shared" si="136"/>
        <v>547.187404092767</v>
      </c>
      <c r="Q164" s="17" t="str">
        <f t="shared" si="137"/>
        <v>1+34.7528703381468i</v>
      </c>
      <c r="R164" s="17">
        <f t="shared" si="146"/>
        <v>34.767254662110489</v>
      </c>
      <c r="S164" s="17">
        <f t="shared" si="147"/>
        <v>1.5420296627831356</v>
      </c>
      <c r="T164" s="17" t="str">
        <f t="shared" si="138"/>
        <v>1+0.000657591636670432i</v>
      </c>
      <c r="U164" s="17">
        <f t="shared" si="148"/>
        <v>1.000000216213357</v>
      </c>
      <c r="V164" s="17">
        <f t="shared" si="149"/>
        <v>6.5759154188371619E-4</v>
      </c>
      <c r="W164" s="31" t="str">
        <f t="shared" si="139"/>
        <v>1-0.0114192418100779i</v>
      </c>
      <c r="X164" s="17">
        <f t="shared" si="150"/>
        <v>1.000065197416407</v>
      </c>
      <c r="Y164" s="17">
        <f t="shared" si="151"/>
        <v>-1.141874549601983E-2</v>
      </c>
      <c r="Z164" s="31" t="str">
        <f t="shared" si="140"/>
        <v>0.999972503676988+0.0546372604973652i</v>
      </c>
      <c r="AA164" s="17">
        <f t="shared" si="152"/>
        <v>1.0014640474548653</v>
      </c>
      <c r="AB164" s="17">
        <f t="shared" si="153"/>
        <v>5.4584487297344879E-2</v>
      </c>
      <c r="AC164" s="66" t="str">
        <f t="shared" si="154"/>
        <v>-0.574769140614629-15.7060915839534i</v>
      </c>
      <c r="AD164" s="64">
        <f t="shared" si="155"/>
        <v>23.927174761051823</v>
      </c>
      <c r="AE164" s="61">
        <f t="shared" si="156"/>
        <v>-92.095821014741048</v>
      </c>
      <c r="AF164" s="31" t="str">
        <f t="shared" si="141"/>
        <v>-6627.51882264077</v>
      </c>
      <c r="AG164" s="31" t="str">
        <f t="shared" si="157"/>
        <v>1812.09043658882i</v>
      </c>
      <c r="AH164" s="31">
        <f t="shared" si="158"/>
        <v>1812.09043658882</v>
      </c>
      <c r="AI164" s="31">
        <f t="shared" si="159"/>
        <v>1.5707963267948966</v>
      </c>
      <c r="AJ164" s="31" t="str">
        <f t="shared" si="142"/>
        <v>0.99960812661331+0.884562886168648i</v>
      </c>
      <c r="AK164" s="31">
        <f t="shared" si="160"/>
        <v>1.334791334395897</v>
      </c>
      <c r="AL164" s="31">
        <f t="shared" si="161"/>
        <v>0.72441506318924365</v>
      </c>
      <c r="AM164" s="31" t="str">
        <f t="shared" si="143"/>
        <v>1+1.05088560689096i</v>
      </c>
      <c r="AN164" s="31">
        <f t="shared" si="162"/>
        <v>1.4506414301165471</v>
      </c>
      <c r="AO164" s="31">
        <f t="shared" si="163"/>
        <v>0.81020460245283843</v>
      </c>
      <c r="AP164" s="31" t="str">
        <f t="shared" si="144"/>
        <v>1+0.848058324323567i</v>
      </c>
      <c r="AQ164" s="31">
        <f t="shared" si="164"/>
        <v>1.3111837862994251</v>
      </c>
      <c r="AR164" s="31">
        <f t="shared" si="165"/>
        <v>0.70336574083737857</v>
      </c>
      <c r="AS164" s="58" t="str">
        <f t="shared" si="166"/>
        <v>-3.6990649075456+3.67137318119185i</v>
      </c>
      <c r="AT164" s="49">
        <f t="shared" si="167"/>
        <v>14.339627398091295</v>
      </c>
      <c r="AU164" s="61">
        <f t="shared" si="168"/>
        <v>135.21526693025021</v>
      </c>
      <c r="AV164" s="58" t="str">
        <f t="shared" si="145"/>
        <v>59.7890317806573+55.9876602046701i</v>
      </c>
      <c r="AW164" s="64">
        <f t="shared" si="169"/>
        <v>38.266802159143126</v>
      </c>
      <c r="AX164" s="61">
        <f t="shared" si="170"/>
        <v>43.119445915509161</v>
      </c>
    </row>
    <row r="165" spans="14:50" x14ac:dyDescent="0.35">
      <c r="N165" s="10">
        <v>47</v>
      </c>
      <c r="O165" s="50">
        <f t="shared" si="135"/>
        <v>295.12092266663871</v>
      </c>
      <c r="P165" s="48" t="str">
        <f t="shared" si="136"/>
        <v>547.187404092767</v>
      </c>
      <c r="Q165" s="17" t="str">
        <f t="shared" si="137"/>
        <v>1+35.5623686786673i</v>
      </c>
      <c r="R165" s="17">
        <f t="shared" si="146"/>
        <v>35.576425706322119</v>
      </c>
      <c r="S165" s="17">
        <f t="shared" si="147"/>
        <v>1.5426841230451085</v>
      </c>
      <c r="T165" s="17" t="str">
        <f t="shared" si="138"/>
        <v>1+0.000672908913587284i</v>
      </c>
      <c r="U165" s="17">
        <f t="shared" si="148"/>
        <v>1.0000002264031773</v>
      </c>
      <c r="V165" s="17">
        <f t="shared" si="149"/>
        <v>6.7290881202148939E-4</v>
      </c>
      <c r="W165" s="31" t="str">
        <f t="shared" si="139"/>
        <v>1-0.0116852301214121i</v>
      </c>
      <c r="X165" s="17">
        <f t="shared" si="150"/>
        <v>1.0000682699711008</v>
      </c>
      <c r="Y165" s="17">
        <f t="shared" si="151"/>
        <v>-1.1684698313278145E-2</v>
      </c>
      <c r="Z165" s="31" t="str">
        <f t="shared" si="140"/>
        <v>0.999971207815208+0.0559099257843718i</v>
      </c>
      <c r="AA165" s="17">
        <f t="shared" si="152"/>
        <v>1.001532993096393</v>
      </c>
      <c r="AB165" s="17">
        <f t="shared" si="153"/>
        <v>5.5853382954983398E-2</v>
      </c>
      <c r="AC165" s="66" t="str">
        <f t="shared" si="154"/>
        <v>-0.595024068561693-15.3465964288388i</v>
      </c>
      <c r="AD165" s="64">
        <f t="shared" si="155"/>
        <v>23.72676528701507</v>
      </c>
      <c r="AE165" s="61">
        <f t="shared" si="156"/>
        <v>-92.220381550482244</v>
      </c>
      <c r="AF165" s="31" t="str">
        <f t="shared" si="141"/>
        <v>-6627.51882264077</v>
      </c>
      <c r="AG165" s="31" t="str">
        <f t="shared" si="157"/>
        <v>1854.29944514031i</v>
      </c>
      <c r="AH165" s="31">
        <f t="shared" si="158"/>
        <v>1854.2994451403099</v>
      </c>
      <c r="AI165" s="31">
        <f t="shared" si="159"/>
        <v>1.5707963267948966</v>
      </c>
      <c r="AJ165" s="31" t="str">
        <f t="shared" si="142"/>
        <v>0.999589658189576+0.905167002648015i</v>
      </c>
      <c r="AK165" s="31">
        <f t="shared" si="160"/>
        <v>1.3485202213694629</v>
      </c>
      <c r="AL165" s="31">
        <f t="shared" si="161"/>
        <v>0.73586667887265145</v>
      </c>
      <c r="AM165" s="31" t="str">
        <f t="shared" si="143"/>
        <v>1+1.07536387722022i</v>
      </c>
      <c r="AN165" s="31">
        <f t="shared" si="162"/>
        <v>1.4684711329917606</v>
      </c>
      <c r="AO165" s="31">
        <f t="shared" si="163"/>
        <v>0.82169578686386113</v>
      </c>
      <c r="AP165" s="31" t="str">
        <f t="shared" si="144"/>
        <v>1+0.867812140325664i</v>
      </c>
      <c r="AQ165" s="31">
        <f t="shared" si="164"/>
        <v>1.3240460380578201</v>
      </c>
      <c r="AR165" s="31">
        <f t="shared" si="165"/>
        <v>0.7147444689309459</v>
      </c>
      <c r="AS165" s="58" t="str">
        <f t="shared" si="166"/>
        <v>-3.69878187008167+3.58819056049949i</v>
      </c>
      <c r="AT165" s="49">
        <f t="shared" si="167"/>
        <v>14.241642760801998</v>
      </c>
      <c r="AU165" s="61">
        <f t="shared" si="168"/>
        <v>135.86948714733148</v>
      </c>
      <c r="AV165" s="58" t="str">
        <f t="shared" si="145"/>
        <v>57.2673766788128+54.628652892366i</v>
      </c>
      <c r="AW165" s="64">
        <f t="shared" si="169"/>
        <v>37.968408047817071</v>
      </c>
      <c r="AX165" s="61">
        <f t="shared" si="170"/>
        <v>43.649105596849239</v>
      </c>
    </row>
    <row r="166" spans="14:50" x14ac:dyDescent="0.35">
      <c r="N166" s="10">
        <v>48</v>
      </c>
      <c r="O166" s="50">
        <f t="shared" si="135"/>
        <v>301.99517204020168</v>
      </c>
      <c r="P166" s="48" t="str">
        <f t="shared" si="136"/>
        <v>547.187404092767</v>
      </c>
      <c r="Q166" s="17" t="str">
        <f t="shared" si="137"/>
        <v>1+36.3907226577848i</v>
      </c>
      <c r="R166" s="17">
        <f t="shared" si="146"/>
        <v>36.404459830573124</v>
      </c>
      <c r="S166" s="17">
        <f t="shared" si="147"/>
        <v>1.5433237092497496</v>
      </c>
      <c r="T166" s="17" t="str">
        <f t="shared" si="138"/>
        <v>1+0.000688582975717123i</v>
      </c>
      <c r="U166" s="17">
        <f t="shared" si="148"/>
        <v>1.000000237073229</v>
      </c>
      <c r="V166" s="17">
        <f t="shared" si="149"/>
        <v>6.8858286688741458E-4</v>
      </c>
      <c r="W166" s="31" t="str">
        <f t="shared" si="139"/>
        <v>1-0.011957414096429i</v>
      </c>
      <c r="X166" s="17">
        <f t="shared" si="150"/>
        <v>1.0000714873207182</v>
      </c>
      <c r="Y166" s="17">
        <f t="shared" si="151"/>
        <v>-1.1956844255946739E-2</v>
      </c>
      <c r="Z166" s="31" t="str">
        <f t="shared" si="140"/>
        <v>0.999969850881344+0.0572122352540848i</v>
      </c>
      <c r="AA166" s="17">
        <f t="shared" si="152"/>
        <v>1.0016051829610437</v>
      </c>
      <c r="AB166" s="17">
        <f t="shared" si="153"/>
        <v>5.7151653763219831E-2</v>
      </c>
      <c r="AC166" s="66" t="str">
        <f t="shared" si="154"/>
        <v>-0.614355798191063-14.9951873770507i</v>
      </c>
      <c r="AD166" s="64">
        <f t="shared" si="155"/>
        <v>23.526321709455431</v>
      </c>
      <c r="AE166" s="61">
        <f t="shared" si="156"/>
        <v>-92.346107335354802</v>
      </c>
      <c r="AF166" s="31" t="str">
        <f t="shared" si="141"/>
        <v>-6627.51882264077</v>
      </c>
      <c r="AG166" s="31" t="str">
        <f t="shared" si="157"/>
        <v>1897.49162780217i</v>
      </c>
      <c r="AH166" s="31">
        <f t="shared" si="158"/>
        <v>1897.4916278021699</v>
      </c>
      <c r="AI166" s="31">
        <f t="shared" si="159"/>
        <v>1.5707963267948966</v>
      </c>
      <c r="AJ166" s="31" t="str">
        <f t="shared" si="142"/>
        <v>0.999570319375846+0.926251050653489i</v>
      </c>
      <c r="AK166" s="31">
        <f t="shared" si="160"/>
        <v>1.3627478975268399</v>
      </c>
      <c r="AL166" s="31">
        <f t="shared" si="161"/>
        <v>0.74734485463703304</v>
      </c>
      <c r="AM166" s="31" t="str">
        <f t="shared" si="143"/>
        <v>1+1.10041231971131i</v>
      </c>
      <c r="AN166" s="31">
        <f t="shared" si="162"/>
        <v>1.4869119924771697</v>
      </c>
      <c r="AO166" s="31">
        <f t="shared" si="163"/>
        <v>0.83316779839603883</v>
      </c>
      <c r="AP166" s="31" t="str">
        <f t="shared" si="144"/>
        <v>1+0.888026081811414i</v>
      </c>
      <c r="AQ166" s="31">
        <f t="shared" si="164"/>
        <v>1.3373818908514248</v>
      </c>
      <c r="AR166" s="31">
        <f t="shared" si="165"/>
        <v>0.72616015225123198</v>
      </c>
      <c r="AS166" s="58" t="str">
        <f t="shared" si="166"/>
        <v>-3.69849752752494+3.50689744720865i</v>
      </c>
      <c r="AT166" s="49">
        <f t="shared" si="167"/>
        <v>14.145925665127759</v>
      </c>
      <c r="AU166" s="61">
        <f t="shared" si="168"/>
        <v>136.52320443735255</v>
      </c>
      <c r="AV166" s="58" t="str">
        <f t="shared" si="145"/>
        <v>54.8587777336247+53.3051806584411i</v>
      </c>
      <c r="AW166" s="64">
        <f t="shared" si="169"/>
        <v>37.672247374583179</v>
      </c>
      <c r="AX166" s="61">
        <f t="shared" si="170"/>
        <v>44.177097101997759</v>
      </c>
    </row>
    <row r="167" spans="14:50" x14ac:dyDescent="0.35">
      <c r="N167" s="10">
        <v>49</v>
      </c>
      <c r="O167" s="50">
        <f t="shared" si="135"/>
        <v>309.02954325135937</v>
      </c>
      <c r="P167" s="48" t="str">
        <f t="shared" si="136"/>
        <v>547.187404092767</v>
      </c>
      <c r="Q167" s="17" t="str">
        <f t="shared" si="137"/>
        <v>1+37.2383714797436i</v>
      </c>
      <c r="R167" s="17">
        <f t="shared" si="146"/>
        <v>37.251796070302184</v>
      </c>
      <c r="S167" s="17">
        <f t="shared" si="147"/>
        <v>1.5439487584198455</v>
      </c>
      <c r="T167" s="17" t="str">
        <f t="shared" si="138"/>
        <v>1+0.00070462213365516i</v>
      </c>
      <c r="U167" s="17">
        <f t="shared" si="148"/>
        <v>1.0000002482461448</v>
      </c>
      <c r="V167" s="17">
        <f t="shared" si="149"/>
        <v>7.0462201704202807E-4</v>
      </c>
      <c r="W167" s="31" t="str">
        <f t="shared" si="139"/>
        <v>1-0.0122359380506748i</v>
      </c>
      <c r="X167" s="17">
        <f t="shared" si="150"/>
        <v>1.000074856288258</v>
      </c>
      <c r="Y167" s="17">
        <f t="shared" si="151"/>
        <v>-1.2235327458065519E-2</v>
      </c>
      <c r="Z167" s="31" t="str">
        <f t="shared" si="140"/>
        <v>0.999968429997156+0.0585448794082228i</v>
      </c>
      <c r="AA167" s="17">
        <f t="shared" si="152"/>
        <v>1.0016807694549699</v>
      </c>
      <c r="AB167" s="17">
        <f t="shared" si="153"/>
        <v>5.8479971052047781E-2</v>
      </c>
      <c r="AC167" s="66" t="str">
        <f t="shared" si="154"/>
        <v>-0.632805149122072-14.6516815982472i</v>
      </c>
      <c r="AD167" s="64">
        <f t="shared" si="155"/>
        <v>23.325843099154532</v>
      </c>
      <c r="AE167" s="61">
        <f t="shared" si="156"/>
        <v>-92.473063925829422</v>
      </c>
      <c r="AF167" s="31" t="str">
        <f t="shared" si="141"/>
        <v>-6627.51882264077</v>
      </c>
      <c r="AG167" s="31" t="str">
        <f t="shared" si="157"/>
        <v>1941.68988564136i</v>
      </c>
      <c r="AH167" s="31">
        <f t="shared" si="158"/>
        <v>1941.68988564136</v>
      </c>
      <c r="AI167" s="31">
        <f t="shared" si="159"/>
        <v>1.5707963267948966</v>
      </c>
      <c r="AJ167" s="31" t="str">
        <f t="shared" si="142"/>
        <v>0.999550069151904+0.947826209226402i</v>
      </c>
      <c r="AK167" s="31">
        <f t="shared" si="160"/>
        <v>1.3774886074440207</v>
      </c>
      <c r="AL167" s="31">
        <f t="shared" si="161"/>
        <v>0.75884361287959257</v>
      </c>
      <c r="AM167" s="31" t="str">
        <f t="shared" si="143"/>
        <v>1+1.12604421537999i</v>
      </c>
      <c r="AN167" s="31">
        <f t="shared" si="162"/>
        <v>1.5059799384423211</v>
      </c>
      <c r="AO167" s="31">
        <f t="shared" si="163"/>
        <v>0.84461464229141248</v>
      </c>
      <c r="AP167" s="31" t="str">
        <f t="shared" si="144"/>
        <v>1+0.908710866480155i</v>
      </c>
      <c r="AQ167" s="31">
        <f t="shared" si="164"/>
        <v>1.3512051801481202</v>
      </c>
      <c r="AR167" s="31">
        <f t="shared" si="165"/>
        <v>0.73760694312723807</v>
      </c>
      <c r="AS167" s="58" t="str">
        <f t="shared" si="166"/>
        <v>-3.69821217406856+3.42745065905359i</v>
      </c>
      <c r="AT167" s="49">
        <f t="shared" si="167"/>
        <v>14.052471477303779</v>
      </c>
      <c r="AU167" s="61">
        <f t="shared" si="168"/>
        <v>137.17608277052648</v>
      </c>
      <c r="AV167" s="58" t="str">
        <f t="shared" si="145"/>
        <v>52.5581634564522+52.0161188318031i</v>
      </c>
      <c r="AW167" s="64">
        <f t="shared" si="169"/>
        <v>37.378314576458308</v>
      </c>
      <c r="AX167" s="61">
        <f t="shared" si="170"/>
        <v>44.70301884469707</v>
      </c>
    </row>
    <row r="168" spans="14:50" x14ac:dyDescent="0.35">
      <c r="N168" s="10">
        <v>50</v>
      </c>
      <c r="O168" s="50">
        <f t="shared" si="135"/>
        <v>316.22776601683825</v>
      </c>
      <c r="P168" s="48" t="str">
        <f t="shared" si="136"/>
        <v>547.187404092767</v>
      </c>
      <c r="Q168" s="17" t="str">
        <f t="shared" si="137"/>
        <v>1+38.1057645791691i</v>
      </c>
      <c r="R168" s="17">
        <f t="shared" si="146"/>
        <v>38.118883695132759</v>
      </c>
      <c r="S168" s="17">
        <f t="shared" si="147"/>
        <v>1.5445596000100354</v>
      </c>
      <c r="T168" s="17" t="str">
        <f t="shared" si="138"/>
        <v>1+0.000721034891575238i</v>
      </c>
      <c r="U168" s="17">
        <f t="shared" si="148"/>
        <v>1.0000002599456237</v>
      </c>
      <c r="V168" s="17">
        <f t="shared" si="149"/>
        <v>7.2103476662201767E-4</v>
      </c>
      <c r="W168" s="31" t="str">
        <f t="shared" si="139"/>
        <v>1-0.012520949661237i</v>
      </c>
      <c r="X168" s="17">
        <f t="shared" si="150"/>
        <v>1.0000783840181824</v>
      </c>
      <c r="Y168" s="17">
        <f t="shared" si="151"/>
        <v>-1.2520295402238044E-2</v>
      </c>
      <c r="Z168" s="31" t="str">
        <f t="shared" si="140"/>
        <v>0.99996694214876+0.0599085648323561i</v>
      </c>
      <c r="AA168" s="17">
        <f t="shared" si="152"/>
        <v>1.0017599121199723</v>
      </c>
      <c r="AB168" s="17">
        <f t="shared" si="153"/>
        <v>5.9839020872583297E-2</v>
      </c>
      <c r="AC168" s="66" t="str">
        <f t="shared" si="154"/>
        <v>-0.650411086716553-14.3159002272239i</v>
      </c>
      <c r="AD168" s="64">
        <f t="shared" si="155"/>
        <v>23.125328453845064</v>
      </c>
      <c r="AE168" s="61">
        <f t="shared" si="156"/>
        <v>-92.601317468979516</v>
      </c>
      <c r="AF168" s="31" t="str">
        <f t="shared" si="141"/>
        <v>-6627.51882264077</v>
      </c>
      <c r="AG168" s="31" t="str">
        <f t="shared" si="157"/>
        <v>1986.91765315922i</v>
      </c>
      <c r="AH168" s="31">
        <f t="shared" si="158"/>
        <v>1986.91765315922</v>
      </c>
      <c r="AI168" s="31">
        <f t="shared" si="159"/>
        <v>1.5707963267948966</v>
      </c>
      <c r="AJ168" s="31" t="str">
        <f t="shared" si="142"/>
        <v>0.99952886456431+0.969903917801409i</v>
      </c>
      <c r="AK168" s="31">
        <f t="shared" si="160"/>
        <v>1.3927568204333953</v>
      </c>
      <c r="AL168" s="31">
        <f t="shared" si="161"/>
        <v>0.77035692264574951</v>
      </c>
      <c r="AM168" s="31" t="str">
        <f t="shared" si="143"/>
        <v>1+1.15227315459663i</v>
      </c>
      <c r="AN168" s="31">
        <f t="shared" si="162"/>
        <v>1.5256911295554119</v>
      </c>
      <c r="AO168" s="31">
        <f t="shared" si="163"/>
        <v>0.85603038972604772</v>
      </c>
      <c r="AP168" s="31" t="str">
        <f t="shared" si="144"/>
        <v>1+0.929877461678514i</v>
      </c>
      <c r="AQ168" s="31">
        <f t="shared" si="164"/>
        <v>1.3655299680848005</v>
      </c>
      <c r="AR168" s="31">
        <f t="shared" si="165"/>
        <v>0.74907891287355943</v>
      </c>
      <c r="AS168" s="58" t="str">
        <f t="shared" si="166"/>
        <v>-3.69792610813987+3.34980801300714i</v>
      </c>
      <c r="AT168" s="49">
        <f t="shared" si="167"/>
        <v>13.961273289126002</v>
      </c>
      <c r="AU168" s="61">
        <f t="shared" si="168"/>
        <v>137.82778830985694</v>
      </c>
      <c r="AV168" s="58" t="str">
        <f t="shared" si="145"/>
        <v>50.3606894331581+50.760388941745i</v>
      </c>
      <c r="AW168" s="64">
        <f t="shared" si="169"/>
        <v>37.086601742971069</v>
      </c>
      <c r="AX168" s="61">
        <f t="shared" si="170"/>
        <v>45.226470840877475</v>
      </c>
    </row>
    <row r="169" spans="14:50" x14ac:dyDescent="0.35">
      <c r="N169" s="10">
        <v>51</v>
      </c>
      <c r="O169" s="50">
        <f t="shared" si="135"/>
        <v>323.59365692962825</v>
      </c>
      <c r="P169" s="48" t="str">
        <f t="shared" si="136"/>
        <v>547.187404092767</v>
      </c>
      <c r="Q169" s="17" t="str">
        <f t="shared" si="137"/>
        <v>1+38.9933618593639i</v>
      </c>
      <c r="R169" s="17">
        <f t="shared" si="146"/>
        <v>39.006182447085173</v>
      </c>
      <c r="S169" s="17">
        <f t="shared" si="147"/>
        <v>1.5451565560721972</v>
      </c>
      <c r="T169" s="17" t="str">
        <f t="shared" si="138"/>
        <v>1+0.000737829951738853i</v>
      </c>
      <c r="U169" s="17">
        <f t="shared" si="148"/>
        <v>1.0000002721964818</v>
      </c>
      <c r="V169" s="17">
        <f t="shared" si="149"/>
        <v>7.3782981784906718E-4</v>
      </c>
      <c r="W169" s="31" t="str">
        <f t="shared" si="139"/>
        <v>1-0.0128126000450439i</v>
      </c>
      <c r="X169" s="17">
        <f t="shared" si="150"/>
        <v>1.0000820779915587</v>
      </c>
      <c r="Y169" s="17">
        <f t="shared" si="151"/>
        <v>-1.2811898997003321E-2</v>
      </c>
      <c r="Z169" s="31" t="str">
        <f t="shared" si="140"/>
        <v>0.99996538418023+0.0613040145705472i</v>
      </c>
      <c r="AA169" s="17">
        <f t="shared" si="152"/>
        <v>1.0018427779652759</v>
      </c>
      <c r="AB169" s="17">
        <f t="shared" si="153"/>
        <v>6.1229504275266015E-2</v>
      </c>
      <c r="AC169" s="66" t="str">
        <f t="shared" si="154"/>
        <v>-0.66721080330647-13.9876682845604i</v>
      </c>
      <c r="AD169" s="64">
        <f t="shared" si="155"/>
        <v>22.924776696193618</v>
      </c>
      <c r="AE169" s="61">
        <f t="shared" si="156"/>
        <v>-92.730934732071731</v>
      </c>
      <c r="AF169" s="31" t="str">
        <f t="shared" si="141"/>
        <v>-6627.51882264077</v>
      </c>
      <c r="AG169" s="31" t="str">
        <f t="shared" si="157"/>
        <v>2033.19891071675i</v>
      </c>
      <c r="AH169" s="31">
        <f t="shared" si="158"/>
        <v>2033.1989107167501</v>
      </c>
      <c r="AI169" s="31">
        <f t="shared" si="159"/>
        <v>1.5707963267948966</v>
      </c>
      <c r="AJ169" s="31" t="str">
        <f t="shared" si="142"/>
        <v>0.99950666063529+0.992495882271829i</v>
      </c>
      <c r="AK169" s="31">
        <f t="shared" si="160"/>
        <v>1.4085672298406084</v>
      </c>
      <c r="AL169" s="31">
        <f t="shared" si="161"/>
        <v>0.78187871537162568</v>
      </c>
      <c r="AM169" s="31" t="str">
        <f t="shared" si="143"/>
        <v>1+1.17911304429197i</v>
      </c>
      <c r="AN169" s="31">
        <f t="shared" si="162"/>
        <v>1.5460619558153152</v>
      </c>
      <c r="AO169" s="31">
        <f t="shared" si="163"/>
        <v>0.86740919286251039</v>
      </c>
      <c r="AP169" s="31" t="str">
        <f t="shared" si="144"/>
        <v>1+0.951537090215438i</v>
      </c>
      <c r="AQ169" s="31">
        <f t="shared" si="164"/>
        <v>1.3803705423021975</v>
      </c>
      <c r="AR169" s="31">
        <f t="shared" si="165"/>
        <v>0.76057006684199735</v>
      </c>
      <c r="AS169" s="58" t="str">
        <f t="shared" si="166"/>
        <v>-3.69763963116027+3.27392830325746i</v>
      </c>
      <c r="AT169" s="49">
        <f t="shared" si="167"/>
        <v>13.872321947025474</v>
      </c>
      <c r="AU169" s="61">
        <f t="shared" si="168"/>
        <v>138.4779902339958</v>
      </c>
      <c r="AV169" s="58" t="str">
        <f t="shared" si="145"/>
        <v>48.2617282020433+49.5369562633299i</v>
      </c>
      <c r="AW169" s="64">
        <f t="shared" si="169"/>
        <v>36.797098643219087</v>
      </c>
      <c r="AX169" s="61">
        <f t="shared" si="170"/>
        <v>45.747055501924052</v>
      </c>
    </row>
    <row r="170" spans="14:50" x14ac:dyDescent="0.35">
      <c r="N170" s="10">
        <v>52</v>
      </c>
      <c r="O170" s="50">
        <f t="shared" si="135"/>
        <v>331.13112148259137</v>
      </c>
      <c r="P170" s="48" t="str">
        <f t="shared" si="136"/>
        <v>547.187404092767</v>
      </c>
      <c r="Q170" s="17" t="str">
        <f t="shared" si="137"/>
        <v>1+39.9016339361548i</v>
      </c>
      <c r="R170" s="17">
        <f t="shared" si="146"/>
        <v>39.914162784341357</v>
      </c>
      <c r="S170" s="17">
        <f t="shared" si="147"/>
        <v>1.5457399414175288</v>
      </c>
      <c r="T170" s="17" t="str">
        <f t="shared" si="138"/>
        <v>1+0.000755016219109218i</v>
      </c>
      <c r="U170" s="17">
        <f t="shared" si="148"/>
        <v>1.0000002850247049</v>
      </c>
      <c r="V170" s="17">
        <f t="shared" si="149"/>
        <v>7.5501607564372995E-4</v>
      </c>
      <c r="W170" s="31" t="str">
        <f t="shared" si="139"/>
        <v>1-0.0131110438389895i</v>
      </c>
      <c r="X170" s="17">
        <f t="shared" si="150"/>
        <v>1.0000859460419129</v>
      </c>
      <c r="Y170" s="17">
        <f t="shared" si="151"/>
        <v>-1.3110292655966672E-2</v>
      </c>
      <c r="Z170" s="31" t="str">
        <f t="shared" si="140"/>
        <v>0.999963752786904+0.0627319685087184i</v>
      </c>
      <c r="AA170" s="17">
        <f t="shared" si="152"/>
        <v>1.0019295418145167</v>
      </c>
      <c r="AB170" s="17">
        <f t="shared" si="153"/>
        <v>6.265213759001341E-2</v>
      </c>
      <c r="AC170" s="66" t="str">
        <f t="shared" si="154"/>
        <v>-0.683239795795358-13.6668145983352i</v>
      </c>
      <c r="AD170" s="64">
        <f t="shared" si="155"/>
        <v>22.724186671635497</v>
      </c>
      <c r="AE170" s="61">
        <f t="shared" si="156"/>
        <v>-92.861983132173549</v>
      </c>
      <c r="AF170" s="31" t="str">
        <f t="shared" si="141"/>
        <v>-6627.51882264077</v>
      </c>
      <c r="AG170" s="31" t="str">
        <f t="shared" si="157"/>
        <v>2080.55819724932i</v>
      </c>
      <c r="AH170" s="31">
        <f t="shared" si="158"/>
        <v>2080.5581972493201</v>
      </c>
      <c r="AI170" s="31">
        <f t="shared" si="159"/>
        <v>1.5707963267948966</v>
      </c>
      <c r="AJ170" s="31" t="str">
        <f t="shared" si="142"/>
        <v>0.999483410267335+1.01561408119627i</v>
      </c>
      <c r="AK170" s="31">
        <f t="shared" si="160"/>
        <v>1.4249347526549296</v>
      </c>
      <c r="AL170" s="31">
        <f t="shared" si="161"/>
        <v>0.79340290086902399</v>
      </c>
      <c r="AM170" s="31" t="str">
        <f t="shared" si="143"/>
        <v>1+1.2065781153308i</v>
      </c>
      <c r="AN170" s="31">
        <f t="shared" si="162"/>
        <v>1.5671090416417184</v>
      </c>
      <c r="AO170" s="31">
        <f t="shared" si="163"/>
        <v>0.87874529939229562</v>
      </c>
      <c r="AP170" s="31" t="str">
        <f t="shared" si="144"/>
        <v>1+0.97370123631268i</v>
      </c>
      <c r="AQ170" s="31">
        <f t="shared" si="164"/>
        <v>1.3957414150181406</v>
      </c>
      <c r="AR170" s="31">
        <f t="shared" si="165"/>
        <v>0.77207435989224471</v>
      </c>
      <c r="AS170" s="58" t="str">
        <f t="shared" si="166"/>
        <v>-3.69735304627845+3.19977127958432i</v>
      </c>
      <c r="AT170" s="49">
        <f t="shared" si="167"/>
        <v>13.785606089749713</v>
      </c>
      <c r="AU170" s="61">
        <f t="shared" si="168"/>
        <v>139.12636154099715</v>
      </c>
      <c r="AV170" s="58" t="str">
        <f t="shared" si="145"/>
        <v>46.2568595754793+48.3448275124224i</v>
      </c>
      <c r="AW170" s="64">
        <f t="shared" si="169"/>
        <v>36.509792761385214</v>
      </c>
      <c r="AX170" s="61">
        <f t="shared" si="170"/>
        <v>46.264378408823603</v>
      </c>
    </row>
    <row r="171" spans="14:50" x14ac:dyDescent="0.35">
      <c r="N171" s="10">
        <v>53</v>
      </c>
      <c r="O171" s="50">
        <f t="shared" si="135"/>
        <v>338.84415613920277</v>
      </c>
      <c r="P171" s="48" t="str">
        <f t="shared" si="136"/>
        <v>547.187404092767</v>
      </c>
      <c r="Q171" s="17" t="str">
        <f t="shared" si="137"/>
        <v>1+40.831062387419i</v>
      </c>
      <c r="R171" s="17">
        <f t="shared" si="146"/>
        <v>40.843306130690529</v>
      </c>
      <c r="S171" s="17">
        <f t="shared" si="147"/>
        <v>1.5463100637753646</v>
      </c>
      <c r="T171" s="17" t="str">
        <f t="shared" si="138"/>
        <v>1+0.00077260280607277i</v>
      </c>
      <c r="U171" s="17">
        <f t="shared" si="148"/>
        <v>1.0000002984575034</v>
      </c>
      <c r="V171" s="17">
        <f t="shared" si="149"/>
        <v>7.7260265234673235E-4</v>
      </c>
      <c r="W171" s="31" t="str">
        <f t="shared" si="139"/>
        <v>1-0.0134164392819237i</v>
      </c>
      <c r="X171" s="17">
        <f t="shared" si="150"/>
        <v>1.0000899963718293</v>
      </c>
      <c r="Y171" s="17">
        <f t="shared" si="151"/>
        <v>-1.3415634378724905E-2</v>
      </c>
      <c r="Z171" s="31" t="str">
        <f t="shared" si="140"/>
        <v>0.99996204450838+0.0641931837669483i</v>
      </c>
      <c r="AA171" s="17">
        <f t="shared" si="152"/>
        <v>1.0020203866686128</v>
      </c>
      <c r="AB171" s="17">
        <f t="shared" si="153"/>
        <v>6.41076527080605E-2</v>
      </c>
      <c r="AC171" s="66" t="str">
        <f t="shared" si="154"/>
        <v>-0.698531939787322-13.3531717269353i</v>
      </c>
      <c r="AD171" s="64">
        <f t="shared" si="155"/>
        <v>22.523557146057904</v>
      </c>
      <c r="AE171" s="61">
        <f t="shared" si="156"/>
        <v>-92.994530765767323</v>
      </c>
      <c r="AF171" s="31" t="str">
        <f t="shared" si="141"/>
        <v>-6627.51882264077</v>
      </c>
      <c r="AG171" s="31" t="str">
        <f t="shared" si="157"/>
        <v>2129.0206232775i</v>
      </c>
      <c r="AH171" s="31">
        <f t="shared" si="158"/>
        <v>2129.0206232774999</v>
      </c>
      <c r="AI171" s="31">
        <f t="shared" si="159"/>
        <v>1.5707963267948966</v>
      </c>
      <c r="AJ171" s="31" t="str">
        <f t="shared" si="142"/>
        <v>0.999459064143297+1.0392707721498i</v>
      </c>
      <c r="AK171" s="31">
        <f t="shared" si="160"/>
        <v>1.441874529473018</v>
      </c>
      <c r="AL171" s="31">
        <f t="shared" si="161"/>
        <v>0.8049233834507189</v>
      </c>
      <c r="AM171" s="31" t="str">
        <f t="shared" si="143"/>
        <v>1+1.23468293005732i</v>
      </c>
      <c r="AN171" s="31">
        <f t="shared" si="162"/>
        <v>1.5888492495434956</v>
      </c>
      <c r="AO171" s="31">
        <f t="shared" si="163"/>
        <v>0.89003306648288294</v>
      </c>
      <c r="AP171" s="31" t="str">
        <f t="shared" si="144"/>
        <v>1+0.996381651693868i</v>
      </c>
      <c r="AQ171" s="31">
        <f t="shared" si="164"/>
        <v>1.4116573223811084</v>
      </c>
      <c r="AR171" s="31">
        <f t="shared" si="165"/>
        <v>0.78358571218552975</v>
      </c>
      <c r="AS171" s="58" t="str">
        <f t="shared" si="166"/>
        <v>-3.69706665708789+3.12729762612147i</v>
      </c>
      <c r="AT171" s="49">
        <f t="shared" si="167"/>
        <v>13.701112194325535</v>
      </c>
      <c r="AU171" s="61">
        <f t="shared" si="168"/>
        <v>139.77257982842281</v>
      </c>
      <c r="AV171" s="58" t="str">
        <f t="shared" si="145"/>
        <v>44.3418613863357+47.1830486809543i</v>
      </c>
      <c r="AW171" s="64">
        <f t="shared" si="169"/>
        <v>36.224669340383436</v>
      </c>
      <c r="AX171" s="61">
        <f t="shared" si="170"/>
        <v>46.778049062655512</v>
      </c>
    </row>
    <row r="172" spans="14:50" x14ac:dyDescent="0.35">
      <c r="N172" s="10">
        <v>54</v>
      </c>
      <c r="O172" s="50">
        <f t="shared" si="135"/>
        <v>346.73685045253183</v>
      </c>
      <c r="P172" s="48" t="str">
        <f t="shared" si="136"/>
        <v>547.187404092767</v>
      </c>
      <c r="Q172" s="17" t="str">
        <f t="shared" si="137"/>
        <v>1+41.7821400084242i</v>
      </c>
      <c r="R172" s="17">
        <f t="shared" si="146"/>
        <v>41.79410513079042</v>
      </c>
      <c r="S172" s="17">
        <f t="shared" si="147"/>
        <v>1.5468672239487775</v>
      </c>
      <c r="T172" s="17" t="str">
        <f t="shared" si="138"/>
        <v>1+0.000790599037270713i</v>
      </c>
      <c r="U172" s="17">
        <f t="shared" si="148"/>
        <v>1.0000003125233701</v>
      </c>
      <c r="V172" s="17">
        <f t="shared" si="149"/>
        <v>7.9059887255029872E-4</v>
      </c>
      <c r="W172" s="31" t="str">
        <f t="shared" si="139"/>
        <v>1-0.0137289482985527i</v>
      </c>
      <c r="X172" s="17">
        <f t="shared" si="150"/>
        <v>1.0000942375703323</v>
      </c>
      <c r="Y172" s="17">
        <f t="shared" si="151"/>
        <v>-1.372808583362555E-2</v>
      </c>
      <c r="Z172" s="31" t="str">
        <f t="shared" si="140"/>
        <v>0.99996025572117+0.0656884351009088i</v>
      </c>
      <c r="AA172" s="17">
        <f t="shared" si="152"/>
        <v>1.0021155040852097</v>
      </c>
      <c r="AB172" s="17">
        <f t="shared" si="153"/>
        <v>6.5596797365196399E-2</v>
      </c>
      <c r="AC172" s="66" t="str">
        <f t="shared" si="154"/>
        <v>-0.713119560391073-13.0465758829841i</v>
      </c>
      <c r="AD172" s="64">
        <f t="shared" si="155"/>
        <v>22.322886803328153</v>
      </c>
      <c r="AE172" s="61">
        <f t="shared" si="156"/>
        <v>-93.128646438358658</v>
      </c>
      <c r="AF172" s="31" t="str">
        <f t="shared" si="141"/>
        <v>-6627.51882264077</v>
      </c>
      <c r="AG172" s="31" t="str">
        <f t="shared" si="157"/>
        <v>2178.61188422107i</v>
      </c>
      <c r="AH172" s="31">
        <f t="shared" si="158"/>
        <v>2178.6118842210699</v>
      </c>
      <c r="AI172" s="31">
        <f t="shared" si="159"/>
        <v>1.5707963267948966</v>
      </c>
      <c r="AJ172" s="31" t="str">
        <f t="shared" si="142"/>
        <v>0.999433570621781+1.0634784982231i</v>
      </c>
      <c r="AK172" s="31">
        <f t="shared" si="160"/>
        <v>1.4594019248543777</v>
      </c>
      <c r="AL172" s="31">
        <f t="shared" si="161"/>
        <v>0.81643407809224078</v>
      </c>
      <c r="AM172" s="31" t="str">
        <f t="shared" si="143"/>
        <v>1+1.26344239001633i</v>
      </c>
      <c r="AN172" s="31">
        <f t="shared" si="162"/>
        <v>1.6112996843821996</v>
      </c>
      <c r="AO172" s="31">
        <f t="shared" si="163"/>
        <v>0.9012669740510334</v>
      </c>
      <c r="AP172" s="31" t="str">
        <f t="shared" si="144"/>
        <v>1+1.01959036181546i</v>
      </c>
      <c r="AQ172" s="31">
        <f t="shared" si="164"/>
        <v>1.4281332241450657</v>
      </c>
      <c r="AR172" s="31">
        <f t="shared" si="165"/>
        <v>0.7950980252013321</v>
      </c>
      <c r="AS172" s="58" t="str">
        <f t="shared" si="166"/>
        <v>-3.69678076634046+3.05646894049236i</v>
      </c>
      <c r="AT172" s="49">
        <f t="shared" si="167"/>
        <v>13.618824629915583</v>
      </c>
      <c r="AU172" s="61">
        <f t="shared" si="168"/>
        <v>140.41632804553396</v>
      </c>
      <c r="AV172" s="58" t="str">
        <f t="shared" si="145"/>
        <v>42.5127006410725+46.0507030036241i</v>
      </c>
      <c r="AW172" s="64">
        <f t="shared" si="169"/>
        <v>35.941711433243746</v>
      </c>
      <c r="AX172" s="61">
        <f t="shared" si="170"/>
        <v>47.287681607175323</v>
      </c>
    </row>
    <row r="173" spans="14:50" x14ac:dyDescent="0.35">
      <c r="N173" s="10">
        <v>55</v>
      </c>
      <c r="O173" s="50">
        <f t="shared" si="135"/>
        <v>354.81338923357566</v>
      </c>
      <c r="P173" s="48" t="str">
        <f t="shared" si="136"/>
        <v>547.187404092767</v>
      </c>
      <c r="Q173" s="17" t="str">
        <f t="shared" si="137"/>
        <v>1+42.7553710731138i</v>
      </c>
      <c r="R173" s="17">
        <f t="shared" si="146"/>
        <v>42.76706391137526</v>
      </c>
      <c r="S173" s="17">
        <f t="shared" si="147"/>
        <v>1.5474117159670111</v>
      </c>
      <c r="T173" s="17" t="str">
        <f t="shared" si="138"/>
        <v>1+0.000809014454543031i</v>
      </c>
      <c r="U173" s="17">
        <f t="shared" si="148"/>
        <v>1.0000003272521403</v>
      </c>
      <c r="V173" s="17">
        <f t="shared" si="149"/>
        <v>8.0901427804193024E-4</v>
      </c>
      <c r="W173" s="31" t="str">
        <f t="shared" si="139"/>
        <v>1-0.0140487365852938i</v>
      </c>
      <c r="X173" s="17">
        <f t="shared" si="150"/>
        <v>1.0000986786310853</v>
      </c>
      <c r="Y173" s="17">
        <f t="shared" si="151"/>
        <v>-1.404781244239898E-2</v>
      </c>
      <c r="Z173" s="31" t="str">
        <f t="shared" si="140"/>
        <v>0.999958382631015+0.0672185153126491i</v>
      </c>
      <c r="AA173" s="17">
        <f t="shared" si="152"/>
        <v>1.0022150945754469</v>
      </c>
      <c r="AB173" s="17">
        <f t="shared" si="153"/>
        <v>6.7120335426067726E-2</v>
      </c>
      <c r="AC173" s="66" t="str">
        <f t="shared" si="154"/>
        <v>-0.727033499840207-12.7468668584061i</v>
      </c>
      <c r="AD173" s="64">
        <f t="shared" si="155"/>
        <v>22.122174242662538</v>
      </c>
      <c r="AE173" s="61">
        <f t="shared" si="156"/>
        <v>-93.264399694065531</v>
      </c>
      <c r="AF173" s="31" t="str">
        <f t="shared" si="141"/>
        <v>-6627.51882264077</v>
      </c>
      <c r="AG173" s="31" t="str">
        <f t="shared" si="157"/>
        <v>2229.35827402299i</v>
      </c>
      <c r="AH173" s="31">
        <f t="shared" si="158"/>
        <v>2229.3582740229899</v>
      </c>
      <c r="AI173" s="31">
        <f t="shared" si="159"/>
        <v>1.5707963267948966</v>
      </c>
      <c r="AJ173" s="31" t="str">
        <f t="shared" si="142"/>
        <v>0.999406875627613+1.08825009467295i</v>
      </c>
      <c r="AK173" s="31">
        <f t="shared" si="160"/>
        <v>1.4775325281046885</v>
      </c>
      <c r="AL173" s="31">
        <f t="shared" si="161"/>
        <v>0.82792892652582073</v>
      </c>
      <c r="AM173" s="31" t="str">
        <f t="shared" si="143"/>
        <v>1+1.29287174385415i</v>
      </c>
      <c r="AN173" s="31">
        <f t="shared" si="162"/>
        <v>1.6344776982438367</v>
      </c>
      <c r="AO173" s="31">
        <f t="shared" si="163"/>
        <v>0.91244163729138916</v>
      </c>
      <c r="AP173" s="31" t="str">
        <f t="shared" si="144"/>
        <v>1+1.04333967224276i</v>
      </c>
      <c r="AQ173" s="31">
        <f t="shared" si="164"/>
        <v>1.445184303705112</v>
      </c>
      <c r="AR173" s="31">
        <f t="shared" si="165"/>
        <v>0.80660519787451679</v>
      </c>
      <c r="AS173" s="58" t="str">
        <f t="shared" si="166"/>
        <v>-3.69649567466735+2.98724771330862i</v>
      </c>
      <c r="AT173" s="49">
        <f t="shared" si="167"/>
        <v>13.538725719124265</v>
      </c>
      <c r="AU173" s="61">
        <f t="shared" si="168"/>
        <v>141.05729521360135</v>
      </c>
      <c r="AV173" s="58" t="str">
        <f t="shared" si="145"/>
        <v>40.7655250621206+44.9469090477623i</v>
      </c>
      <c r="AW173" s="64">
        <f t="shared" si="169"/>
        <v>35.660899961786797</v>
      </c>
      <c r="AX173" s="61">
        <f t="shared" si="170"/>
        <v>47.792895519535818</v>
      </c>
    </row>
    <row r="174" spans="14:50" x14ac:dyDescent="0.35">
      <c r="N174" s="10">
        <v>56</v>
      </c>
      <c r="O174" s="50">
        <f t="shared" si="135"/>
        <v>363.07805477010152</v>
      </c>
      <c r="P174" s="48" t="str">
        <f t="shared" si="136"/>
        <v>547.187404092767</v>
      </c>
      <c r="Q174" s="17" t="str">
        <f t="shared" si="137"/>
        <v>1+43.7512716014807i</v>
      </c>
      <c r="R174" s="17">
        <f t="shared" si="146"/>
        <v>43.762698348554011</v>
      </c>
      <c r="S174" s="17">
        <f t="shared" si="147"/>
        <v>1.5479438272347896</v>
      </c>
      <c r="T174" s="17" t="str">
        <f t="shared" si="138"/>
        <v>1+0.000827858821987723i</v>
      </c>
      <c r="U174" s="17">
        <f t="shared" si="148"/>
        <v>1.0000003426750559</v>
      </c>
      <c r="V174" s="17">
        <f t="shared" si="149"/>
        <v>8.2785863286338962E-4</v>
      </c>
      <c r="W174" s="31" t="str">
        <f t="shared" si="139"/>
        <v>1-0.0143759736981294i</v>
      </c>
      <c r="X174" s="17">
        <f t="shared" si="150"/>
        <v>1.0001033289714465</v>
      </c>
      <c r="Y174" s="17">
        <f t="shared" si="151"/>
        <v>-1.4374983466702346E-2</v>
      </c>
      <c r="Z174" s="31" t="str">
        <f t="shared" si="140"/>
        <v>0.999956421264841+0.0687842356709506i</v>
      </c>
      <c r="AA174" s="17">
        <f t="shared" si="152"/>
        <v>1.0023193680188092</v>
      </c>
      <c r="AB174" s="17">
        <f t="shared" si="153"/>
        <v>6.8679047169202145E-2</v>
      </c>
      <c r="AC174" s="66" t="str">
        <f t="shared" si="154"/>
        <v>-0.74030318206522-12.453887950645i</v>
      </c>
      <c r="AD174" s="64">
        <f t="shared" si="155"/>
        <v>21.921417975831808</v>
      </c>
      <c r="AE174" s="61">
        <f t="shared" si="156"/>
        <v>-93.401860845172337</v>
      </c>
      <c r="AF174" s="31" t="str">
        <f t="shared" si="141"/>
        <v>-6627.51882264077</v>
      </c>
      <c r="AG174" s="31" t="str">
        <f t="shared" si="157"/>
        <v>2281.28669909085i</v>
      </c>
      <c r="AH174" s="31">
        <f t="shared" si="158"/>
        <v>2281.2866990908501</v>
      </c>
      <c r="AI174" s="31">
        <f t="shared" si="159"/>
        <v>1.5707963267948966</v>
      </c>
      <c r="AJ174" s="31" t="str">
        <f t="shared" si="142"/>
        <v>0.999378922537128+1.1135986957277i</v>
      </c>
      <c r="AK174" s="31">
        <f t="shared" si="160"/>
        <v>1.4962821545209664</v>
      </c>
      <c r="AL174" s="31">
        <f t="shared" si="161"/>
        <v>0.83940191316309842</v>
      </c>
      <c r="AM174" s="31" t="str">
        <f t="shared" si="143"/>
        <v>1+1.32298659540376i</v>
      </c>
      <c r="AN174" s="31">
        <f t="shared" si="162"/>
        <v>1.6584008959289764</v>
      </c>
      <c r="AO174" s="31">
        <f t="shared" si="163"/>
        <v>0.92355181839785361</v>
      </c>
      <c r="AP174" s="31" t="str">
        <f t="shared" si="144"/>
        <v>1+1.06764217517452i</v>
      </c>
      <c r="AQ174" s="31">
        <f t="shared" si="164"/>
        <v>1.4628259685319307</v>
      </c>
      <c r="AR174" s="31">
        <f t="shared" si="165"/>
        <v>0.81810114274893087</v>
      </c>
      <c r="AS174" s="58" t="str">
        <f t="shared" si="166"/>
        <v>-3.69621167931914+2.91959730802149i</v>
      </c>
      <c r="AT174" s="49">
        <f t="shared" si="167"/>
        <v>13.460795806258281</v>
      </c>
      <c r="AU174" s="61">
        <f t="shared" si="168"/>
        <v>141.69517711072072</v>
      </c>
      <c r="AV174" s="58" t="str">
        <f t="shared" si="145"/>
        <v>39.096655002891+43.8708189186286i</v>
      </c>
      <c r="AW174" s="64">
        <f t="shared" si="169"/>
        <v>35.382213782090091</v>
      </c>
      <c r="AX174" s="61">
        <f t="shared" si="170"/>
        <v>48.293316265548391</v>
      </c>
    </row>
    <row r="175" spans="14:50" x14ac:dyDescent="0.35">
      <c r="N175" s="10">
        <v>57</v>
      </c>
      <c r="O175" s="50">
        <f t="shared" si="135"/>
        <v>371.53522909717265</v>
      </c>
      <c r="P175" s="48" t="str">
        <f t="shared" si="136"/>
        <v>547.187404092767</v>
      </c>
      <c r="Q175" s="17" t="str">
        <f t="shared" si="137"/>
        <v>1+44.7703696331672i</v>
      </c>
      <c r="R175" s="17">
        <f t="shared" si="146"/>
        <v>44.781536341336249</v>
      </c>
      <c r="S175" s="17">
        <f t="shared" si="147"/>
        <v>1.5484638386785536</v>
      </c>
      <c r="T175" s="17" t="str">
        <f t="shared" si="138"/>
        <v>1+0.000847142131137837i</v>
      </c>
      <c r="U175" s="17">
        <f t="shared" si="148"/>
        <v>1.0000003588248307</v>
      </c>
      <c r="V175" s="17">
        <f t="shared" si="149"/>
        <v>8.4714192848746664E-4</v>
      </c>
      <c r="W175" s="31" t="str">
        <f t="shared" si="139"/>
        <v>1-0.0147108331425083i</v>
      </c>
      <c r="X175" s="17">
        <f t="shared" si="150"/>
        <v>1.0001081984524207</v>
      </c>
      <c r="Y175" s="17">
        <f t="shared" si="151"/>
        <v>-1.4709772096617238E-2</v>
      </c>
      <c r="Z175" s="31" t="str">
        <f t="shared" si="140"/>
        <v>0.999954367462327+0.0703864263414716i</v>
      </c>
      <c r="AA175" s="17">
        <f t="shared" si="152"/>
        <v>1.0024285440968377</v>
      </c>
      <c r="AB175" s="17">
        <f t="shared" si="153"/>
        <v>7.0273729572361637E-2</v>
      </c>
      <c r="AC175" s="66" t="str">
        <f t="shared" si="154"/>
        <v>-0.752956674347037-12.1674858900483i</v>
      </c>
      <c r="AD175" s="64">
        <f t="shared" si="155"/>
        <v>21.720616424198738</v>
      </c>
      <c r="AE175" s="61">
        <f t="shared" si="156"/>
        <v>-93.541101001632029</v>
      </c>
      <c r="AF175" s="31" t="str">
        <f t="shared" si="141"/>
        <v>-6627.51882264077</v>
      </c>
      <c r="AG175" s="31" t="str">
        <f t="shared" si="157"/>
        <v>2334.42469256296i</v>
      </c>
      <c r="AH175" s="31">
        <f t="shared" si="158"/>
        <v>2334.42469256296</v>
      </c>
      <c r="AI175" s="31">
        <f t="shared" si="159"/>
        <v>1.5707963267948966</v>
      </c>
      <c r="AJ175" s="31" t="str">
        <f t="shared" si="142"/>
        <v>0.999349652058076+1.13953774155114i</v>
      </c>
      <c r="AK175" s="31">
        <f t="shared" si="160"/>
        <v>1.515666847129695</v>
      </c>
      <c r="AL175" s="31">
        <f t="shared" si="161"/>
        <v>0.85084708074505988</v>
      </c>
      <c r="AM175" s="31" t="str">
        <f t="shared" si="143"/>
        <v>1+1.35380291195804i</v>
      </c>
      <c r="AN175" s="31">
        <f t="shared" si="162"/>
        <v>1.6830871410672914</v>
      </c>
      <c r="AO175" s="31">
        <f t="shared" si="163"/>
        <v>0.93459243742366427</v>
      </c>
      <c r="AP175" s="31" t="str">
        <f t="shared" si="144"/>
        <v>1+1.09251075611946i</v>
      </c>
      <c r="AQ175" s="31">
        <f t="shared" si="164"/>
        <v>1.4810738510407624</v>
      </c>
      <c r="AR175" s="31">
        <f t="shared" si="165"/>
        <v>0.82957980204317006</v>
      </c>
      <c r="AS175" s="58" t="str">
        <f t="shared" si="166"/>
        <v>-3.6959290729359+2.85348194111934i</v>
      </c>
      <c r="AT175" s="49">
        <f t="shared" si="167"/>
        <v>13.385013332003975</v>
      </c>
      <c r="AU175" s="61">
        <f t="shared" si="168"/>
        <v>142.3296769178738</v>
      </c>
      <c r="AV175" s="58" t="str">
        <f t="shared" si="145"/>
        <v>37.5025757194575+42.8216165728723i</v>
      </c>
      <c r="AW175" s="64">
        <f t="shared" si="169"/>
        <v>35.105629756202703</v>
      </c>
      <c r="AX175" s="61">
        <f t="shared" si="170"/>
        <v>48.788575916241797</v>
      </c>
    </row>
    <row r="176" spans="14:50" x14ac:dyDescent="0.35">
      <c r="N176" s="10">
        <v>58</v>
      </c>
      <c r="O176" s="50">
        <f t="shared" si="135"/>
        <v>380.18939632056163</v>
      </c>
      <c r="P176" s="48" t="str">
        <f t="shared" si="136"/>
        <v>547.187404092767</v>
      </c>
      <c r="Q176" s="17" t="str">
        <f t="shared" si="137"/>
        <v>1+45.813205507439i</v>
      </c>
      <c r="R176" s="17">
        <f t="shared" si="146"/>
        <v>45.82411809153384</v>
      </c>
      <c r="S176" s="17">
        <f t="shared" si="147"/>
        <v>1.5489720248896706</v>
      </c>
      <c r="T176" s="17" t="str">
        <f t="shared" si="138"/>
        <v>1+0.000866874606259132i</v>
      </c>
      <c r="U176" s="17">
        <f t="shared" si="148"/>
        <v>1.000000375735721</v>
      </c>
      <c r="V176" s="17">
        <f t="shared" si="149"/>
        <v>8.6687438911535236E-4</v>
      </c>
      <c r="W176" s="31" t="str">
        <f t="shared" si="139"/>
        <v>1-0.0150534924653402i</v>
      </c>
      <c r="X176" s="17">
        <f t="shared" si="150"/>
        <v>1.0001132973995517</v>
      </c>
      <c r="Y176" s="17">
        <f t="shared" si="151"/>
        <v>-1.5052355541140238E-2</v>
      </c>
      <c r="Z176" s="31" t="str">
        <f t="shared" si="140"/>
        <v>0.999952216867083+0.0720259368269134i</v>
      </c>
      <c r="AA176" s="17">
        <f t="shared" si="152"/>
        <v>1.002542852746549</v>
      </c>
      <c r="AB176" s="17">
        <f t="shared" si="153"/>
        <v>7.1905196597806517E-2</v>
      </c>
      <c r="AC176" s="66" t="str">
        <f t="shared" si="154"/>
        <v>-0.765020746176415-11.8875107684278i</v>
      </c>
      <c r="AD176" s="64">
        <f t="shared" si="155"/>
        <v>21.519767915582271</v>
      </c>
      <c r="AE176" s="61">
        <f t="shared" si="156"/>
        <v>-93.682192100497403</v>
      </c>
      <c r="AF176" s="31" t="str">
        <f t="shared" si="141"/>
        <v>-6627.51882264077</v>
      </c>
      <c r="AG176" s="31" t="str">
        <f t="shared" si="157"/>
        <v>2388.80042890683i</v>
      </c>
      <c r="AH176" s="31">
        <f t="shared" si="158"/>
        <v>2388.8004289068299</v>
      </c>
      <c r="AI176" s="31">
        <f t="shared" si="159"/>
        <v>1.5707963267948966</v>
      </c>
      <c r="AJ176" s="31" t="str">
        <f t="shared" si="142"/>
        <v>0.999319002103845+1.16608098536872i</v>
      </c>
      <c r="AK176" s="31">
        <f t="shared" si="160"/>
        <v>1.5357028789464158</v>
      </c>
      <c r="AL176" s="31">
        <f t="shared" si="161"/>
        <v>0.86225854562116977</v>
      </c>
      <c r="AM176" s="31" t="str">
        <f t="shared" si="143"/>
        <v>1+1.38533703273594i</v>
      </c>
      <c r="AN176" s="31">
        <f t="shared" si="162"/>
        <v>1.7085545628599688</v>
      </c>
      <c r="AO176" s="31">
        <f t="shared" si="163"/>
        <v>0.94555858223546374</v>
      </c>
      <c r="AP176" s="31" t="str">
        <f t="shared" si="144"/>
        <v>1+1.11795860072839i</v>
      </c>
      <c r="AQ176" s="31">
        <f t="shared" si="164"/>
        <v>1.4999438099284186</v>
      </c>
      <c r="AR176" s="31">
        <f t="shared" si="165"/>
        <v>0.84103516352541308</v>
      </c>
      <c r="AS176" s="58" t="str">
        <f t="shared" si="166"/>
        <v>-3.69564814235822+2.78886666266432i</v>
      </c>
      <c r="AT176" s="49">
        <f t="shared" si="167"/>
        <v>13.311354913945774</v>
      </c>
      <c r="AU176" s="61">
        <f t="shared" si="168"/>
        <v>142.96050582338552</v>
      </c>
      <c r="AV176" s="58" t="str">
        <f t="shared" si="145"/>
        <v>35.9799299836038+41.7985162333456i</v>
      </c>
      <c r="AW176" s="64">
        <f t="shared" si="169"/>
        <v>34.831122829528056</v>
      </c>
      <c r="AX176" s="61">
        <f t="shared" si="170"/>
        <v>49.278313722888115</v>
      </c>
    </row>
    <row r="177" spans="14:50" x14ac:dyDescent="0.35">
      <c r="N177" s="10">
        <v>59</v>
      </c>
      <c r="O177" s="50">
        <f t="shared" si="135"/>
        <v>389.04514499428063</v>
      </c>
      <c r="P177" s="48" t="str">
        <f t="shared" si="136"/>
        <v>547.187404092767</v>
      </c>
      <c r="Q177" s="17" t="str">
        <f t="shared" si="137"/>
        <v>1+46.8803321496804i</v>
      </c>
      <c r="R177" s="17">
        <f t="shared" si="146"/>
        <v>46.890996390185158</v>
      </c>
      <c r="S177" s="17">
        <f t="shared" si="147"/>
        <v>1.5494686542646687</v>
      </c>
      <c r="T177" s="17" t="str">
        <f t="shared" si="138"/>
        <v>1+0.000887066709771108i</v>
      </c>
      <c r="U177" s="17">
        <f t="shared" si="148"/>
        <v>1.0000003934435964</v>
      </c>
      <c r="V177" s="17">
        <f t="shared" si="149"/>
        <v>8.8706647709736112E-4</v>
      </c>
      <c r="W177" s="31" t="str">
        <f t="shared" si="139"/>
        <v>1-0.0154041333491338i</v>
      </c>
      <c r="X177" s="17">
        <f t="shared" si="150"/>
        <v>1.0001186366247947</v>
      </c>
      <c r="Y177" s="17">
        <f t="shared" si="151"/>
        <v>-1.5402915120709655E-2</v>
      </c>
      <c r="Z177" s="31" t="str">
        <f t="shared" si="140"/>
        <v>0.999949964917407+0.0737036364174368i</v>
      </c>
      <c r="AA177" s="17">
        <f t="shared" si="152"/>
        <v>1.0026625346343987</v>
      </c>
      <c r="AB177" s="17">
        <f t="shared" si="153"/>
        <v>7.3574279477005483E-2</v>
      </c>
      <c r="AC177" s="66" t="str">
        <f t="shared" si="154"/>
        <v>-0.776520925438259-11.6138159688072i</v>
      </c>
      <c r="AD177" s="64">
        <f t="shared" si="155"/>
        <v>21.318870680945381</v>
      </c>
      <c r="AE177" s="61">
        <f t="shared" si="156"/>
        <v>-93.825206935258933</v>
      </c>
      <c r="AF177" s="31" t="str">
        <f t="shared" si="141"/>
        <v>-6627.51882264077</v>
      </c>
      <c r="AG177" s="31" t="str">
        <f t="shared" si="157"/>
        <v>2444.44273885762i</v>
      </c>
      <c r="AH177" s="31">
        <f t="shared" si="158"/>
        <v>2444.44273885762</v>
      </c>
      <c r="AI177" s="31">
        <f t="shared" si="159"/>
        <v>1.5707963267948966</v>
      </c>
      <c r="AJ177" s="31" t="str">
        <f t="shared" si="142"/>
        <v>0.999286907661774+1.19324250075965i</v>
      </c>
      <c r="AK177" s="31">
        <f t="shared" si="160"/>
        <v>1.5564067557818473</v>
      </c>
      <c r="AL177" s="31">
        <f t="shared" si="161"/>
        <v>0.87363051256377044</v>
      </c>
      <c r="AM177" s="31" t="str">
        <f t="shared" si="143"/>
        <v>1+1.4176056775457i</v>
      </c>
      <c r="AN177" s="31">
        <f t="shared" si="162"/>
        <v>1.7348215634496253</v>
      </c>
      <c r="AO177" s="31">
        <f t="shared" si="163"/>
        <v>0.95644551752561446</v>
      </c>
      <c r="AP177" s="31" t="str">
        <f t="shared" si="144"/>
        <v>1+1.14399920178536i</v>
      </c>
      <c r="AQ177" s="31">
        <f t="shared" si="164"/>
        <v>1.5194519320088873</v>
      </c>
      <c r="AR177" s="31">
        <f t="shared" si="165"/>
        <v>0.85246127609633515</v>
      </c>
      <c r="AS177" s="58" t="str">
        <f t="shared" si="166"/>
        <v>-3.6953691674889+2.7257173371638i</v>
      </c>
      <c r="AT177" s="49">
        <f t="shared" si="167"/>
        <v>13.239795432320857</v>
      </c>
      <c r="AU177" s="61">
        <f t="shared" si="168"/>
        <v>143.58738358332513</v>
      </c>
      <c r="AV177" s="58" t="str">
        <f t="shared" si="145"/>
        <v>34.5255110225821+40.8007608988828i</v>
      </c>
      <c r="AW177" s="64">
        <f t="shared" si="169"/>
        <v>34.558666113266234</v>
      </c>
      <c r="AX177" s="61">
        <f t="shared" si="170"/>
        <v>49.762176648066173</v>
      </c>
    </row>
    <row r="178" spans="14:50" x14ac:dyDescent="0.35">
      <c r="N178" s="10">
        <v>60</v>
      </c>
      <c r="O178" s="50">
        <f t="shared" si="135"/>
        <v>398.10717055349761</v>
      </c>
      <c r="P178" s="48" t="str">
        <f t="shared" si="136"/>
        <v>547.187404092767</v>
      </c>
      <c r="Q178" s="17" t="str">
        <f t="shared" si="137"/>
        <v>1+47.972315364562i</v>
      </c>
      <c r="R178" s="17">
        <f t="shared" si="146"/>
        <v>47.982736910653507</v>
      </c>
      <c r="S178" s="17">
        <f t="shared" si="147"/>
        <v>1.5499539891425425</v>
      </c>
      <c r="T178" s="17" t="str">
        <f t="shared" si="138"/>
        <v>1+0.000907729147794318i</v>
      </c>
      <c r="U178" s="17">
        <f t="shared" si="148"/>
        <v>1.000000411986018</v>
      </c>
      <c r="V178" s="17">
        <f t="shared" si="149"/>
        <v>9.077288984799119E-4</v>
      </c>
      <c r="W178" s="31" t="str">
        <f t="shared" si="139"/>
        <v>1-0.0157629417083268i</v>
      </c>
      <c r="X178" s="17">
        <f t="shared" si="150"/>
        <v>1.0001242274494204</v>
      </c>
      <c r="Y178" s="17">
        <f t="shared" si="151"/>
        <v>-1.5761636361809026E-2</v>
      </c>
      <c r="Z178" s="31" t="str">
        <f t="shared" si="140"/>
        <v>0.999947606836613+0.0754204146515715i</v>
      </c>
      <c r="AA178" s="17">
        <f t="shared" si="152"/>
        <v>1.0027878416517046</v>
      </c>
      <c r="AB178" s="17">
        <f t="shared" si="153"/>
        <v>7.5281826994294421E-2</v>
      </c>
      <c r="AC178" s="66" t="str">
        <f t="shared" si="154"/>
        <v>-0.787481552035038-11.346258096359i</v>
      </c>
      <c r="AD178" s="64">
        <f t="shared" si="155"/>
        <v>21.117922850898832</v>
      </c>
      <c r="AE178" s="61">
        <f t="shared" si="156"/>
        <v>-93.970219185067222</v>
      </c>
      <c r="AF178" s="31" t="str">
        <f t="shared" si="141"/>
        <v>-6627.51882264077</v>
      </c>
      <c r="AG178" s="31" t="str">
        <f t="shared" si="157"/>
        <v>2501.38112470457i</v>
      </c>
      <c r="AH178" s="31">
        <f t="shared" si="158"/>
        <v>2501.3811247045701</v>
      </c>
      <c r="AI178" s="31">
        <f t="shared" si="159"/>
        <v>1.5707963267948966</v>
      </c>
      <c r="AJ178" s="31" t="str">
        <f t="shared" si="142"/>
        <v>0.999253300655247+1.22103668911891i</v>
      </c>
      <c r="AK178" s="31">
        <f t="shared" si="160"/>
        <v>1.5777952196165619</v>
      </c>
      <c r="AL178" s="31">
        <f t="shared" si="161"/>
        <v>0.88495728902946325</v>
      </c>
      <c r="AM178" s="31" t="str">
        <f t="shared" si="143"/>
        <v>1+1.45062595564992i</v>
      </c>
      <c r="AN178" s="31">
        <f t="shared" si="162"/>
        <v>1.7619068259148221</v>
      </c>
      <c r="AO178" s="31">
        <f t="shared" si="163"/>
        <v>0.96724869285654269</v>
      </c>
      <c r="AP178" s="31" t="str">
        <f t="shared" si="144"/>
        <v>1+1.17064636636174i</v>
      </c>
      <c r="AQ178" s="31">
        <f t="shared" si="164"/>
        <v>1.5396145345754388</v>
      </c>
      <c r="AR178" s="31">
        <f t="shared" si="165"/>
        <v>0.86385226498276868</v>
      </c>
      <c r="AS178" s="58" t="str">
        <f t="shared" si="166"/>
        <v>-3.69509242021511+2.66400062477324i</v>
      </c>
      <c r="AT178" s="49">
        <f t="shared" si="167"/>
        <v>13.170308120383609</v>
      </c>
      <c r="AU178" s="61">
        <f t="shared" si="168"/>
        <v>144.21003903582786</v>
      </c>
      <c r="AV178" s="58" t="str">
        <f t="shared" si="145"/>
        <v>33.1362557715227+39.8276209430417i</v>
      </c>
      <c r="AW178" s="64">
        <f t="shared" si="169"/>
        <v>34.288230971282438</v>
      </c>
      <c r="AX178" s="61">
        <f t="shared" si="170"/>
        <v>50.239819850760654</v>
      </c>
    </row>
    <row r="179" spans="14:50" x14ac:dyDescent="0.35">
      <c r="N179" s="10">
        <v>61</v>
      </c>
      <c r="O179" s="50">
        <f t="shared" si="135"/>
        <v>407.38027780411272</v>
      </c>
      <c r="P179" s="48" t="str">
        <f t="shared" si="136"/>
        <v>547.187404092767</v>
      </c>
      <c r="Q179" s="17" t="str">
        <f t="shared" si="137"/>
        <v>1+49.0897341360387i</v>
      </c>
      <c r="R179" s="17">
        <f t="shared" si="146"/>
        <v>49.099918508557259</v>
      </c>
      <c r="S179" s="17">
        <f t="shared" si="147"/>
        <v>1.5504282859391787</v>
      </c>
      <c r="T179" s="17" t="str">
        <f t="shared" si="138"/>
        <v>1+0.000928872875826907i</v>
      </c>
      <c r="U179" s="17">
        <f t="shared" si="148"/>
        <v>1.0000004314023165</v>
      </c>
      <c r="V179" s="17">
        <f t="shared" si="149"/>
        <v>9.2887260868171394E-4</v>
      </c>
      <c r="W179" s="31" t="str">
        <f t="shared" si="139"/>
        <v>1-0.0161301077878608i</v>
      </c>
      <c r="X179" s="17">
        <f t="shared" si="150"/>
        <v>1.0001300817279959</v>
      </c>
      <c r="Y179" s="17">
        <f t="shared" si="151"/>
        <v>-1.6128709093692208E-2</v>
      </c>
      <c r="Z179" s="31" t="str">
        <f t="shared" si="140"/>
        <v>0.999945137622895+0.0771771817878619i</v>
      </c>
      <c r="AA179" s="17">
        <f t="shared" si="152"/>
        <v>1.0029190374324277</v>
      </c>
      <c r="AB179" s="17">
        <f t="shared" si="153"/>
        <v>7.7028705768939096E-2</v>
      </c>
      <c r="AC179" s="66" t="str">
        <f t="shared" si="154"/>
        <v>-0.797925829058503-11.0846969105381i</v>
      </c>
      <c r="AD179" s="64">
        <f t="shared" si="155"/>
        <v>20.916922452017989</v>
      </c>
      <c r="AE179" s="61">
        <f t="shared" si="156"/>
        <v>-94.117303443812617</v>
      </c>
      <c r="AF179" s="31" t="str">
        <f t="shared" si="141"/>
        <v>-6627.51882264077</v>
      </c>
      <c r="AG179" s="31" t="str">
        <f t="shared" si="157"/>
        <v>2559.64577593354i</v>
      </c>
      <c r="AH179" s="31">
        <f t="shared" si="158"/>
        <v>2559.6457759335399</v>
      </c>
      <c r="AI179" s="31">
        <f t="shared" si="159"/>
        <v>1.5707963267948966</v>
      </c>
      <c r="AJ179" s="31" t="str">
        <f t="shared" si="142"/>
        <v>0.999218109799298+1.24947828729308i</v>
      </c>
      <c r="AK179" s="31">
        <f t="shared" si="160"/>
        <v>1.5998852525627363</v>
      </c>
      <c r="AL179" s="31">
        <f t="shared" si="161"/>
        <v>0.89623329878545654</v>
      </c>
      <c r="AM179" s="31" t="str">
        <f t="shared" si="143"/>
        <v>1+1.48441537483714i</v>
      </c>
      <c r="AN179" s="31">
        <f t="shared" si="162"/>
        <v>1.7898293228832984</v>
      </c>
      <c r="AO179" s="31">
        <f t="shared" si="163"/>
        <v>0.97796374972002642</v>
      </c>
      <c r="AP179" s="31" t="str">
        <f t="shared" si="144"/>
        <v>1+1.19791422313689i</v>
      </c>
      <c r="AQ179" s="31">
        <f t="shared" si="164"/>
        <v>1.5604481683137248</v>
      </c>
      <c r="AR179" s="31">
        <f t="shared" si="165"/>
        <v>0.87520234644921002</v>
      </c>
      <c r="AS179" s="58" t="str">
        <f t="shared" si="166"/>
        <v>-3.69481816339883+2.60368396282771i</v>
      </c>
      <c r="AT179" s="49">
        <f t="shared" si="167"/>
        <v>13.102864658736102</v>
      </c>
      <c r="AU179" s="61">
        <f t="shared" si="168"/>
        <v>144.82821056773813</v>
      </c>
      <c r="AV179" s="58" t="str">
        <f t="shared" si="145"/>
        <v>31.8092384250243+38.8783927961814i</v>
      </c>
      <c r="AW179" s="64">
        <f t="shared" si="169"/>
        <v>34.019787110754088</v>
      </c>
      <c r="AX179" s="61">
        <f t="shared" si="170"/>
        <v>50.710907123925509</v>
      </c>
    </row>
    <row r="180" spans="14:50" x14ac:dyDescent="0.35">
      <c r="N180" s="10">
        <v>62</v>
      </c>
      <c r="O180" s="50">
        <f t="shared" si="135"/>
        <v>416.86938347033572</v>
      </c>
      <c r="P180" s="48" t="str">
        <f t="shared" si="136"/>
        <v>547.187404092767</v>
      </c>
      <c r="Q180" s="17" t="str">
        <f t="shared" si="137"/>
        <v>1+50.2331809343338i</v>
      </c>
      <c r="R180" s="17">
        <f t="shared" si="146"/>
        <v>50.243133528687444</v>
      </c>
      <c r="S180" s="17">
        <f t="shared" si="147"/>
        <v>1.5508917952789554</v>
      </c>
      <c r="T180" s="17" t="str">
        <f t="shared" si="138"/>
        <v>1+0.000950509104553347i</v>
      </c>
      <c r="U180" s="17">
        <f t="shared" si="148"/>
        <v>1.0000004517336769</v>
      </c>
      <c r="V180" s="17">
        <f t="shared" si="149"/>
        <v>9.5050881830212233E-4</v>
      </c>
      <c r="W180" s="31" t="str">
        <f t="shared" si="139"/>
        <v>1-0.0165058262640513i</v>
      </c>
      <c r="X180" s="17">
        <f t="shared" si="150"/>
        <v>1.0001362118734922</v>
      </c>
      <c r="Y180" s="17">
        <f t="shared" si="151"/>
        <v>-1.6504327547271429E-2</v>
      </c>
      <c r="Z180" s="31" t="str">
        <f t="shared" si="140"/>
        <v>0.999942552038719+0.0789748692874971i</v>
      </c>
      <c r="AA180" s="17">
        <f t="shared" si="152"/>
        <v>1.0030563978942977</v>
      </c>
      <c r="AB180" s="17">
        <f t="shared" si="153"/>
        <v>7.8815800535008251E-2</v>
      </c>
      <c r="AC180" s="66" t="str">
        <f t="shared" si="154"/>
        <v>-0.807875871614347-10.8289952584126i</v>
      </c>
      <c r="AD180" s="64">
        <f t="shared" si="155"/>
        <v>20.71586740296582</v>
      </c>
      <c r="AE180" s="61">
        <f t="shared" si="156"/>
        <v>-94.26653524903378</v>
      </c>
      <c r="AF180" s="31" t="str">
        <f t="shared" si="141"/>
        <v>-6627.51882264077</v>
      </c>
      <c r="AG180" s="31" t="str">
        <f t="shared" si="157"/>
        <v>2619.26758523383i</v>
      </c>
      <c r="AH180" s="31">
        <f t="shared" si="158"/>
        <v>2619.2675852338298</v>
      </c>
      <c r="AI180" s="31">
        <f t="shared" si="159"/>
        <v>1.5707963267948966</v>
      </c>
      <c r="AJ180" s="31" t="str">
        <f t="shared" si="142"/>
        <v>0.999181260449404+1.27858237539397i</v>
      </c>
      <c r="AK180" s="31">
        <f t="shared" si="160"/>
        <v>1.6226940814279647</v>
      </c>
      <c r="AL180" s="31">
        <f t="shared" si="161"/>
        <v>0.90745309482608327</v>
      </c>
      <c r="AM180" s="31" t="str">
        <f t="shared" si="143"/>
        <v>1+1.51899185070466i</v>
      </c>
      <c r="AN180" s="31">
        <f t="shared" si="162"/>
        <v>1.818608325755485</v>
      </c>
      <c r="AO180" s="31">
        <f t="shared" si="163"/>
        <v>0.98858652760335408</v>
      </c>
      <c r="AP180" s="31" t="str">
        <f t="shared" si="144"/>
        <v>1+1.22581722988943i</v>
      </c>
      <c r="AQ180" s="31">
        <f t="shared" si="164"/>
        <v>1.5819696207872629</v>
      </c>
      <c r="AR180" s="31">
        <f t="shared" si="165"/>
        <v>0.88650584194000859</v>
      </c>
      <c r="AS180" s="58" t="str">
        <f t="shared" si="166"/>
        <v>-3.69454664994399+2.54473554770159i</v>
      </c>
      <c r="AT180" s="49">
        <f t="shared" si="167"/>
        <v>13.037435272976538</v>
      </c>
      <c r="AU180" s="61">
        <f t="shared" si="168"/>
        <v>145.44164653240011</v>
      </c>
      <c r="AV180" s="58" t="str">
        <f t="shared" si="145"/>
        <v>30.5416642750179+37.9523977056002i</v>
      </c>
      <c r="AW180" s="64">
        <f t="shared" si="169"/>
        <v>33.753302675942365</v>
      </c>
      <c r="AX180" s="61">
        <f t="shared" si="170"/>
        <v>51.175111283366327</v>
      </c>
    </row>
    <row r="181" spans="14:50" x14ac:dyDescent="0.35">
      <c r="N181" s="10">
        <v>63</v>
      </c>
      <c r="O181" s="50">
        <f t="shared" si="135"/>
        <v>426.57951880159294</v>
      </c>
      <c r="P181" s="48" t="str">
        <f t="shared" si="136"/>
        <v>547.187404092767</v>
      </c>
      <c r="Q181" s="17" t="str">
        <f t="shared" si="137"/>
        <v>1+51.403262030075i</v>
      </c>
      <c r="R181" s="17">
        <f t="shared" si="146"/>
        <v>51.412988119078918</v>
      </c>
      <c r="S181" s="17">
        <f t="shared" si="147"/>
        <v>1.5513447621235563</v>
      </c>
      <c r="T181" s="17" t="str">
        <f t="shared" si="138"/>
        <v>1+0.000972649305788495i</v>
      </c>
      <c r="U181" s="17">
        <f t="shared" si="148"/>
        <v>1.0000004730232241</v>
      </c>
      <c r="V181" s="17">
        <f t="shared" si="149"/>
        <v>9.7264899906478956E-4</v>
      </c>
      <c r="W181" s="31" t="str">
        <f t="shared" si="139"/>
        <v>1-0.0168902963478073i</v>
      </c>
      <c r="X181" s="17">
        <f t="shared" si="150"/>
        <v>1.0001426308835739</v>
      </c>
      <c r="Y181" s="17">
        <f t="shared" si="151"/>
        <v>-1.6888690456213381E-2</v>
      </c>
      <c r="Z181" s="31" t="str">
        <f t="shared" si="140"/>
        <v>0.999939844599715+0.0808144303081843i</v>
      </c>
      <c r="AA181" s="17">
        <f t="shared" si="152"/>
        <v>1.0032002118042731</v>
      </c>
      <c r="AB181" s="17">
        <f t="shared" si="153"/>
        <v>8.0644014418420423E-2</v>
      </c>
      <c r="AC181" s="66" t="str">
        <f t="shared" si="154"/>
        <v>-0.81735275339997-10.5790190091921i</v>
      </c>
      <c r="AD181" s="64">
        <f t="shared" si="155"/>
        <v>20.514755510416126</v>
      </c>
      <c r="AE181" s="61">
        <f t="shared" si="156"/>
        <v>-94.417991110623944</v>
      </c>
      <c r="AF181" s="31" t="str">
        <f t="shared" si="141"/>
        <v>-6627.51882264077</v>
      </c>
      <c r="AG181" s="31" t="str">
        <f t="shared" si="157"/>
        <v>2680.27816487791i</v>
      </c>
      <c r="AH181" s="31">
        <f t="shared" si="158"/>
        <v>2680.2781648779101</v>
      </c>
      <c r="AI181" s="31">
        <f t="shared" si="159"/>
        <v>1.5707963267948966</v>
      </c>
      <c r="AJ181" s="31" t="str">
        <f t="shared" si="142"/>
        <v>0.999142674443153+1.30836438479433i</v>
      </c>
      <c r="AK181" s="31">
        <f t="shared" si="160"/>
        <v>1.6462391828928329</v>
      </c>
      <c r="AL181" s="31">
        <f t="shared" si="161"/>
        <v>0.91861137151268824</v>
      </c>
      <c r="AM181" s="31" t="str">
        <f t="shared" si="143"/>
        <v>1+1.55437371615765i</v>
      </c>
      <c r="AN181" s="31">
        <f t="shared" si="162"/>
        <v>1.8482634145277406</v>
      </c>
      <c r="AO181" s="31">
        <f t="shared" si="163"/>
        <v>0.99911306906303166</v>
      </c>
      <c r="AP181" s="31" t="str">
        <f t="shared" si="144"/>
        <v>1+1.25437018116286i</v>
      </c>
      <c r="AQ181" s="31">
        <f t="shared" si="164"/>
        <v>1.6041959205129985</v>
      </c>
      <c r="AR181" s="31">
        <f t="shared" si="165"/>
        <v>0.8977571915714786</v>
      </c>
      <c r="AS181" s="58" t="str">
        <f t="shared" si="166"/>
        <v>-3.69427812194517+2.4871243169955i</v>
      </c>
      <c r="AT181" s="49">
        <f t="shared" si="167"/>
        <v>12.973988834011159</v>
      </c>
      <c r="AU181" s="61">
        <f t="shared" si="168"/>
        <v>146.05010561783669</v>
      </c>
      <c r="AV181" s="58" t="str">
        <f t="shared" si="145"/>
        <v>29.3308638225165+37.0489805687561i</v>
      </c>
      <c r="AW181" s="64">
        <f t="shared" si="169"/>
        <v>33.488744344427282</v>
      </c>
      <c r="AX181" s="61">
        <f t="shared" si="170"/>
        <v>51.632114507212677</v>
      </c>
    </row>
    <row r="182" spans="14:50" x14ac:dyDescent="0.35">
      <c r="N182" s="10">
        <v>64</v>
      </c>
      <c r="O182" s="50">
        <f t="shared" si="135"/>
        <v>436.51583224016622</v>
      </c>
      <c r="P182" s="48" t="str">
        <f t="shared" si="136"/>
        <v>547.187404092767</v>
      </c>
      <c r="Q182" s="17" t="str">
        <f t="shared" si="137"/>
        <v>1+52.600597815747i</v>
      </c>
      <c r="R182" s="17">
        <f t="shared" si="146"/>
        <v>52.610102552399276</v>
      </c>
      <c r="S182" s="17">
        <f t="shared" si="147"/>
        <v>1.5517874258980577</v>
      </c>
      <c r="T182" s="17" t="str">
        <f t="shared" si="138"/>
        <v>1+0.000995305218560105i</v>
      </c>
      <c r="U182" s="17">
        <f t="shared" si="148"/>
        <v>1.0000004953161163</v>
      </c>
      <c r="V182" s="17">
        <f t="shared" si="149"/>
        <v>9.9530488989974203E-4</v>
      </c>
      <c r="W182" s="31" t="str">
        <f t="shared" si="139"/>
        <v>1-0.0172837218902564i</v>
      </c>
      <c r="X182" s="17">
        <f t="shared" si="150"/>
        <v>1.0001493523681249</v>
      </c>
      <c r="Y182" s="17">
        <f t="shared" si="151"/>
        <v>-1.7282001160289152E-2</v>
      </c>
      <c r="Z182" s="31" t="str">
        <f t="shared" si="140"/>
        <v>0.999937009563043+0.0826968402095262i</v>
      </c>
      <c r="AA182" s="17">
        <f t="shared" si="152"/>
        <v>1.0033507813693678</v>
      </c>
      <c r="AB182" s="17">
        <f t="shared" si="153"/>
        <v>8.251426921047085E-2</v>
      </c>
      <c r="AC182" s="66" t="str">
        <f t="shared" si="154"/>
        <v>-0.826376551131311-10.3346369899544i</v>
      </c>
      <c r="AD182" s="64">
        <f t="shared" si="155"/>
        <v>20.313584464772497</v>
      </c>
      <c r="AE182" s="61">
        <f t="shared" si="156"/>
        <v>-94.571748539299705</v>
      </c>
      <c r="AF182" s="31" t="str">
        <f t="shared" si="141"/>
        <v>-6627.51882264077</v>
      </c>
      <c r="AG182" s="31" t="str">
        <f t="shared" si="157"/>
        <v>2742.70986348268i</v>
      </c>
      <c r="AH182" s="31">
        <f t="shared" si="158"/>
        <v>2742.7098634826798</v>
      </c>
      <c r="AI182" s="31">
        <f t="shared" si="159"/>
        <v>1.5707963267948966</v>
      </c>
      <c r="AJ182" s="31" t="str">
        <f t="shared" si="142"/>
        <v>0.999102269934451+1.33884010630975i</v>
      </c>
      <c r="AK182" s="31">
        <f t="shared" si="160"/>
        <v>1.6705382893102674</v>
      </c>
      <c r="AL182" s="31">
        <f t="shared" si="161"/>
        <v>0.92970297587845441</v>
      </c>
      <c r="AM182" s="31" t="str">
        <f t="shared" si="143"/>
        <v>1+1.59057973112951i</v>
      </c>
      <c r="AN182" s="31">
        <f t="shared" si="162"/>
        <v>1.878814488202607</v>
      </c>
      <c r="AO182" s="31">
        <f t="shared" si="163"/>
        <v>1.0095396238148944</v>
      </c>
      <c r="AP182" s="31" t="str">
        <f t="shared" si="144"/>
        <v>1+1.28358821610989i</v>
      </c>
      <c r="AQ182" s="31">
        <f t="shared" si="164"/>
        <v>1.6271443416415672</v>
      </c>
      <c r="AR182" s="31">
        <f t="shared" si="165"/>
        <v>0.9089509669007434</v>
      </c>
      <c r="AS182" s="58" t="str">
        <f t="shared" si="166"/>
        <v>-3.69401280992467+2.43081993205118i</v>
      </c>
      <c r="AT182" s="49">
        <f t="shared" si="167"/>
        <v>12.912492960386333</v>
      </c>
      <c r="AU182" s="61">
        <f t="shared" si="168"/>
        <v>146.65335716497782</v>
      </c>
      <c r="AV182" s="58" t="str">
        <f t="shared" si="145"/>
        <v>28.174287151395+36.1675088349432i</v>
      </c>
      <c r="AW182" s="64">
        <f t="shared" si="169"/>
        <v>33.226077425158834</v>
      </c>
      <c r="AX182" s="61">
        <f t="shared" si="170"/>
        <v>52.081608625678115</v>
      </c>
    </row>
    <row r="183" spans="14:50" x14ac:dyDescent="0.35">
      <c r="N183" s="10">
        <v>65</v>
      </c>
      <c r="O183" s="50">
        <f t="shared" si="135"/>
        <v>446.68359215096331</v>
      </c>
      <c r="P183" s="48" t="str">
        <f t="shared" si="136"/>
        <v>547.187404092767</v>
      </c>
      <c r="Q183" s="17" t="str">
        <f t="shared" si="137"/>
        <v>1+53.8258231346322i</v>
      </c>
      <c r="R183" s="17">
        <f t="shared" si="146"/>
        <v>53.835111554827371</v>
      </c>
      <c r="S183" s="17">
        <f t="shared" si="147"/>
        <v>1.5522200206143304</v>
      </c>
      <c r="T183" s="17" t="str">
        <f t="shared" si="138"/>
        <v>1+0.00101848885533302i</v>
      </c>
      <c r="U183" s="17">
        <f t="shared" si="148"/>
        <v>1.0000005186596397</v>
      </c>
      <c r="V183" s="17">
        <f t="shared" si="149"/>
        <v>1.018488503167106E-3</v>
      </c>
      <c r="W183" s="31" t="str">
        <f t="shared" si="139"/>
        <v>1-0.0176863114908288i</v>
      </c>
      <c r="X183" s="17">
        <f t="shared" si="150"/>
        <v>1.0001563905780688</v>
      </c>
      <c r="Y183" s="17">
        <f t="shared" si="151"/>
        <v>-1.7684467711020588E-2</v>
      </c>
      <c r="Z183" s="31" t="str">
        <f t="shared" si="140"/>
        <v>0.999934040915208+0.0846230970701694i</v>
      </c>
      <c r="AA183" s="17">
        <f t="shared" si="152"/>
        <v>1.0035084228539211</v>
      </c>
      <c r="AB183" s="17">
        <f t="shared" si="153"/>
        <v>8.4427505637088798E-2</v>
      </c>
      <c r="AC183" s="66" t="str">
        <f t="shared" si="154"/>
        <v>-0.834966386910573-10.0957209225665i</v>
      </c>
      <c r="AD183" s="64">
        <f t="shared" si="155"/>
        <v>20.112351835675323</v>
      </c>
      <c r="AE183" s="61">
        <f t="shared" si="156"/>
        <v>-94.727886074795705</v>
      </c>
      <c r="AF183" s="31" t="str">
        <f t="shared" si="141"/>
        <v>-6627.51882264077</v>
      </c>
      <c r="AG183" s="31" t="str">
        <f t="shared" si="157"/>
        <v>2806.59578316113i</v>
      </c>
      <c r="AH183" s="31">
        <f t="shared" si="158"/>
        <v>2806.5957831611299</v>
      </c>
      <c r="AI183" s="31">
        <f t="shared" si="159"/>
        <v>1.5707963267948966</v>
      </c>
      <c r="AJ183" s="31" t="str">
        <f t="shared" si="142"/>
        <v>0.99905996121992+1.37002569857119i</v>
      </c>
      <c r="AK183" s="31">
        <f t="shared" si="160"/>
        <v>1.6956093951315041</v>
      </c>
      <c r="AL183" s="31">
        <f t="shared" si="161"/>
        <v>0.94072291804874097</v>
      </c>
      <c r="AM183" s="31" t="str">
        <f t="shared" si="143"/>
        <v>1+1.62762909252864i</v>
      </c>
      <c r="AN183" s="31">
        <f t="shared" si="162"/>
        <v>1.9102817757717325</v>
      </c>
      <c r="AO183" s="31">
        <f t="shared" si="163"/>
        <v>1.0198626518572262</v>
      </c>
      <c r="AP183" s="31" t="str">
        <f t="shared" si="144"/>
        <v>1+1.31348682651941i</v>
      </c>
      <c r="AQ183" s="31">
        <f t="shared" si="164"/>
        <v>1.6508324092529898</v>
      </c>
      <c r="AR183" s="31">
        <f t="shared" si="165"/>
        <v>0.92008188290594561</v>
      </c>
      <c r="AS183" s="58" t="str">
        <f t="shared" si="166"/>
        <v>-3.69375093216093+2.3757927607955i</v>
      </c>
      <c r="AT183" s="49">
        <f t="shared" si="167"/>
        <v>12.852914122004895</v>
      </c>
      <c r="AU183" s="61">
        <f t="shared" si="168"/>
        <v>147.25118143597567</v>
      </c>
      <c r="AV183" s="58" t="str">
        <f t="shared" si="145"/>
        <v>27.0694985528191+35.3073714710369i</v>
      </c>
      <c r="AW183" s="64">
        <f t="shared" si="169"/>
        <v>32.965265957680217</v>
      </c>
      <c r="AX183" s="61">
        <f t="shared" si="170"/>
        <v>52.52329536117999</v>
      </c>
    </row>
    <row r="184" spans="14:50" x14ac:dyDescent="0.35">
      <c r="N184" s="10">
        <v>66</v>
      </c>
      <c r="O184" s="50">
        <f t="shared" ref="O184:O218" si="171">10^(2+(N184/100))</f>
        <v>457.0881896148756</v>
      </c>
      <c r="P184" s="48" t="str">
        <f t="shared" si="136"/>
        <v>547.187404092767</v>
      </c>
      <c r="Q184" s="17" t="str">
        <f t="shared" si="137"/>
        <v>1+55.0795876174125i</v>
      </c>
      <c r="R184" s="17">
        <f t="shared" si="146"/>
        <v>55.088664642594317</v>
      </c>
      <c r="S184" s="17">
        <f t="shared" si="147"/>
        <v>1.5526427749918077</v>
      </c>
      <c r="T184" s="17" t="str">
        <f t="shared" si="138"/>
        <v>1+0.00104221250837833i</v>
      </c>
      <c r="U184" s="17">
        <f t="shared" si="148"/>
        <v>1.0000005431033088</v>
      </c>
      <c r="V184" s="17">
        <f t="shared" si="149"/>
        <v>1.0422121310257656E-3</v>
      </c>
      <c r="W184" s="31" t="str">
        <f t="shared" si="139"/>
        <v>1-0.0180982786078597i</v>
      </c>
      <c r="X184" s="17">
        <f t="shared" si="150"/>
        <v>1.0001637604355438</v>
      </c>
      <c r="Y184" s="17">
        <f t="shared" si="151"/>
        <v>-1.809630297967095E-2</v>
      </c>
      <c r="Z184" s="31" t="str">
        <f t="shared" si="140"/>
        <v>0.999930932359311+0.0865942222169984i</v>
      </c>
      <c r="AA184" s="17">
        <f t="shared" si="152"/>
        <v>1.0036734672244394</v>
      </c>
      <c r="AB184" s="17">
        <f t="shared" si="153"/>
        <v>8.6384683623016115E-2</v>
      </c>
      <c r="AC184" s="66" t="str">
        <f t="shared" si="154"/>
        <v>-0.843140468622685-9.86214536179792i</v>
      </c>
      <c r="AD184" s="64">
        <f t="shared" si="155"/>
        <v>19.911055067291709</v>
      </c>
      <c r="AE184" s="61">
        <f t="shared" si="156"/>
        <v>-94.886483313742644</v>
      </c>
      <c r="AF184" s="31" t="str">
        <f t="shared" si="141"/>
        <v>-6627.51882264077</v>
      </c>
      <c r="AG184" s="31" t="str">
        <f t="shared" si="157"/>
        <v>2871.9697970735i</v>
      </c>
      <c r="AH184" s="31">
        <f t="shared" si="158"/>
        <v>2871.9697970735001</v>
      </c>
      <c r="AI184" s="31">
        <f t="shared" si="159"/>
        <v>1.5707963267948966</v>
      </c>
      <c r="AJ184" s="31" t="str">
        <f t="shared" si="142"/>
        <v>0.999015658557104+1.40193769659245i</v>
      </c>
      <c r="AK184" s="31">
        <f t="shared" si="160"/>
        <v>1.7214707639600588</v>
      </c>
      <c r="AL184" s="31">
        <f t="shared" si="161"/>
        <v>0.95166638073659415</v>
      </c>
      <c r="AM184" s="31" t="str">
        <f t="shared" si="143"/>
        <v>1+1.66554144441684i</v>
      </c>
      <c r="AN184" s="31">
        <f t="shared" si="162"/>
        <v>1.9426858477556617</v>
      </c>
      <c r="AO184" s="31">
        <f t="shared" si="163"/>
        <v>1.0300788256505811</v>
      </c>
      <c r="AP184" s="31" t="str">
        <f t="shared" si="144"/>
        <v>1+1.3440818650304i</v>
      </c>
      <c r="AQ184" s="31">
        <f t="shared" si="164"/>
        <v>1.6752779052753006</v>
      </c>
      <c r="AR184" s="31">
        <f t="shared" si="165"/>
        <v>0.9311448091211435</v>
      </c>
      <c r="AS184" s="58" t="str">
        <f t="shared" si="166"/>
        <v>-3.69349269411135+2.32201386091467i</v>
      </c>
      <c r="AT184" s="49">
        <f t="shared" si="167"/>
        <v>12.795217744609291</v>
      </c>
      <c r="AU184" s="61">
        <f t="shared" si="168"/>
        <v>147.84336983302964</v>
      </c>
      <c r="AV184" s="58" t="str">
        <f t="shared" si="145"/>
        <v>26.0141713894176+34.4679779872248i</v>
      </c>
      <c r="AW184" s="64">
        <f t="shared" si="169"/>
        <v>32.706272811901002</v>
      </c>
      <c r="AX184" s="61">
        <f t="shared" si="170"/>
        <v>52.956886519287011</v>
      </c>
    </row>
    <row r="185" spans="14:50" x14ac:dyDescent="0.35">
      <c r="N185" s="10">
        <v>67</v>
      </c>
      <c r="O185" s="50">
        <f t="shared" si="171"/>
        <v>467.7351412871983</v>
      </c>
      <c r="P185" s="48" t="str">
        <f t="shared" si="136"/>
        <v>547.187404092767</v>
      </c>
      <c r="Q185" s="17" t="str">
        <f t="shared" si="137"/>
        <v>1+56.3625560266119i</v>
      </c>
      <c r="R185" s="17">
        <f t="shared" si="146"/>
        <v>56.371426466366501</v>
      </c>
      <c r="S185" s="17">
        <f t="shared" si="147"/>
        <v>1.5530559125756676</v>
      </c>
      <c r="T185" s="17" t="str">
        <f t="shared" si="138"/>
        <v>1+0.00106648875629089i</v>
      </c>
      <c r="U185" s="17">
        <f t="shared" si="148"/>
        <v>1.0000005686989719</v>
      </c>
      <c r="V185" s="17">
        <f t="shared" si="149"/>
        <v>1.0664883519503447E-3</v>
      </c>
      <c r="W185" s="31" t="str">
        <f t="shared" si="139"/>
        <v>1-0.0185198416717675i</v>
      </c>
      <c r="X185" s="17">
        <f t="shared" si="150"/>
        <v>1.000171477565496</v>
      </c>
      <c r="Y185" s="17">
        <f t="shared" si="151"/>
        <v>-1.8517724767624925E-2</v>
      </c>
      <c r="Z185" s="31" t="str">
        <f t="shared" si="140"/>
        <v>0.999927677301688+0.0886112607666568i</v>
      </c>
      <c r="AA185" s="17">
        <f t="shared" si="152"/>
        <v>1.0038462608231427</v>
      </c>
      <c r="AB185" s="17">
        <f t="shared" si="153"/>
        <v>8.8386782550038276E-2</v>
      </c>
      <c r="AC185" s="66" t="str">
        <f t="shared" si="154"/>
        <v>-0.850916128444805-9.63378763462185i</v>
      </c>
      <c r="AD185" s="64">
        <f t="shared" si="155"/>
        <v>19.709691473381746</v>
      </c>
      <c r="AE185" s="61">
        <f t="shared" si="156"/>
        <v>-95.047620937185201</v>
      </c>
      <c r="AF185" s="31" t="str">
        <f t="shared" si="141"/>
        <v>-6627.51882264077</v>
      </c>
      <c r="AG185" s="31" t="str">
        <f t="shared" si="157"/>
        <v>2938.86656738729i</v>
      </c>
      <c r="AH185" s="31">
        <f t="shared" si="158"/>
        <v>2938.8665673872902</v>
      </c>
      <c r="AI185" s="31">
        <f t="shared" si="159"/>
        <v>1.5707963267948966</v>
      </c>
      <c r="AJ185" s="31" t="str">
        <f t="shared" si="142"/>
        <v>0.998969267974114+1.43459302053727i</v>
      </c>
      <c r="AK185" s="31">
        <f t="shared" si="160"/>
        <v>1.7481409362322551</v>
      </c>
      <c r="AL185" s="31">
        <f t="shared" si="161"/>
        <v>0.96252872778249154</v>
      </c>
      <c r="AM185" s="31" t="str">
        <f t="shared" si="143"/>
        <v>1+1.70433688842491i</v>
      </c>
      <c r="AN185" s="31">
        <f t="shared" si="162"/>
        <v>1.976047628283768</v>
      </c>
      <c r="AO185" s="31">
        <f t="shared" si="163"/>
        <v>1.04018503138451</v>
      </c>
      <c r="AP185" s="31" t="str">
        <f t="shared" si="144"/>
        <v>1+1.37538955353725i</v>
      </c>
      <c r="AQ185" s="31">
        <f t="shared" si="164"/>
        <v>1.7004988750303234</v>
      </c>
      <c r="AR185" s="31">
        <f t="shared" si="165"/>
        <v>0.94213477987820571</v>
      </c>
      <c r="AS185" s="58" t="str">
        <f t="shared" si="166"/>
        <v>-3.69323828793165+2.26945496336067i</v>
      </c>
      <c r="AT185" s="49">
        <f t="shared" si="167"/>
        <v>12.739368314437776</v>
      </c>
      <c r="AU185" s="61">
        <f t="shared" si="168"/>
        <v>148.42972506849031</v>
      </c>
      <c r="AV185" s="58" t="str">
        <f t="shared" si="145"/>
        <v>25.0060831887461+33.6487575188852i</v>
      </c>
      <c r="AW185" s="64">
        <f t="shared" si="169"/>
        <v>32.449059787819522</v>
      </c>
      <c r="AX185" s="61">
        <f t="shared" si="170"/>
        <v>53.382104131305127</v>
      </c>
    </row>
    <row r="186" spans="14:50" x14ac:dyDescent="0.35">
      <c r="N186" s="10">
        <v>68</v>
      </c>
      <c r="O186" s="50">
        <f t="shared" si="171"/>
        <v>478.63009232263886</v>
      </c>
      <c r="P186" s="48" t="str">
        <f t="shared" si="136"/>
        <v>547.187404092767</v>
      </c>
      <c r="Q186" s="17" t="str">
        <f t="shared" si="137"/>
        <v>1+57.6754086090634i</v>
      </c>
      <c r="R186" s="17">
        <f t="shared" si="146"/>
        <v>57.684077163654315</v>
      </c>
      <c r="S186" s="17">
        <f t="shared" si="147"/>
        <v>1.553459651852479</v>
      </c>
      <c r="T186" s="17" t="str">
        <f t="shared" si="138"/>
        <v>1+0.00109133047065868i</v>
      </c>
      <c r="U186" s="17">
        <f t="shared" si="148"/>
        <v>1.0000005955009208</v>
      </c>
      <c r="V186" s="17">
        <f t="shared" si="149"/>
        <v>1.0913300373999939E-3</v>
      </c>
      <c r="W186" s="31" t="str">
        <f t="shared" si="139"/>
        <v>1-0.0189512242008688i</v>
      </c>
      <c r="X186" s="17">
        <f t="shared" si="150"/>
        <v>1.0001795583287592</v>
      </c>
      <c r="Y186" s="17">
        <f t="shared" si="151"/>
        <v>-1.8948955919205597E-2</v>
      </c>
      <c r="Z186" s="31" t="str">
        <f t="shared" si="140"/>
        <v>0.999924268837925+0.0906752821796825i</v>
      </c>
      <c r="AA186" s="17">
        <f t="shared" si="152"/>
        <v>1.0040271660714284</v>
      </c>
      <c r="AB186" s="17">
        <f t="shared" si="153"/>
        <v>9.0434801508326973E-2</v>
      </c>
      <c r="AC186" s="66" t="str">
        <f t="shared" si="154"/>
        <v>-0.85830985954935-9.41052778069774i</v>
      </c>
      <c r="AD186" s="64">
        <f t="shared" si="155"/>
        <v>19.508258232133706</v>
      </c>
      <c r="AE186" s="61">
        <f t="shared" si="156"/>
        <v>-95.211380737690774</v>
      </c>
      <c r="AF186" s="31" t="str">
        <f t="shared" si="141"/>
        <v>-6627.51882264077</v>
      </c>
      <c r="AG186" s="31" t="str">
        <f t="shared" si="157"/>
        <v>3007.32156365561i</v>
      </c>
      <c r="AH186" s="31">
        <f t="shared" si="158"/>
        <v>3007.3215636556101</v>
      </c>
      <c r="AI186" s="31">
        <f t="shared" si="159"/>
        <v>1.5707963267948966</v>
      </c>
      <c r="AJ186" s="31" t="str">
        <f t="shared" si="142"/>
        <v>0.998920691070304+1.46800898469067i</v>
      </c>
      <c r="AK186" s="31">
        <f t="shared" si="160"/>
        <v>1.7756387375197988</v>
      </c>
      <c r="AL186" s="31">
        <f t="shared" si="161"/>
        <v>0.97330551171659907</v>
      </c>
      <c r="AM186" s="31" t="str">
        <f t="shared" si="143"/>
        <v>1+1.7440359944108i</v>
      </c>
      <c r="AN186" s="31">
        <f t="shared" si="162"/>
        <v>2.0103884076964995</v>
      </c>
      <c r="AO186" s="31">
        <f t="shared" si="163"/>
        <v>1.0501783693670257</v>
      </c>
      <c r="AP186" s="31" t="str">
        <f t="shared" si="144"/>
        <v>1+1.40742649179082i</v>
      </c>
      <c r="AQ186" s="31">
        <f t="shared" si="164"/>
        <v>1.7265136344073899</v>
      </c>
      <c r="AR186" s="31">
        <f t="shared" si="165"/>
        <v>0.9530470036171339</v>
      </c>
      <c r="AS186" s="58" t="str">
        <f t="shared" si="166"/>
        <v>-3.6929878920914+2.21808845619146i</v>
      </c>
      <c r="AT186" s="49">
        <f t="shared" si="167"/>
        <v>12.685329482483938</v>
      </c>
      <c r="AU186" s="61">
        <f t="shared" si="168"/>
        <v>149.01006128733042</v>
      </c>
      <c r="AV186" s="58" t="str">
        <f t="shared" si="145"/>
        <v>24.0431109560131+32.8491579610048i</v>
      </c>
      <c r="AW186" s="64">
        <f t="shared" si="169"/>
        <v>32.193587714617642</v>
      </c>
      <c r="AX186" s="61">
        <f t="shared" si="170"/>
        <v>53.798680549639698</v>
      </c>
    </row>
    <row r="187" spans="14:50" x14ac:dyDescent="0.35">
      <c r="N187" s="10">
        <v>69</v>
      </c>
      <c r="O187" s="50">
        <f t="shared" si="171"/>
        <v>489.77881936844625</v>
      </c>
      <c r="P187" s="48" t="str">
        <f t="shared" si="136"/>
        <v>547.187404092767</v>
      </c>
      <c r="Q187" s="17" t="str">
        <f t="shared" si="137"/>
        <v>1+59.0188414565838i</v>
      </c>
      <c r="R187" s="17">
        <f t="shared" si="146"/>
        <v>59.027312719429936</v>
      </c>
      <c r="S187" s="17">
        <f t="shared" si="147"/>
        <v>1.5538542063633549</v>
      </c>
      <c r="T187" s="17" t="str">
        <f t="shared" si="138"/>
        <v>1+0.00111675082288749i</v>
      </c>
      <c r="U187" s="17">
        <f t="shared" si="148"/>
        <v>1.0000006235660057</v>
      </c>
      <c r="V187" s="17">
        <f t="shared" si="149"/>
        <v>1.1167503586424594E-3</v>
      </c>
      <c r="W187" s="31" t="str">
        <f t="shared" si="139"/>
        <v>1-0.0193926549198905i</v>
      </c>
      <c r="X187" s="17">
        <f t="shared" si="150"/>
        <v>1.0001880198566877</v>
      </c>
      <c r="Y187" s="17">
        <f t="shared" si="151"/>
        <v>-1.9390224436974527E-2</v>
      </c>
      <c r="Z187" s="31" t="str">
        <f t="shared" si="140"/>
        <v>0.999920699738214+0.0927873808275492i</v>
      </c>
      <c r="AA187" s="17">
        <f t="shared" si="152"/>
        <v>1.0042165622044859</v>
      </c>
      <c r="AB187" s="17">
        <f t="shared" si="153"/>
        <v>9.2529759539882572E-2</v>
      </c>
      <c r="AC187" s="66" t="str">
        <f t="shared" si="154"/>
        <v>-0.865337351077809-9.19224849403119i</v>
      </c>
      <c r="AD187" s="64">
        <f t="shared" si="155"/>
        <v>19.306752380763037</v>
      </c>
      <c r="AE187" s="61">
        <f t="shared" si="156"/>
        <v>-95.377845645996075</v>
      </c>
      <c r="AF187" s="31" t="str">
        <f t="shared" si="141"/>
        <v>-6627.51882264077</v>
      </c>
      <c r="AG187" s="31" t="str">
        <f t="shared" si="157"/>
        <v>3077.37108162359i</v>
      </c>
      <c r="AH187" s="31">
        <f t="shared" si="158"/>
        <v>3077.3710816235898</v>
      </c>
      <c r="AI187" s="31">
        <f t="shared" si="159"/>
        <v>1.5707963267948966</v>
      </c>
      <c r="AJ187" s="31" t="str">
        <f t="shared" si="142"/>
        <v>0.998869824807549+1.50220330663915i</v>
      </c>
      <c r="AK187" s="31">
        <f t="shared" si="160"/>
        <v>1.8039832874471591</v>
      </c>
      <c r="AL187" s="31">
        <f t="shared" si="161"/>
        <v>0.98399248033094244</v>
      </c>
      <c r="AM187" s="31" t="str">
        <f t="shared" si="143"/>
        <v>1+1.78465981136597i</v>
      </c>
      <c r="AN187" s="31">
        <f t="shared" si="162"/>
        <v>2.0457298556517234</v>
      </c>
      <c r="AO187" s="31">
        <f t="shared" si="163"/>
        <v>1.0600561535776851</v>
      </c>
      <c r="AP187" s="31" t="str">
        <f t="shared" si="144"/>
        <v>1+1.44020966619984i</v>
      </c>
      <c r="AQ187" s="31">
        <f t="shared" si="164"/>
        <v>1.7533407776628751</v>
      </c>
      <c r="AR187" s="31">
        <f t="shared" si="165"/>
        <v>0.96387687123562238</v>
      </c>
      <c r="AS187" s="58" t="str">
        <f t="shared" si="166"/>
        <v>-3.69274167108595+2.16788736874686i</v>
      </c>
      <c r="AT187" s="49">
        <f t="shared" si="167"/>
        <v>12.63306416782385</v>
      </c>
      <c r="AU187" s="61">
        <f t="shared" si="168"/>
        <v>149.58420414337635</v>
      </c>
      <c r="AV187" s="58" t="str">
        <f t="shared" si="145"/>
        <v>23.1232266964647+32.0686451517796i</v>
      </c>
      <c r="AW187" s="64">
        <f t="shared" si="169"/>
        <v>31.939816548586887</v>
      </c>
      <c r="AX187" s="61">
        <f t="shared" si="170"/>
        <v>54.206358497380322</v>
      </c>
    </row>
    <row r="188" spans="14:50" x14ac:dyDescent="0.35">
      <c r="N188" s="10">
        <v>70</v>
      </c>
      <c r="O188" s="50">
        <f t="shared" si="171"/>
        <v>501.18723362727269</v>
      </c>
      <c r="P188" s="48" t="str">
        <f t="shared" si="136"/>
        <v>547.187404092767</v>
      </c>
      <c r="Q188" s="17" t="str">
        <f t="shared" si="137"/>
        <v>1+60.3935668750509i</v>
      </c>
      <c r="R188" s="17">
        <f t="shared" si="146"/>
        <v>60.40184533514887</v>
      </c>
      <c r="S188" s="17">
        <f t="shared" si="147"/>
        <v>1.554239784814665</v>
      </c>
      <c r="T188" s="17" t="str">
        <f t="shared" si="138"/>
        <v>1+0.00114276329118453i</v>
      </c>
      <c r="U188" s="17">
        <f t="shared" si="148"/>
        <v>1.0000006529537566</v>
      </c>
      <c r="V188" s="17">
        <f t="shared" si="149"/>
        <v>1.1427627937370347E-3</v>
      </c>
      <c r="W188" s="31" t="str">
        <f t="shared" si="139"/>
        <v>1-0.0198443678812428i</v>
      </c>
      <c r="X188" s="17">
        <f t="shared" si="150"/>
        <v>1.0001968800874186</v>
      </c>
      <c r="Y188" s="17">
        <f t="shared" si="151"/>
        <v>-1.9841763599563373E-2</v>
      </c>
      <c r="Z188" s="31" t="str">
        <f t="shared" si="140"/>
        <v>0.999916962432016+0.0949486765729165i</v>
      </c>
      <c r="AA188" s="17">
        <f t="shared" si="152"/>
        <v>1.004414846038338</v>
      </c>
      <c r="AB188" s="17">
        <f t="shared" si="153"/>
        <v>9.4672695872992402E-2</v>
      </c>
      <c r="AC188" s="66" t="str">
        <f t="shared" si="154"/>
        <v>-0.872013521459182-8.97883506580255i</v>
      </c>
      <c r="AD188" s="64">
        <f t="shared" si="155"/>
        <v>19.105170809866816</v>
      </c>
      <c r="AE188" s="61">
        <f t="shared" si="156"/>
        <v>-95.547099757135214</v>
      </c>
      <c r="AF188" s="31" t="str">
        <f t="shared" si="141"/>
        <v>-6627.51882264077</v>
      </c>
      <c r="AG188" s="31" t="str">
        <f t="shared" si="157"/>
        <v>3149.05226247286i</v>
      </c>
      <c r="AH188" s="31">
        <f t="shared" si="158"/>
        <v>3149.0522624728601</v>
      </c>
      <c r="AI188" s="31">
        <f t="shared" si="159"/>
        <v>1.5707963267948966</v>
      </c>
      <c r="AJ188" s="31" t="str">
        <f t="shared" si="142"/>
        <v>0.998816561291686+1.53719411666482i</v>
      </c>
      <c r="AK188" s="31">
        <f t="shared" si="160"/>
        <v>1.8331940092143779</v>
      </c>
      <c r="AL188" s="31">
        <f t="shared" si="161"/>
        <v>0.99458558225786253</v>
      </c>
      <c r="AM188" s="31" t="str">
        <f t="shared" si="143"/>
        <v>1+1.82622987857589i</v>
      </c>
      <c r="AN188" s="31">
        <f t="shared" si="162"/>
        <v>2.0820940347168064</v>
      </c>
      <c r="AO188" s="31">
        <f t="shared" si="163"/>
        <v>1.0698159104294365</v>
      </c>
      <c r="AP188" s="31" t="str">
        <f t="shared" si="144"/>
        <v>1+1.4737564588373i</v>
      </c>
      <c r="AQ188" s="31">
        <f t="shared" si="164"/>
        <v>1.7809991858405378</v>
      </c>
      <c r="AR188" s="31">
        <f t="shared" si="165"/>
        <v>0.9746199634579098</v>
      </c>
      <c r="AS188" s="58" t="str">
        <f t="shared" si="166"/>
        <v>-3.69249977524243+2.11882535616169i</v>
      </c>
      <c r="AT188" s="49">
        <f t="shared" si="167"/>
        <v>12.582534659506738</v>
      </c>
      <c r="AU188" s="61">
        <f t="shared" si="168"/>
        <v>150.15199083094808</v>
      </c>
      <c r="AV188" s="58" t="str">
        <f t="shared" si="145"/>
        <v>22.2444931382125+31.3067021022312i</v>
      </c>
      <c r="AW188" s="64">
        <f t="shared" si="169"/>
        <v>31.687705469373547</v>
      </c>
      <c r="AX188" s="61">
        <f t="shared" si="170"/>
        <v>54.604891073812936</v>
      </c>
    </row>
    <row r="189" spans="14:50" x14ac:dyDescent="0.35">
      <c r="N189" s="10">
        <v>71</v>
      </c>
      <c r="O189" s="50">
        <f t="shared" si="171"/>
        <v>512.86138399136519</v>
      </c>
      <c r="P189" s="48" t="str">
        <f t="shared" si="136"/>
        <v>547.187404092767</v>
      </c>
      <c r="Q189" s="17" t="str">
        <f t="shared" si="137"/>
        <v>1+61.8003137620787i</v>
      </c>
      <c r="R189" s="17">
        <f t="shared" si="146"/>
        <v>61.808403806370649</v>
      </c>
      <c r="S189" s="17">
        <f t="shared" si="147"/>
        <v>1.554616591186351</v>
      </c>
      <c r="T189" s="17" t="str">
        <f t="shared" si="138"/>
        <v>1+0.00116938166770482i</v>
      </c>
      <c r="U189" s="17">
        <f t="shared" si="148"/>
        <v>1.0000006837265085</v>
      </c>
      <c r="V189" s="17">
        <f t="shared" si="149"/>
        <v>1.1693811346802452E-3</v>
      </c>
      <c r="W189" s="31" t="str">
        <f t="shared" si="139"/>
        <v>1-0.020306602589117i</v>
      </c>
      <c r="X189" s="17">
        <f t="shared" si="150"/>
        <v>1.0002061578038361</v>
      </c>
      <c r="Y189" s="17">
        <f t="shared" si="151"/>
        <v>-2.0303812082084718E-2</v>
      </c>
      <c r="Z189" s="31" t="str">
        <f t="shared" si="140"/>
        <v>0.999913048992004+0.0971603153633972i</v>
      </c>
      <c r="AA189" s="17">
        <f t="shared" si="152"/>
        <v>1.0046224327706408</v>
      </c>
      <c r="AB189" s="17">
        <f t="shared" si="153"/>
        <v>9.6864670146538198E-2</v>
      </c>
      <c r="AC189" s="66" t="str">
        <f t="shared" si="154"/>
        <v>-0.878352550143898-8.77017532835805i</v>
      </c>
      <c r="AD189" s="64">
        <f t="shared" si="155"/>
        <v>18.903510257527792</v>
      </c>
      <c r="AE189" s="61">
        <f t="shared" si="156"/>
        <v>-95.719228355987084</v>
      </c>
      <c r="AF189" s="31" t="str">
        <f t="shared" si="141"/>
        <v>-6627.51882264077</v>
      </c>
      <c r="AG189" s="31" t="str">
        <f t="shared" si="157"/>
        <v>3222.40311251433i</v>
      </c>
      <c r="AH189" s="31">
        <f t="shared" si="158"/>
        <v>3222.4031125143301</v>
      </c>
      <c r="AI189" s="31">
        <f t="shared" si="159"/>
        <v>1.5707963267948966</v>
      </c>
      <c r="AJ189" s="31" t="str">
        <f t="shared" si="142"/>
        <v>0.998760787543656+1.57299996735831i</v>
      </c>
      <c r="AK189" s="31">
        <f t="shared" si="160"/>
        <v>1.8632906397135331</v>
      </c>
      <c r="AL189" s="31">
        <f t="shared" si="161"/>
        <v>1.0050809715594966</v>
      </c>
      <c r="AM189" s="31" t="str">
        <f t="shared" si="143"/>
        <v>1+1.86876823704044i</v>
      </c>
      <c r="AN189" s="31">
        <f t="shared" si="162"/>
        <v>2.1195034144278311</v>
      </c>
      <c r="AO189" s="31">
        <f t="shared" si="163"/>
        <v>1.0794553767877699</v>
      </c>
      <c r="AP189" s="31" t="str">
        <f t="shared" si="144"/>
        <v>1+1.5080846566567i</v>
      </c>
      <c r="AQ189" s="31">
        <f t="shared" si="164"/>
        <v>1.809508035805135</v>
      </c>
      <c r="AR189" s="31">
        <f t="shared" si="165"/>
        <v>0.98527205721211431</v>
      </c>
      <c r="AS189" s="58" t="str">
        <f t="shared" si="166"/>
        <v>-3.69226234061768+2.07087668421726i</v>
      </c>
      <c r="AT189" s="49">
        <f t="shared" si="167"/>
        <v>12.533702716543631</v>
      </c>
      <c r="AU189" s="61">
        <f t="shared" si="168"/>
        <v>150.71327007380211</v>
      </c>
      <c r="AV189" s="58" t="str">
        <f t="shared" si="145"/>
        <v>21.405059646676+30.562828268895i</v>
      </c>
      <c r="AW189" s="64">
        <f t="shared" si="169"/>
        <v>31.437212974071436</v>
      </c>
      <c r="AX189" s="61">
        <f t="shared" si="170"/>
        <v>54.994041717815016</v>
      </c>
    </row>
    <row r="190" spans="14:50" x14ac:dyDescent="0.35">
      <c r="N190" s="10">
        <v>72</v>
      </c>
      <c r="O190" s="50">
        <f t="shared" si="171"/>
        <v>524.80746024977248</v>
      </c>
      <c r="P190" s="48" t="str">
        <f t="shared" si="136"/>
        <v>547.187404092767</v>
      </c>
      <c r="Q190" s="17" t="str">
        <f t="shared" si="137"/>
        <v>1+63.2398279934871i</v>
      </c>
      <c r="R190" s="17">
        <f t="shared" si="146"/>
        <v>63.247733909175231</v>
      </c>
      <c r="S190" s="17">
        <f t="shared" si="147"/>
        <v>1.5549848248378919</v>
      </c>
      <c r="T190" s="17" t="str">
        <f t="shared" si="138"/>
        <v>1+0.00119662006586393i</v>
      </c>
      <c r="U190" s="17">
        <f t="shared" si="148"/>
        <v>1.0000007159495348</v>
      </c>
      <c r="V190" s="17">
        <f t="shared" si="149"/>
        <v>1.19661949471783E-3</v>
      </c>
      <c r="W190" s="31" t="str">
        <f t="shared" si="139"/>
        <v>1-0.0207796041264737i</v>
      </c>
      <c r="X190" s="17">
        <f t="shared" si="150"/>
        <v>1.0002158726733208</v>
      </c>
      <c r="Y190" s="17">
        <f t="shared" si="151"/>
        <v>-2.0776614079170082E-2</v>
      </c>
      <c r="Z190" s="31" t="str">
        <f t="shared" si="140"/>
        <v>0.999908951117245+0.0994234698391527i</v>
      </c>
      <c r="AA190" s="17">
        <f t="shared" si="152"/>
        <v>1.004839756816601</v>
      </c>
      <c r="AB190" s="17">
        <f t="shared" si="153"/>
        <v>9.9106762622898401E-2</v>
      </c>
      <c r="AC190" s="66" t="str">
        <f t="shared" si="154"/>
        <v>-0.884367907821028-8.56615960035555i</v>
      </c>
      <c r="AD190" s="64">
        <f t="shared" si="155"/>
        <v>18.701767303160963</v>
      </c>
      <c r="AE190" s="61">
        <f t="shared" si="156"/>
        <v>-95.894317942175874</v>
      </c>
      <c r="AF190" s="31" t="str">
        <f t="shared" si="141"/>
        <v>-6627.51882264077</v>
      </c>
      <c r="AG190" s="31" t="str">
        <f t="shared" si="157"/>
        <v>3297.46252333961i</v>
      </c>
      <c r="AH190" s="31">
        <f t="shared" si="158"/>
        <v>3297.46252333961</v>
      </c>
      <c r="AI190" s="31">
        <f t="shared" si="159"/>
        <v>1.5707963267948966</v>
      </c>
      <c r="AJ190" s="31" t="str">
        <f t="shared" si="142"/>
        <v>0.998702385259862+1.60963984345561i</v>
      </c>
      <c r="AK190" s="31">
        <f t="shared" si="160"/>
        <v>1.894293240225372</v>
      </c>
      <c r="AL190" s="31">
        <f t="shared" si="161"/>
        <v>1.0154750113410844</v>
      </c>
      <c r="AM190" s="31" t="str">
        <f t="shared" si="143"/>
        <v>1+1.91229744116034i</v>
      </c>
      <c r="AN190" s="31">
        <f t="shared" si="162"/>
        <v>2.1579808857977367</v>
      </c>
      <c r="AO190" s="31">
        <f t="shared" si="163"/>
        <v>1.0889724972985149</v>
      </c>
      <c r="AP190" s="31" t="str">
        <f t="shared" si="144"/>
        <v>1+1.54321246092294i</v>
      </c>
      <c r="AQ190" s="31">
        <f t="shared" si="164"/>
        <v>1.838886809879237</v>
      </c>
      <c r="AR190" s="31">
        <f t="shared" si="165"/>
        <v>0.99582913101397563</v>
      </c>
      <c r="AS190" s="58" t="str">
        <f t="shared" si="166"/>
        <v>-3.6920294889844+2.02401621453236i</v>
      </c>
      <c r="AT190" s="49">
        <f t="shared" si="167"/>
        <v>12.486529665566856</v>
      </c>
      <c r="AU190" s="61">
        <f t="shared" si="168"/>
        <v>151.26790207346389</v>
      </c>
      <c r="AV190" s="58" t="str">
        <f t="shared" si="145"/>
        <v>20.6031583221783+29.8365388668177i</v>
      </c>
      <c r="AW190" s="64">
        <f t="shared" si="169"/>
        <v>31.188296968727819</v>
      </c>
      <c r="AX190" s="61">
        <f t="shared" si="170"/>
        <v>55.373584131288091</v>
      </c>
    </row>
    <row r="191" spans="14:50" x14ac:dyDescent="0.35">
      <c r="N191" s="10">
        <v>73</v>
      </c>
      <c r="O191" s="50">
        <f t="shared" si="171"/>
        <v>537.03179637025301</v>
      </c>
      <c r="P191" s="48" t="str">
        <f t="shared" si="136"/>
        <v>547.187404092767</v>
      </c>
      <c r="Q191" s="17" t="str">
        <f t="shared" si="137"/>
        <v>1+64.7128728187755i</v>
      </c>
      <c r="R191" s="17">
        <f t="shared" si="146"/>
        <v>64.720598795584493</v>
      </c>
      <c r="S191" s="17">
        <f t="shared" si="147"/>
        <v>1.5553446806119668</v>
      </c>
      <c r="T191" s="17" t="str">
        <f t="shared" si="138"/>
        <v>1+0.00122449292782109i</v>
      </c>
      <c r="U191" s="17">
        <f t="shared" si="148"/>
        <v>1.000000749691184</v>
      </c>
      <c r="V191" s="17">
        <f t="shared" si="149"/>
        <v>1.2244923158270425E-3</v>
      </c>
      <c r="W191" s="31" t="str">
        <f t="shared" si="139"/>
        <v>1-0.0212636232849887i</v>
      </c>
      <c r="X191" s="17">
        <f t="shared" si="150"/>
        <v>1.0002260452893665</v>
      </c>
      <c r="Y191" s="17">
        <f t="shared" si="151"/>
        <v>-2.1260419430683759E-2</v>
      </c>
      <c r="Z191" s="31" t="str">
        <f t="shared" si="140"/>
        <v>0.999904660115599+0.101739339954642i</v>
      </c>
      <c r="AA191" s="17">
        <f t="shared" si="152"/>
        <v>1.0050672726814349</v>
      </c>
      <c r="AB191" s="17">
        <f t="shared" si="153"/>
        <v>0.10140007438810536</v>
      </c>
      <c r="AC191" s="66" t="str">
        <f t="shared" si="154"/>
        <v>-0.890072385183726-8.36668063305607i</v>
      </c>
      <c r="AD191" s="64">
        <f t="shared" si="155"/>
        <v>18.499938361095182</v>
      </c>
      <c r="AE191" s="61">
        <f t="shared" si="156"/>
        <v>-96.072456254252742</v>
      </c>
      <c r="AF191" s="31" t="str">
        <f t="shared" si="141"/>
        <v>-6627.51882264077</v>
      </c>
      <c r="AG191" s="31" t="str">
        <f t="shared" si="157"/>
        <v>3374.27029244183i</v>
      </c>
      <c r="AH191" s="31">
        <f t="shared" si="158"/>
        <v>3374.27029244183</v>
      </c>
      <c r="AI191" s="31">
        <f t="shared" si="159"/>
        <v>1.5707963267948966</v>
      </c>
      <c r="AJ191" s="31" t="str">
        <f t="shared" si="142"/>
        <v>0.99864123056123+1.64713317190402i</v>
      </c>
      <c r="AK191" s="31">
        <f t="shared" si="160"/>
        <v>1.9262222076809949</v>
      </c>
      <c r="AL191" s="31">
        <f t="shared" si="161"/>
        <v>1.0257642764082933</v>
      </c>
      <c r="AM191" s="31" t="str">
        <f t="shared" si="143"/>
        <v>1+1.95684057069579i</v>
      </c>
      <c r="AN191" s="31">
        <f t="shared" si="162"/>
        <v>2.1975497762555971</v>
      </c>
      <c r="AO191" s="31">
        <f t="shared" si="163"/>
        <v>1.0983654210776017</v>
      </c>
      <c r="AP191" s="31" t="str">
        <f t="shared" si="144"/>
        <v>1+1.57915849686277i</v>
      </c>
      <c r="AQ191" s="31">
        <f t="shared" si="164"/>
        <v>1.8691553060711366</v>
      </c>
      <c r="AR191" s="31">
        <f t="shared" si="165"/>
        <v>1.0062873693633363</v>
      </c>
      <c r="AS191" s="58" t="str">
        <f t="shared" si="166"/>
        <v>-3.69180132790084+1.97821939009393i</v>
      </c>
      <c r="AT191" s="49">
        <f t="shared" si="167"/>
        <v>12.440976495772704</v>
      </c>
      <c r="AU191" s="61">
        <f t="shared" si="168"/>
        <v>151.81575841921133</v>
      </c>
      <c r="AV191" s="58" t="str">
        <f t="shared" si="145"/>
        <v>19.837100272584+29.127364220281i</v>
      </c>
      <c r="AW191" s="64">
        <f t="shared" si="169"/>
        <v>30.940914856867874</v>
      </c>
      <c r="AX191" s="61">
        <f t="shared" si="170"/>
        <v>55.743302164958578</v>
      </c>
    </row>
    <row r="192" spans="14:50" x14ac:dyDescent="0.35">
      <c r="N192" s="10">
        <v>74</v>
      </c>
      <c r="O192" s="50">
        <f t="shared" si="171"/>
        <v>549.54087385762534</v>
      </c>
      <c r="P192" s="48" t="str">
        <f t="shared" si="136"/>
        <v>547.187404092767</v>
      </c>
      <c r="Q192" s="17" t="str">
        <f t="shared" si="137"/>
        <v>1+66.2202292658087i</v>
      </c>
      <c r="R192" s="17">
        <f t="shared" si="146"/>
        <v>66.227779398197143</v>
      </c>
      <c r="S192" s="17">
        <f t="shared" si="147"/>
        <v>1.5556963489358571</v>
      </c>
      <c r="T192" s="17" t="str">
        <f t="shared" si="138"/>
        <v>1+0.00125301503213666i</v>
      </c>
      <c r="U192" s="17">
        <f t="shared" si="148"/>
        <v>1.0000007850230272</v>
      </c>
      <c r="V192" s="17">
        <f t="shared" si="149"/>
        <v>1.2530143763732511E-3</v>
      </c>
      <c r="W192" s="31" t="str">
        <f t="shared" si="139"/>
        <v>1-0.0217589166980269i</v>
      </c>
      <c r="X192" s="17">
        <f t="shared" si="150"/>
        <v>1.00023669721515</v>
      </c>
      <c r="Y192" s="17">
        <f t="shared" si="151"/>
        <v>-2.1755483750162601E-2</v>
      </c>
      <c r="Z192" s="31" t="str">
        <f t="shared" si="140"/>
        <v>0.999900166885276+0.104109153614854i</v>
      </c>
      <c r="AA192" s="17">
        <f t="shared" si="152"/>
        <v>1.0053054558708037</v>
      </c>
      <c r="AB192" s="17">
        <f t="shared" si="153"/>
        <v>0.10374572753782339</v>
      </c>
      <c r="AC192" s="66" t="str">
        <f t="shared" si="154"/>
        <v>-0.895478120305347-8.17163355775325i</v>
      </c>
      <c r="AD192" s="64">
        <f t="shared" si="155"/>
        <v>18.298019673883392</v>
      </c>
      <c r="AE192" s="61">
        <f t="shared" si="156"/>
        <v>-96.253732293081839</v>
      </c>
      <c r="AF192" s="31" t="str">
        <f t="shared" si="141"/>
        <v>-6627.51882264077</v>
      </c>
      <c r="AG192" s="31" t="str">
        <f t="shared" si="157"/>
        <v>3452.86714431686i</v>
      </c>
      <c r="AH192" s="31">
        <f t="shared" si="158"/>
        <v>3452.86714431686</v>
      </c>
      <c r="AI192" s="31">
        <f t="shared" si="159"/>
        <v>1.5707963267948966</v>
      </c>
      <c r="AJ192" s="31" t="str">
        <f t="shared" si="142"/>
        <v>0.998577193730444+1.68549983216255i</v>
      </c>
      <c r="AK192" s="31">
        <f t="shared" si="160"/>
        <v>1.9590982864722619</v>
      </c>
      <c r="AL192" s="31">
        <f t="shared" si="161"/>
        <v>1.0359455549955587</v>
      </c>
      <c r="AM192" s="31" t="str">
        <f t="shared" si="143"/>
        <v>1+2.00242124300368i</v>
      </c>
      <c r="AN192" s="31">
        <f t="shared" si="162"/>
        <v>2.2382338649999025</v>
      </c>
      <c r="AO192" s="31">
        <f t="shared" si="163"/>
        <v>1.1076324978174494</v>
      </c>
      <c r="AP192" s="31" t="str">
        <f t="shared" si="144"/>
        <v>1+1.61594182354029i</v>
      </c>
      <c r="AQ192" s="31">
        <f t="shared" si="164"/>
        <v>1.9003336488803007</v>
      </c>
      <c r="AR192" s="31">
        <f t="shared" si="165"/>
        <v>1.0166431661677211</v>
      </c>
      <c r="AS192" s="58" t="str">
        <f t="shared" si="166"/>
        <v>-3.69157795086029+1.9334622211273i</v>
      </c>
      <c r="AT192" s="49">
        <f t="shared" si="167"/>
        <v>12.397003950804324</v>
      </c>
      <c r="AU192" s="61">
        <f t="shared" si="168"/>
        <v>152.35672196211758</v>
      </c>
      <c r="AV192" s="58" t="str">
        <f t="shared" si="145"/>
        <v>19.105272053209+28.4348491488554i</v>
      </c>
      <c r="AW192" s="64">
        <f t="shared" si="169"/>
        <v>30.695023624687707</v>
      </c>
      <c r="AX192" s="61">
        <f t="shared" si="170"/>
        <v>56.102989669035729</v>
      </c>
    </row>
    <row r="193" spans="14:50" x14ac:dyDescent="0.35">
      <c r="N193" s="10">
        <v>75</v>
      </c>
      <c r="O193" s="50">
        <f t="shared" si="171"/>
        <v>562.34132519034927</v>
      </c>
      <c r="P193" s="48" t="str">
        <f t="shared" si="136"/>
        <v>547.187404092767</v>
      </c>
      <c r="Q193" s="17" t="str">
        <f t="shared" si="137"/>
        <v>1+67.7626965549269i</v>
      </c>
      <c r="R193" s="17">
        <f t="shared" si="146"/>
        <v>67.770074844248938</v>
      </c>
      <c r="S193" s="17">
        <f t="shared" si="147"/>
        <v>1.5560400159206347</v>
      </c>
      <c r="T193" s="17" t="str">
        <f t="shared" si="138"/>
        <v>1+0.00128220150160789i</v>
      </c>
      <c r="U193" s="17">
        <f t="shared" si="148"/>
        <v>1.0000008220200074</v>
      </c>
      <c r="V193" s="17">
        <f t="shared" si="149"/>
        <v>1.2822007989447689E-3</v>
      </c>
      <c r="W193" s="31" t="str">
        <f t="shared" si="139"/>
        <v>1-0.0222657469767116i</v>
      </c>
      <c r="X193" s="17">
        <f t="shared" si="150"/>
        <v>1.000247851029149</v>
      </c>
      <c r="Y193" s="17">
        <f t="shared" si="151"/>
        <v>-2.2262068556027723E-2</v>
      </c>
      <c r="Z193" s="31" t="str">
        <f t="shared" si="140"/>
        <v>0.999895461895532+0.106534167326361i</v>
      </c>
      <c r="AA193" s="17">
        <f t="shared" si="152"/>
        <v>1.0055548038407456</v>
      </c>
      <c r="AB193" s="17">
        <f t="shared" si="153"/>
        <v>0.10614486534760975</v>
      </c>
      <c r="AC193" s="66" t="str">
        <f t="shared" si="154"/>
        <v>-0.900596624685933-7.9809158343317i</v>
      </c>
      <c r="AD193" s="64">
        <f t="shared" si="155"/>
        <v>18.096007305334346</v>
      </c>
      <c r="AE193" s="61">
        <f t="shared" si="156"/>
        <v>-96.438236344347686</v>
      </c>
      <c r="AF193" s="31" t="str">
        <f t="shared" si="141"/>
        <v>-6627.51882264077</v>
      </c>
      <c r="AG193" s="31" t="str">
        <f t="shared" si="157"/>
        <v>3533.2947520559i</v>
      </c>
      <c r="AH193" s="31">
        <f t="shared" si="158"/>
        <v>3533.2947520559001</v>
      </c>
      <c r="AI193" s="31">
        <f t="shared" si="159"/>
        <v>1.5707963267948966</v>
      </c>
      <c r="AJ193" s="31" t="str">
        <f t="shared" si="142"/>
        <v>0.998510138936803+1.72476016674233i</v>
      </c>
      <c r="AK193" s="31">
        <f t="shared" si="160"/>
        <v>1.9929425807936927</v>
      </c>
      <c r="AL193" s="31">
        <f t="shared" si="161"/>
        <v>1.0460158495985483</v>
      </c>
      <c r="AM193" s="31" t="str">
        <f t="shared" si="143"/>
        <v>1+2.04906362555978i</v>
      </c>
      <c r="AN193" s="31">
        <f t="shared" si="162"/>
        <v>2.2800573987494679</v>
      </c>
      <c r="AO193" s="31">
        <f t="shared" si="163"/>
        <v>1.1167722733652825</v>
      </c>
      <c r="AP193" s="31" t="str">
        <f t="shared" si="144"/>
        <v>1+1.65358194396216i</v>
      </c>
      <c r="AQ193" s="31">
        <f t="shared" si="164"/>
        <v>1.9324423006645441</v>
      </c>
      <c r="AR193" s="31">
        <f t="shared" si="165"/>
        <v>1.0268931272143973</v>
      </c>
      <c r="AS193" s="58" t="str">
        <f t="shared" si="166"/>
        <v>-3.69135943751299+1.88972127130537i</v>
      </c>
      <c r="AT193" s="49">
        <f t="shared" si="167"/>
        <v>12.354572617268254</v>
      </c>
      <c r="AU193" s="61">
        <f t="shared" si="168"/>
        <v>152.89068665564872</v>
      </c>
      <c r="AV193" s="58" t="str">
        <f t="shared" si="145"/>
        <v>18.4061322665612+27.7585523865224i</v>
      </c>
      <c r="AW193" s="64">
        <f t="shared" si="169"/>
        <v>30.450579922602607</v>
      </c>
      <c r="AX193" s="61">
        <f t="shared" si="170"/>
        <v>56.452450311301092</v>
      </c>
    </row>
    <row r="194" spans="14:50" x14ac:dyDescent="0.35">
      <c r="N194" s="10">
        <v>76</v>
      </c>
      <c r="O194" s="50">
        <f t="shared" si="171"/>
        <v>575.43993733715706</v>
      </c>
      <c r="P194" s="48" t="str">
        <f t="shared" si="136"/>
        <v>547.187404092767</v>
      </c>
      <c r="Q194" s="17" t="str">
        <f t="shared" si="137"/>
        <v>1+69.341092522704i</v>
      </c>
      <c r="R194" s="17">
        <f t="shared" si="146"/>
        <v>69.348302879322134</v>
      </c>
      <c r="S194" s="17">
        <f t="shared" si="147"/>
        <v>1.5563758634581817</v>
      </c>
      <c r="T194" s="17" t="str">
        <f t="shared" si="138"/>
        <v>1+0.00131206781128722i</v>
      </c>
      <c r="U194" s="17">
        <f t="shared" si="148"/>
        <v>1.0000008607606004</v>
      </c>
      <c r="V194" s="17">
        <f t="shared" si="149"/>
        <v>1.3120670583701558E-3</v>
      </c>
      <c r="W194" s="31" t="str">
        <f t="shared" si="139"/>
        <v>1-0.0227843828491653i</v>
      </c>
      <c r="X194" s="17">
        <f t="shared" si="150"/>
        <v>1.0002595303729014</v>
      </c>
      <c r="Y194" s="17">
        <f t="shared" si="151"/>
        <v>-2.2780441405621091E-2</v>
      </c>
      <c r="Z194" s="31" t="str">
        <f t="shared" si="140"/>
        <v>0.999890535166452+0.10901566686353i</v>
      </c>
      <c r="AA194" s="17">
        <f t="shared" si="152"/>
        <v>1.0058158369886379</v>
      </c>
      <c r="AB194" s="17">
        <f t="shared" si="153"/>
        <v>0.10859865242580824</v>
      </c>
      <c r="AC194" s="66" t="str">
        <f t="shared" si="154"/>
        <v>-0.9054388080264-7.79442720094513i</v>
      </c>
      <c r="AD194" s="64">
        <f t="shared" si="155"/>
        <v>17.893897133258683</v>
      </c>
      <c r="AE194" s="61">
        <f t="shared" si="156"/>
        <v>-96.626060000094469</v>
      </c>
      <c r="AF194" s="31" t="str">
        <f t="shared" si="141"/>
        <v>-6627.51882264077</v>
      </c>
      <c r="AG194" s="31" t="str">
        <f t="shared" si="157"/>
        <v>3615.59575944117i</v>
      </c>
      <c r="AH194" s="31">
        <f t="shared" si="158"/>
        <v>3615.5957594411698</v>
      </c>
      <c r="AI194" s="31">
        <f t="shared" si="159"/>
        <v>1.5707963267948966</v>
      </c>
      <c r="AJ194" s="31" t="str">
        <f t="shared" si="142"/>
        <v>0.998439923948096+1.76493499199241i</v>
      </c>
      <c r="AK194" s="31">
        <f t="shared" si="160"/>
        <v>2.0277765674976935</v>
      </c>
      <c r="AL194" s="31">
        <f t="shared" si="161"/>
        <v>1.0559723769491549</v>
      </c>
      <c r="AM194" s="31" t="str">
        <f t="shared" si="143"/>
        <v>1+2.09679244877272i</v>
      </c>
      <c r="AN194" s="31">
        <f t="shared" si="162"/>
        <v>2.3230451078767929</v>
      </c>
      <c r="AO194" s="31">
        <f t="shared" si="163"/>
        <v>1.1257834848288173</v>
      </c>
      <c r="AP194" s="31" t="str">
        <f t="shared" si="144"/>
        <v>1+1.69209881541846i</v>
      </c>
      <c r="AQ194" s="31">
        <f t="shared" si="164"/>
        <v>1.9655020735528506</v>
      </c>
      <c r="AR194" s="31">
        <f t="shared" si="165"/>
        <v>1.037034071719295</v>
      </c>
      <c r="AS194" s="58" t="str">
        <f t="shared" si="166"/>
        <v>-3.69114585395668+1.84697364429506i</v>
      </c>
      <c r="AT194" s="49">
        <f t="shared" si="167"/>
        <v>12.31364300962656</v>
      </c>
      <c r="AU194" s="61">
        <f t="shared" si="168"/>
        <v>153.41755736541995</v>
      </c>
      <c r="AV194" s="58" t="str">
        <f t="shared" si="145"/>
        <v>17.7382083147803+27.0980460317891i</v>
      </c>
      <c r="AW194" s="64">
        <f t="shared" si="169"/>
        <v>30.207540142885247</v>
      </c>
      <c r="AX194" s="61">
        <f t="shared" si="170"/>
        <v>56.791497365325455</v>
      </c>
    </row>
    <row r="195" spans="14:50" x14ac:dyDescent="0.35">
      <c r="N195" s="10">
        <v>77</v>
      </c>
      <c r="O195" s="50">
        <f t="shared" si="171"/>
        <v>588.84365535558959</v>
      </c>
      <c r="P195" s="48" t="str">
        <f t="shared" si="136"/>
        <v>547.187404092767</v>
      </c>
      <c r="Q195" s="17" t="str">
        <f t="shared" si="137"/>
        <v>1+70.9562540555744i</v>
      </c>
      <c r="R195" s="17">
        <f t="shared" si="146"/>
        <v>70.963300300924701</v>
      </c>
      <c r="S195" s="17">
        <f t="shared" si="147"/>
        <v>1.5567040693160827</v>
      </c>
      <c r="T195" s="17" t="str">
        <f t="shared" si="138"/>
        <v>1+0.00134262979668736i</v>
      </c>
      <c r="U195" s="17">
        <f t="shared" si="148"/>
        <v>1.0000009013269793</v>
      </c>
      <c r="V195" s="17">
        <f t="shared" si="149"/>
        <v>1.3426289899222299E-3</v>
      </c>
      <c r="W195" s="31" t="str">
        <f t="shared" si="139"/>
        <v>1-0.0233150993029927i</v>
      </c>
      <c r="X195" s="17">
        <f t="shared" si="150"/>
        <v>1.0002717600010052</v>
      </c>
      <c r="Y195" s="17">
        <f t="shared" si="151"/>
        <v>-2.331087603211305E-2</v>
      </c>
      <c r="Z195" s="31" t="str">
        <f t="shared" si="140"/>
        <v>0.999885376247784+0.111554967950264i</v>
      </c>
      <c r="AA195" s="17">
        <f t="shared" si="152"/>
        <v>1.0060890996867806</v>
      </c>
      <c r="AB195" s="17">
        <f t="shared" si="153"/>
        <v>0.11110827484734086</v>
      </c>
      <c r="AC195" s="66" t="str">
        <f t="shared" si="154"/>
        <v>-0.910015001785656-7.61206962480555i</v>
      </c>
      <c r="AD195" s="64">
        <f t="shared" si="155"/>
        <v>17.69168484192301</v>
      </c>
      <c r="AE195" s="61">
        <f t="shared" si="156"/>
        <v>-96.817296179202771</v>
      </c>
      <c r="AF195" s="31" t="str">
        <f t="shared" si="141"/>
        <v>-6627.51882264077</v>
      </c>
      <c r="AG195" s="31" t="str">
        <f t="shared" si="157"/>
        <v>3699.81380355616i</v>
      </c>
      <c r="AH195" s="31">
        <f t="shared" si="158"/>
        <v>3699.8138035561601</v>
      </c>
      <c r="AI195" s="31">
        <f t="shared" si="159"/>
        <v>1.5707963267948966</v>
      </c>
      <c r="AJ195" s="31" t="str">
        <f t="shared" si="142"/>
        <v>0.998366399828921+1.80604560913692i</v>
      </c>
      <c r="AK195" s="31">
        <f t="shared" si="160"/>
        <v>2.0636221094449705</v>
      </c>
      <c r="AL195" s="31">
        <f t="shared" si="161"/>
        <v>1.0658125671761438</v>
      </c>
      <c r="AM195" s="31" t="str">
        <f t="shared" si="143"/>
        <v>1+2.14563301909633i</v>
      </c>
      <c r="AN195" s="31">
        <f t="shared" si="162"/>
        <v>2.3672222229094659</v>
      </c>
      <c r="AO195" s="31">
        <f t="shared" si="163"/>
        <v>1.1346650552641959</v>
      </c>
      <c r="AP195" s="31" t="str">
        <f t="shared" si="144"/>
        <v>1+1.73151286006428i</v>
      </c>
      <c r="AQ195" s="31">
        <f t="shared" si="164"/>
        <v>1.9995341418860502</v>
      </c>
      <c r="AR195" s="31">
        <f t="shared" si="165"/>
        <v>1.0470630329868431</v>
      </c>
      <c r="AS195" s="58" t="str">
        <f t="shared" si="166"/>
        <v>-3.69093725308777+1.80519697063923i</v>
      </c>
      <c r="AT195" s="49">
        <f t="shared" si="167"/>
        <v>12.274175651241251</v>
      </c>
      <c r="AU195" s="61">
        <f t="shared" si="168"/>
        <v>153.93724965073361</v>
      </c>
      <c r="AV195" s="58" t="str">
        <f t="shared" si="145"/>
        <v>17.1000932979533+26.4529150268329i</v>
      </c>
      <c r="AW195" s="64">
        <f t="shared" si="169"/>
        <v>29.965860493164254</v>
      </c>
      <c r="AX195" s="61">
        <f t="shared" si="170"/>
        <v>57.119953471530792</v>
      </c>
    </row>
    <row r="196" spans="14:50" x14ac:dyDescent="0.35">
      <c r="N196" s="10">
        <v>78</v>
      </c>
      <c r="O196" s="50">
        <f t="shared" si="171"/>
        <v>602.55958607435832</v>
      </c>
      <c r="P196" s="48" t="str">
        <f t="shared" si="136"/>
        <v>547.187404092767</v>
      </c>
      <c r="Q196" s="17" t="str">
        <f t="shared" si="137"/>
        <v>1+72.6090375335621i</v>
      </c>
      <c r="R196" s="17">
        <f t="shared" si="146"/>
        <v>72.615923402172811</v>
      </c>
      <c r="S196" s="17">
        <f t="shared" si="147"/>
        <v>1.5570248072304333</v>
      </c>
      <c r="T196" s="17" t="str">
        <f t="shared" si="138"/>
        <v>1+0.0013739036621775i</v>
      </c>
      <c r="U196" s="17">
        <f t="shared" si="148"/>
        <v>1.0000009438051911</v>
      </c>
      <c r="V196" s="17">
        <f t="shared" si="149"/>
        <v>1.3739027977131321E-3</v>
      </c>
      <c r="W196" s="31" t="str">
        <f t="shared" si="139"/>
        <v>1-0.0238581777310823i</v>
      </c>
      <c r="X196" s="17">
        <f t="shared" si="150"/>
        <v>1.0002845658334671</v>
      </c>
      <c r="Y196" s="17">
        <f t="shared" si="151"/>
        <v>-2.3853652484330797E-2</v>
      </c>
      <c r="Z196" s="31" t="str">
        <f t="shared" si="140"/>
        <v>0.99987997419677+0.114153416957609i</v>
      </c>
      <c r="AA196" s="17">
        <f t="shared" si="152"/>
        <v>1.006375161360231</v>
      </c>
      <c r="AB196" s="17">
        <f t="shared" si="153"/>
        <v>0.11367494026650145</v>
      </c>
      <c r="AC196" s="66" t="str">
        <f t="shared" si="154"/>
        <v>-0.91433498157338-7.43374725407397i</v>
      </c>
      <c r="AD196" s="64">
        <f t="shared" si="155"/>
        <v>17.489365914204743</v>
      </c>
      <c r="AE196" s="61">
        <f t="shared" si="156"/>
        <v>-97.012039146700403</v>
      </c>
      <c r="AF196" s="31" t="str">
        <f t="shared" si="141"/>
        <v>-6627.51882264077</v>
      </c>
      <c r="AG196" s="31" t="str">
        <f t="shared" si="157"/>
        <v>3785.99353792262i</v>
      </c>
      <c r="AH196" s="31">
        <f t="shared" si="158"/>
        <v>3785.9935379226199</v>
      </c>
      <c r="AI196" s="31">
        <f t="shared" si="159"/>
        <v>1.5707963267948966</v>
      </c>
      <c r="AJ196" s="31" t="str">
        <f t="shared" si="142"/>
        <v>0.998289410624763+1.84811381556924i</v>
      </c>
      <c r="AK196" s="31">
        <f t="shared" si="160"/>
        <v>2.1005014693314146</v>
      </c>
      <c r="AL196" s="31">
        <f t="shared" si="161"/>
        <v>1.0755340621983407</v>
      </c>
      <c r="AM196" s="31" t="str">
        <f t="shared" si="143"/>
        <v>1+2.19561123244747i</v>
      </c>
      <c r="AN196" s="31">
        <f t="shared" si="162"/>
        <v>2.4126144913867815</v>
      </c>
      <c r="AO196" s="31">
        <f t="shared" si="163"/>
        <v>1.1434160880001649</v>
      </c>
      <c r="AP196" s="31" t="str">
        <f t="shared" si="144"/>
        <v>1+1.77184497574778i</v>
      </c>
      <c r="AQ196" s="31">
        <f t="shared" si="164"/>
        <v>2.0345600551673702</v>
      </c>
      <c r="AR196" s="31">
        <f t="shared" si="165"/>
        <v>1.056977258220152</v>
      </c>
      <c r="AS196" s="58" t="str">
        <f t="shared" si="166"/>
        <v>-3.69073367500757+1.76436939497112i</v>
      </c>
      <c r="AT196" s="49">
        <f t="shared" si="167"/>
        <v>12.236131151392136</v>
      </c>
      <c r="AU196" s="61">
        <f t="shared" si="168"/>
        <v>154.44968952056675</v>
      </c>
      <c r="AV196" s="58" t="str">
        <f t="shared" si="145"/>
        <v>16.490443051769+25.8227566638663i</v>
      </c>
      <c r="AW196" s="64">
        <f t="shared" si="169"/>
        <v>29.725497065596876</v>
      </c>
      <c r="AX196" s="61">
        <f t="shared" si="170"/>
        <v>57.437650373866376</v>
      </c>
    </row>
    <row r="197" spans="14:50" x14ac:dyDescent="0.35">
      <c r="N197" s="10">
        <v>79</v>
      </c>
      <c r="O197" s="50">
        <f t="shared" si="171"/>
        <v>616.59500186148273</v>
      </c>
      <c r="P197" s="48" t="str">
        <f t="shared" si="136"/>
        <v>547.187404092767</v>
      </c>
      <c r="Q197" s="17" t="str">
        <f t="shared" si="137"/>
        <v>1+74.3003192843444i</v>
      </c>
      <c r="R197" s="17">
        <f t="shared" si="146"/>
        <v>74.307048425808986</v>
      </c>
      <c r="S197" s="17">
        <f t="shared" si="147"/>
        <v>1.5573382469966077</v>
      </c>
      <c r="T197" s="17" t="str">
        <f t="shared" si="138"/>
        <v>1+0.00140590598957511i</v>
      </c>
      <c r="U197" s="17">
        <f t="shared" si="148"/>
        <v>1.0000009882853373</v>
      </c>
      <c r="V197" s="17">
        <f t="shared" si="149"/>
        <v>1.4059050632849006E-3</v>
      </c>
      <c r="W197" s="31" t="str">
        <f t="shared" si="139"/>
        <v>1-0.0244139060808053i</v>
      </c>
      <c r="X197" s="17">
        <f t="shared" si="150"/>
        <v>1.0002979750105079</v>
      </c>
      <c r="Y197" s="17">
        <f t="shared" si="151"/>
        <v>-2.4409057269558079E-2</v>
      </c>
      <c r="Z197" s="31" t="str">
        <f t="shared" si="140"/>
        <v>0.999874317554935+0.116812391617625i</v>
      </c>
      <c r="AA197" s="17">
        <f t="shared" si="152"/>
        <v>1.0066746176105645</v>
      </c>
      <c r="AB197" s="17">
        <f t="shared" si="153"/>
        <v>0.11629987800678612</v>
      </c>
      <c r="AC197" s="66" t="str">
        <f t="shared" si="154"/>
        <v>-0.918407988429618-7.25936637084397i</v>
      </c>
      <c r="AD197" s="64">
        <f t="shared" si="155"/>
        <v>17.286935623441916</v>
      </c>
      <c r="AE197" s="61">
        <f t="shared" si="156"/>
        <v>-97.210384531799463</v>
      </c>
      <c r="AF197" s="31" t="str">
        <f t="shared" si="141"/>
        <v>-6627.51882264077</v>
      </c>
      <c r="AG197" s="31" t="str">
        <f t="shared" si="157"/>
        <v>3874.18065617644i</v>
      </c>
      <c r="AH197" s="31">
        <f t="shared" si="158"/>
        <v>3874.1806561764402</v>
      </c>
      <c r="AI197" s="31">
        <f t="shared" si="159"/>
        <v>1.5707963267948966</v>
      </c>
      <c r="AJ197" s="31" t="str">
        <f t="shared" si="142"/>
        <v>0.998208793031196+1.89116191640925i</v>
      </c>
      <c r="AK197" s="31">
        <f t="shared" si="160"/>
        <v>2.1384373239731636</v>
      </c>
      <c r="AL197" s="31">
        <f t="shared" si="161"/>
        <v>1.085134713400409</v>
      </c>
      <c r="AM197" s="31" t="str">
        <f t="shared" si="143"/>
        <v>1+2.2467535879364i</v>
      </c>
      <c r="AN197" s="31">
        <f t="shared" si="162"/>
        <v>2.4592481950598413</v>
      </c>
      <c r="AO197" s="31">
        <f t="shared" si="163"/>
        <v>1.1520358606510452</v>
      </c>
      <c r="AP197" s="31" t="str">
        <f t="shared" si="144"/>
        <v>1+1.81311654709057i</v>
      </c>
      <c r="AQ197" s="31">
        <f t="shared" si="164"/>
        <v>2.070601751504531</v>
      </c>
      <c r="AR197" s="31">
        <f t="shared" si="165"/>
        <v>1.0667742075254312</v>
      </c>
      <c r="AS197" s="58" t="str">
        <f t="shared" si="166"/>
        <v>-3.69053514747694+1.724469563558i</v>
      </c>
      <c r="AT197" s="49">
        <f t="shared" si="167"/>
        <v>12.199470278126842</v>
      </c>
      <c r="AU197" s="61">
        <f t="shared" si="168"/>
        <v>154.95481316666499</v>
      </c>
      <c r="AV197" s="58" t="str">
        <f t="shared" si="145"/>
        <v>15.90797331826+25.2071801170364i</v>
      </c>
      <c r="AW197" s="64">
        <f t="shared" si="169"/>
        <v>29.486405901568759</v>
      </c>
      <c r="AX197" s="61">
        <f t="shared" si="170"/>
        <v>57.744428634865585</v>
      </c>
    </row>
    <row r="198" spans="14:50" x14ac:dyDescent="0.35">
      <c r="N198" s="10">
        <v>80</v>
      </c>
      <c r="O198" s="50">
        <f t="shared" si="171"/>
        <v>630.95734448019323</v>
      </c>
      <c r="P198" s="48" t="str">
        <f t="shared" si="136"/>
        <v>547.187404092767</v>
      </c>
      <c r="Q198" s="17" t="str">
        <f t="shared" si="137"/>
        <v>1+76.0309960478921i</v>
      </c>
      <c r="R198" s="17">
        <f t="shared" si="146"/>
        <v>76.037572028797612</v>
      </c>
      <c r="S198" s="17">
        <f t="shared" si="147"/>
        <v>1.5576445545580277</v>
      </c>
      <c r="T198" s="17" t="str">
        <f t="shared" si="138"/>
        <v>1+0.00143865374693774i</v>
      </c>
      <c r="U198" s="17">
        <f t="shared" si="148"/>
        <v>1.0000010348617663</v>
      </c>
      <c r="V198" s="17">
        <f t="shared" si="149"/>
        <v>1.4386527543999539E-3</v>
      </c>
      <c r="W198" s="31" t="str">
        <f t="shared" si="139"/>
        <v>1-0.0249825790066885i</v>
      </c>
      <c r="X198" s="17">
        <f t="shared" si="150"/>
        <v>1.0003120159499361</v>
      </c>
      <c r="Y198" s="17">
        <f t="shared" si="151"/>
        <v>-2.497738349935261E-2</v>
      </c>
      <c r="Z198" s="31" t="str">
        <f t="shared" si="140"/>
        <v>0.999868394323784+0.11953330175387i</v>
      </c>
      <c r="AA198" s="17">
        <f t="shared" si="152"/>
        <v>1.0069880913872835</v>
      </c>
      <c r="AB198" s="17">
        <f t="shared" si="153"/>
        <v>0.11898433912560855</v>
      </c>
      <c r="AC198" s="66" t="str">
        <f t="shared" si="154"/>
        <v>-0.922242749039969-7.08883534520868i</v>
      </c>
      <c r="AD198" s="64">
        <f t="shared" si="155"/>
        <v>17.084389024971202</v>
      </c>
      <c r="AE198" s="61">
        <f t="shared" si="156"/>
        <v>-97.41242934454138</v>
      </c>
      <c r="AF198" s="31" t="str">
        <f t="shared" si="141"/>
        <v>-6627.51882264077</v>
      </c>
      <c r="AG198" s="31" t="str">
        <f t="shared" si="157"/>
        <v>3964.421916295i</v>
      </c>
      <c r="AH198" s="31">
        <f t="shared" si="158"/>
        <v>3964.4219162949998</v>
      </c>
      <c r="AI198" s="31">
        <f t="shared" si="159"/>
        <v>1.5707963267948966</v>
      </c>
      <c r="AJ198" s="31" t="str">
        <f t="shared" si="142"/>
        <v>0.998124376047498+1.93521273632982i</v>
      </c>
      <c r="AK198" s="31">
        <f t="shared" si="160"/>
        <v>2.1774527790318108</v>
      </c>
      <c r="AL198" s="31">
        <f t="shared" si="161"/>
        <v>1.0946125786436252</v>
      </c>
      <c r="AM198" s="31" t="str">
        <f t="shared" si="143"/>
        <v>1+2.29908720191696i</v>
      </c>
      <c r="AN198" s="31">
        <f t="shared" si="162"/>
        <v>2.5071501674248307</v>
      </c>
      <c r="AO198" s="31">
        <f t="shared" si="163"/>
        <v>1.1605238188692719</v>
      </c>
      <c r="AP198" s="31" t="str">
        <f t="shared" si="144"/>
        <v>1+1.85534945682606i</v>
      </c>
      <c r="AQ198" s="31">
        <f t="shared" si="164"/>
        <v>2.1076815715246826</v>
      </c>
      <c r="AR198" s="31">
        <f t="shared" si="165"/>
        <v>1.076451552158165</v>
      </c>
      <c r="AS198" s="58" t="str">
        <f t="shared" si="166"/>
        <v>-3.69034168641233+1.68547661217008i</v>
      </c>
      <c r="AT198" s="49">
        <f t="shared" si="167"/>
        <v>12.164154026837997</v>
      </c>
      <c r="AU198" s="61">
        <f t="shared" si="168"/>
        <v>155.45256667637187</v>
      </c>
      <c r="AV198" s="58" t="str">
        <f t="shared" si="145"/>
        <v>15.3514570436475+24.6058059982864i</v>
      </c>
      <c r="AW198" s="64">
        <f t="shared" si="169"/>
        <v>29.248543051809186</v>
      </c>
      <c r="AX198" s="61">
        <f t="shared" si="170"/>
        <v>58.040137331830536</v>
      </c>
    </row>
    <row r="199" spans="14:50" x14ac:dyDescent="0.35">
      <c r="N199" s="10">
        <v>81</v>
      </c>
      <c r="O199" s="50">
        <f t="shared" si="171"/>
        <v>645.65422903465594</v>
      </c>
      <c r="P199" s="48" t="str">
        <f t="shared" si="136"/>
        <v>547.187404092767</v>
      </c>
      <c r="Q199" s="17" t="str">
        <f t="shared" si="137"/>
        <v>1+77.8019854519336i</v>
      </c>
      <c r="R199" s="17">
        <f t="shared" si="146"/>
        <v>77.808411757745631</v>
      </c>
      <c r="S199" s="17">
        <f t="shared" si="147"/>
        <v>1.5579438920929722</v>
      </c>
      <c r="T199" s="17" t="str">
        <f t="shared" si="138"/>
        <v>1+0.00147216429755984i</v>
      </c>
      <c r="U199" s="17">
        <f t="shared" si="148"/>
        <v>1.0000010836332724</v>
      </c>
      <c r="V199" s="17">
        <f t="shared" si="149"/>
        <v>1.4721632340365034E-3</v>
      </c>
      <c r="W199" s="31" t="str">
        <f t="shared" si="139"/>
        <v>1-0.0255644980266446i</v>
      </c>
      <c r="X199" s="17">
        <f t="shared" si="150"/>
        <v>1.0003267184072182</v>
      </c>
      <c r="Y199" s="17">
        <f t="shared" si="151"/>
        <v>-2.5558931038432035E-2</v>
      </c>
      <c r="Z199" s="31" t="str">
        <f t="shared" si="140"/>
        <v>0.999862191939349+0.122317590028916i</v>
      </c>
      <c r="AA199" s="17">
        <f t="shared" si="152"/>
        <v>1.007316234208623</v>
      </c>
      <c r="AB199" s="17">
        <f t="shared" si="153"/>
        <v>0.12172959645167518</v>
      </c>
      <c r="AC199" s="66" t="str">
        <f t="shared" si="154"/>
        <v>-0.925847494933861-6.92206459040237i</v>
      </c>
      <c r="AD199" s="64">
        <f t="shared" si="155"/>
        <v>16.881720947348487</v>
      </c>
      <c r="AE199" s="61">
        <f t="shared" si="156"/>
        <v>-97.618271990927369</v>
      </c>
      <c r="AF199" s="31" t="str">
        <f t="shared" si="141"/>
        <v>-6627.51882264077</v>
      </c>
      <c r="AG199" s="31" t="str">
        <f t="shared" si="157"/>
        <v>4056.76516538891i</v>
      </c>
      <c r="AH199" s="31">
        <f t="shared" si="158"/>
        <v>4056.7651653889102</v>
      </c>
      <c r="AI199" s="31">
        <f t="shared" si="159"/>
        <v>1.5707963267948966</v>
      </c>
      <c r="AJ199" s="31" t="str">
        <f t="shared" si="142"/>
        <v>0.998035980613927+1.98028963165877i</v>
      </c>
      <c r="AK199" s="31">
        <f t="shared" si="160"/>
        <v>2.2175713841622389</v>
      </c>
      <c r="AL199" s="31">
        <f t="shared" si="161"/>
        <v>1.1039659186657269</v>
      </c>
      <c r="AM199" s="31" t="str">
        <f t="shared" si="143"/>
        <v>1+2.35263982236399i</v>
      </c>
      <c r="AN199" s="31">
        <f t="shared" si="162"/>
        <v>2.5563478115805891</v>
      </c>
      <c r="AO199" s="31">
        <f t="shared" si="163"/>
        <v>1.1688795698861849</v>
      </c>
      <c r="AP199" s="31" t="str">
        <f t="shared" si="144"/>
        <v>1+1.89856609740201i</v>
      </c>
      <c r="AQ199" s="31">
        <f t="shared" si="164"/>
        <v>2.145822272744017</v>
      </c>
      <c r="AR199" s="31">
        <f t="shared" si="165"/>
        <v>1.0860071720616415</v>
      </c>
      <c r="AS199" s="58" t="str">
        <f t="shared" si="166"/>
        <v>-3.69015329641707+1.64737015426981i</v>
      </c>
      <c r="AT199" s="49">
        <f t="shared" si="167"/>
        <v>12.130143684499322</v>
      </c>
      <c r="AU199" s="61">
        <f t="shared" si="168"/>
        <v>155.94290572778644</v>
      </c>
      <c r="AV199" s="58" t="str">
        <f t="shared" si="145"/>
        <v>14.8197217975664+24.0182659357257i</v>
      </c>
      <c r="AW199" s="64">
        <f t="shared" si="169"/>
        <v>29.011864631847818</v>
      </c>
      <c r="AX199" s="61">
        <f t="shared" si="170"/>
        <v>58.324633736859127</v>
      </c>
    </row>
    <row r="200" spans="14:50" x14ac:dyDescent="0.35">
      <c r="N200" s="10">
        <v>82</v>
      </c>
      <c r="O200" s="50">
        <f t="shared" si="171"/>
        <v>660.69344800759643</v>
      </c>
      <c r="P200" s="48" t="str">
        <f t="shared" si="136"/>
        <v>547.187404092767</v>
      </c>
      <c r="Q200" s="17" t="str">
        <f t="shared" si="137"/>
        <v>1+79.614226498493i</v>
      </c>
      <c r="R200" s="17">
        <f t="shared" si="146"/>
        <v>79.620506535397922</v>
      </c>
      <c r="S200" s="17">
        <f t="shared" si="147"/>
        <v>1.558236418099469</v>
      </c>
      <c r="T200" s="17" t="str">
        <f t="shared" si="138"/>
        <v>1+0.00150645540917891i</v>
      </c>
      <c r="U200" s="17">
        <f t="shared" si="148"/>
        <v>1.0000011347033062</v>
      </c>
      <c r="V200" s="17">
        <f t="shared" si="149"/>
        <v>1.506454269593193E-3</v>
      </c>
      <c r="W200" s="31" t="str">
        <f t="shared" si="139"/>
        <v>1-0.0261599716818406i</v>
      </c>
      <c r="X200" s="17">
        <f t="shared" si="150"/>
        <v>1.0003421135383608</v>
      </c>
      <c r="Y200" s="17">
        <f t="shared" si="151"/>
        <v>-2.6154006656674427E-2</v>
      </c>
      <c r="Z200" s="31" t="str">
        <f t="shared" si="140"/>
        <v>0.99985569724554+0.12516673270926i</v>
      </c>
      <c r="AA200" s="17">
        <f t="shared" si="152"/>
        <v>1.0076597274335601</v>
      </c>
      <c r="AB200" s="17">
        <f t="shared" si="153"/>
        <v>0.12453694459258866</v>
      </c>
      <c r="AC200" s="66" t="str">
        <f t="shared" si="154"/>
        <v>-0.929229980711268-6.75896651900779i</v>
      </c>
      <c r="AD200" s="64">
        <f t="shared" si="155"/>
        <v>16.678925983246454</v>
      </c>
      <c r="AE200" s="61">
        <f t="shared" si="156"/>
        <v>-97.828012286399598</v>
      </c>
      <c r="AF200" s="31" t="str">
        <f t="shared" si="141"/>
        <v>-6627.51882264077</v>
      </c>
      <c r="AG200" s="31" t="str">
        <f t="shared" si="157"/>
        <v>4151.25936507115i</v>
      </c>
      <c r="AH200" s="31">
        <f t="shared" si="158"/>
        <v>4151.2593650711497</v>
      </c>
      <c r="AI200" s="31">
        <f t="shared" si="159"/>
        <v>1.5707963267948966</v>
      </c>
      <c r="AJ200" s="31" t="str">
        <f t="shared" si="142"/>
        <v>0.997943419231918+2.02641650276266i</v>
      </c>
      <c r="AK200" s="31">
        <f t="shared" si="160"/>
        <v>2.2588171485662891</v>
      </c>
      <c r="AL200" s="31">
        <f t="shared" si="161"/>
        <v>1.1131931929248704</v>
      </c>
      <c r="AM200" s="31" t="str">
        <f t="shared" si="143"/>
        <v>1+2.40743984358571i</v>
      </c>
      <c r="AN200" s="31">
        <f t="shared" si="162"/>
        <v>2.6068691184031443</v>
      </c>
      <c r="AO200" s="31">
        <f t="shared" si="163"/>
        <v>1.1771028758874105</v>
      </c>
      <c r="AP200" s="31" t="str">
        <f t="shared" si="144"/>
        <v>1+1.9427893828533i</v>
      </c>
      <c r="AQ200" s="31">
        <f t="shared" si="164"/>
        <v>2.1850470443739893</v>
      </c>
      <c r="AR200" s="31">
        <f t="shared" si="165"/>
        <v>1.0954391527505747</v>
      </c>
      <c r="AS200" s="58" t="str">
        <f t="shared" si="166"/>
        <v>-3.68996997134149+1.61013026951669i</v>
      </c>
      <c r="AT200" s="49">
        <f t="shared" si="167"/>
        <v>12.097400889525062</v>
      </c>
      <c r="AU200" s="61">
        <f t="shared" si="168"/>
        <v>156.42579526976741</v>
      </c>
      <c r="AV200" s="58" t="str">
        <f t="shared" si="145"/>
        <v>14.3116473081991+23.4442021731556i</v>
      </c>
      <c r="AW200" s="64">
        <f t="shared" si="169"/>
        <v>28.776326872771506</v>
      </c>
      <c r="AX200" s="61">
        <f t="shared" si="170"/>
        <v>58.597782983367779</v>
      </c>
    </row>
    <row r="201" spans="14:50" x14ac:dyDescent="0.35">
      <c r="N201" s="10">
        <v>83</v>
      </c>
      <c r="O201" s="50">
        <f t="shared" si="171"/>
        <v>676.08297539198213</v>
      </c>
      <c r="P201" s="48" t="str">
        <f t="shared" si="136"/>
        <v>547.187404092767</v>
      </c>
      <c r="Q201" s="17" t="str">
        <f t="shared" si="137"/>
        <v>1+81.4686800617606i</v>
      </c>
      <c r="R201" s="17">
        <f t="shared" si="146"/>
        <v>81.474817158466266</v>
      </c>
      <c r="S201" s="17">
        <f t="shared" si="147"/>
        <v>1.5585222874783085</v>
      </c>
      <c r="T201" s="17" t="str">
        <f t="shared" si="138"/>
        <v>1+0.00154154526339621i</v>
      </c>
      <c r="U201" s="17">
        <f t="shared" si="148"/>
        <v>1.0000011881801936</v>
      </c>
      <c r="V201" s="17">
        <f t="shared" si="149"/>
        <v>1.5415440423081927E-3</v>
      </c>
      <c r="W201" s="31" t="str">
        <f t="shared" si="139"/>
        <v>1-0.0267693157002905i</v>
      </c>
      <c r="X201" s="17">
        <f t="shared" si="150"/>
        <v>1.0003582339657437</v>
      </c>
      <c r="Y201" s="17">
        <f t="shared" si="151"/>
        <v>-2.6762924184282232E-2</v>
      </c>
      <c r="Z201" s="31" t="str">
        <f t="shared" si="140"/>
        <v>0.999848896466243+0.128082240448064i</v>
      </c>
      <c r="AA201" s="17">
        <f t="shared" si="152"/>
        <v>1.0080192835868564</v>
      </c>
      <c r="AB201" s="17">
        <f t="shared" si="153"/>
        <v>0.12740769991016163</v>
      </c>
      <c r="AC201" s="66" t="str">
        <f t="shared" si="154"/>
        <v>-0.932397501342174-6.59945550022074i</v>
      </c>
      <c r="AD201" s="64">
        <f t="shared" si="155"/>
        <v>16.475998480024298</v>
      </c>
      <c r="AE201" s="61">
        <f t="shared" si="156"/>
        <v>-98.041751467533615</v>
      </c>
      <c r="AF201" s="31" t="str">
        <f t="shared" si="141"/>
        <v>-6627.51882264077</v>
      </c>
      <c r="AG201" s="31" t="str">
        <f t="shared" si="157"/>
        <v>4247.95461741716i</v>
      </c>
      <c r="AH201" s="31">
        <f t="shared" si="158"/>
        <v>4247.9546174171601</v>
      </c>
      <c r="AI201" s="31">
        <f t="shared" si="159"/>
        <v>1.5707963267948966</v>
      </c>
      <c r="AJ201" s="31" t="str">
        <f t="shared" si="142"/>
        <v>0.997846495566369+2.0736178067191i</v>
      </c>
      <c r="AK201" s="31">
        <f t="shared" si="160"/>
        <v>2.301214556936535</v>
      </c>
      <c r="AL201" s="31">
        <f t="shared" si="161"/>
        <v>1.1222930549431782</v>
      </c>
      <c r="AM201" s="31" t="str">
        <f t="shared" si="143"/>
        <v>1+2.46351632127874i</v>
      </c>
      <c r="AN201" s="31">
        <f t="shared" si="162"/>
        <v>2.6587426850311666</v>
      </c>
      <c r="AO201" s="31">
        <f t="shared" si="163"/>
        <v>1.1851936472665672</v>
      </c>
      <c r="AP201" s="31" t="str">
        <f t="shared" si="144"/>
        <v>1+1.98804276095123i</v>
      </c>
      <c r="AQ201" s="31">
        <f t="shared" si="164"/>
        <v>2.2253795225467923</v>
      </c>
      <c r="AR201" s="31">
        <f t="shared" si="165"/>
        <v>1.1047457815941351</v>
      </c>
      <c r="AS201" s="58" t="str">
        <f t="shared" si="166"/>
        <v>-3.68979169486543+1.57373749258156i</v>
      </c>
      <c r="AT201" s="49">
        <f t="shared" si="167"/>
        <v>12.065887687247169</v>
      </c>
      <c r="AU201" s="61">
        <f t="shared" si="168"/>
        <v>156.90120918922858</v>
      </c>
      <c r="AV201" s="58" t="str">
        <f t="shared" si="145"/>
        <v>13.8261631080866+22.8832671894969i</v>
      </c>
      <c r="AW201" s="64">
        <f t="shared" si="169"/>
        <v>28.541886167271461</v>
      </c>
      <c r="AX201" s="61">
        <f t="shared" si="170"/>
        <v>58.859457721694952</v>
      </c>
    </row>
    <row r="202" spans="14:50" x14ac:dyDescent="0.35">
      <c r="N202" s="10">
        <v>84</v>
      </c>
      <c r="O202" s="50">
        <f t="shared" si="171"/>
        <v>691.83097091893671</v>
      </c>
      <c r="P202" s="48" t="str">
        <f t="shared" si="136"/>
        <v>547.187404092767</v>
      </c>
      <c r="Q202" s="17" t="str">
        <f t="shared" si="137"/>
        <v>1+83.3663293975623i</v>
      </c>
      <c r="R202" s="17">
        <f t="shared" si="146"/>
        <v>83.37232680705786</v>
      </c>
      <c r="S202" s="17">
        <f t="shared" si="147"/>
        <v>1.5588016516142194</v>
      </c>
      <c r="T202" s="17" t="str">
        <f t="shared" si="138"/>
        <v>1+0.00157745246531693i</v>
      </c>
      <c r="U202" s="17">
        <f t="shared" si="148"/>
        <v>1.0000012441773662</v>
      </c>
      <c r="V202" s="17">
        <f t="shared" si="149"/>
        <v>1.5774511568976339E-3</v>
      </c>
      <c r="W202" s="31" t="str">
        <f t="shared" si="139"/>
        <v>1-0.0273928531642584i</v>
      </c>
      <c r="X202" s="17">
        <f t="shared" si="150"/>
        <v>1.0003751138470403</v>
      </c>
      <c r="Y202" s="17">
        <f t="shared" si="151"/>
        <v>-2.7386004670155915E-2</v>
      </c>
      <c r="Z202" s="31" t="str">
        <f t="shared" si="140"/>
        <v>0.999841775176092+0.131065659086123i</v>
      </c>
      <c r="AA202" s="17">
        <f t="shared" si="152"/>
        <v>1.0083956477390006</v>
      </c>
      <c r="AB202" s="17">
        <f t="shared" si="153"/>
        <v>0.13034320046072836</v>
      </c>
      <c r="AC202" s="66" t="str">
        <f t="shared" si="154"/>
        <v>-0.935356908581304-6.44344781816307i</v>
      </c>
      <c r="AD202" s="64">
        <f t="shared" si="155"/>
        <v>16.272932529964617</v>
      </c>
      <c r="AE202" s="61">
        <f t="shared" si="156"/>
        <v>-98.259592201791492</v>
      </c>
      <c r="AF202" s="31" t="str">
        <f t="shared" si="141"/>
        <v>-6627.51882264077</v>
      </c>
      <c r="AG202" s="31" t="str">
        <f t="shared" si="157"/>
        <v>4346.90219152965i</v>
      </c>
      <c r="AH202" s="31">
        <f t="shared" si="158"/>
        <v>4346.9021915296498</v>
      </c>
      <c r="AI202" s="31">
        <f t="shared" si="159"/>
        <v>1.5707963267948966</v>
      </c>
      <c r="AJ202" s="31" t="str">
        <f t="shared" si="142"/>
        <v>0.99774500402919+2.12191857028424i</v>
      </c>
      <c r="AK202" s="31">
        <f t="shared" si="160"/>
        <v>2.3447885857753406</v>
      </c>
      <c r="AL202" s="31">
        <f t="shared" si="161"/>
        <v>1.131264347205087</v>
      </c>
      <c r="AM202" s="31" t="str">
        <f t="shared" si="143"/>
        <v>1+2.52089898793379i</v>
      </c>
      <c r="AN202" s="31">
        <f t="shared" si="162"/>
        <v>2.7119977336579044</v>
      </c>
      <c r="AO202" s="31">
        <f t="shared" si="163"/>
        <v>1.1931519357983318</v>
      </c>
      <c r="AP202" s="31" t="str">
        <f t="shared" si="144"/>
        <v>1+2.03435022563587i</v>
      </c>
      <c r="AQ202" s="31">
        <f t="shared" si="164"/>
        <v>2.2668438059435663</v>
      </c>
      <c r="AR202" s="31">
        <f t="shared" si="165"/>
        <v>1.1139255435535869</v>
      </c>
      <c r="AS202" s="58" t="str">
        <f t="shared" si="166"/>
        <v>-3.6896184410974+1.53817280226443i</v>
      </c>
      <c r="AT202" s="49">
        <f t="shared" si="167"/>
        <v>12.035566581034169</v>
      </c>
      <c r="AU202" s="61">
        <f t="shared" si="168"/>
        <v>157.36912996807155</v>
      </c>
      <c r="AV202" s="58" t="str">
        <f t="shared" si="145"/>
        <v>13.3622462856179+22.3351233369534i</v>
      </c>
      <c r="AW202" s="64">
        <f t="shared" si="169"/>
        <v>28.308499110998788</v>
      </c>
      <c r="AX202" s="61">
        <f t="shared" si="170"/>
        <v>59.109537766280212</v>
      </c>
    </row>
    <row r="203" spans="14:50" x14ac:dyDescent="0.35">
      <c r="N203" s="10">
        <v>85</v>
      </c>
      <c r="O203" s="50">
        <f t="shared" si="171"/>
        <v>707.94578438413873</v>
      </c>
      <c r="P203" s="48" t="str">
        <f t="shared" si="136"/>
        <v>547.187404092767</v>
      </c>
      <c r="Q203" s="17" t="str">
        <f t="shared" si="137"/>
        <v>1+85.3081806646947i</v>
      </c>
      <c r="R203" s="17">
        <f t="shared" si="146"/>
        <v>85.314041565970783</v>
      </c>
      <c r="S203" s="17">
        <f t="shared" si="147"/>
        <v>1.5590746584552415</v>
      </c>
      <c r="T203" s="17" t="str">
        <f t="shared" si="138"/>
        <v>1+0.00161419605341482i</v>
      </c>
      <c r="U203" s="17">
        <f t="shared" si="148"/>
        <v>1.0000013028136008</v>
      </c>
      <c r="V203" s="17">
        <f t="shared" si="149"/>
        <v>1.6141946514183834E-3</v>
      </c>
      <c r="W203" s="31" t="str">
        <f t="shared" si="139"/>
        <v>1-0.0280309146815614i</v>
      </c>
      <c r="X203" s="17">
        <f t="shared" si="150"/>
        <v>1.0003927889473638</v>
      </c>
      <c r="Y203" s="17">
        <f t="shared" si="151"/>
        <v>-2.8023576543523963E-2</v>
      </c>
      <c r="Z203" s="31" t="str">
        <f t="shared" si="140"/>
        <v>0.999834318269875+0.134118570471488i</v>
      </c>
      <c r="AA203" s="17">
        <f t="shared" si="152"/>
        <v>1.0087895989429614</v>
      </c>
      <c r="AB203" s="17">
        <f t="shared" si="153"/>
        <v>0.13334480589759565</v>
      </c>
      <c r="AC203" s="66" t="str">
        <f t="shared" si="154"/>
        <v>-0.938114626539541-6.2908616312362i</v>
      </c>
      <c r="AD203" s="64">
        <f t="shared" si="155"/>
        <v>16.069721960174018</v>
      </c>
      <c r="AE203" s="61">
        <f t="shared" si="156"/>
        <v>-98.481638595175909</v>
      </c>
      <c r="AF203" s="31" t="str">
        <f t="shared" si="141"/>
        <v>-6627.51882264077</v>
      </c>
      <c r="AG203" s="31" t="str">
        <f t="shared" si="157"/>
        <v>4448.15455072215i</v>
      </c>
      <c r="AH203" s="31">
        <f t="shared" si="158"/>
        <v>4448.1545507221499</v>
      </c>
      <c r="AI203" s="31">
        <f t="shared" si="159"/>
        <v>1.5707963267948966</v>
      </c>
      <c r="AJ203" s="31" t="str">
        <f t="shared" si="142"/>
        <v>0.997638729343226+2.17134440316226i</v>
      </c>
      <c r="AK203" s="31">
        <f t="shared" si="160"/>
        <v>2.3895647200755281</v>
      </c>
      <c r="AL203" s="31">
        <f t="shared" si="161"/>
        <v>1.1401060956649987</v>
      </c>
      <c r="AM203" s="31" t="str">
        <f t="shared" si="143"/>
        <v>1+2.5796182686003i</v>
      </c>
      <c r="AN203" s="31">
        <f t="shared" si="162"/>
        <v>2.7666641306267028</v>
      </c>
      <c r="AO203" s="31">
        <f t="shared" si="163"/>
        <v>1.20097792776907</v>
      </c>
      <c r="AP203" s="31" t="str">
        <f t="shared" si="144"/>
        <v>1+2.08173632973796i</v>
      </c>
      <c r="AQ203" s="31">
        <f t="shared" si="164"/>
        <v>2.3094644718096164</v>
      </c>
      <c r="AR203" s="31">
        <f t="shared" si="165"/>
        <v>1.1229771164299496</v>
      </c>
      <c r="AS203" s="58" t="str">
        <f t="shared" si="166"/>
        <v>-3.68945017518506+1.50341761090916i</v>
      </c>
      <c r="AT203" s="49">
        <f t="shared" si="167"/>
        <v>12.006400579101646</v>
      </c>
      <c r="AU203" s="61">
        <f t="shared" si="168"/>
        <v>157.82954833199949</v>
      </c>
      <c r="AV203" s="58" t="str">
        <f t="shared" si="145"/>
        <v>12.9189193374232+21.7994424968384i</v>
      </c>
      <c r="AW203" s="64">
        <f t="shared" si="169"/>
        <v>28.076122539275673</v>
      </c>
      <c r="AX203" s="61">
        <f t="shared" si="170"/>
        <v>59.347909736823645</v>
      </c>
    </row>
    <row r="204" spans="14:50" x14ac:dyDescent="0.35">
      <c r="N204" s="10">
        <v>86</v>
      </c>
      <c r="O204" s="50">
        <f t="shared" si="171"/>
        <v>724.43596007499025</v>
      </c>
      <c r="P204" s="48" t="str">
        <f t="shared" si="136"/>
        <v>547.187404092767</v>
      </c>
      <c r="Q204" s="17" t="str">
        <f t="shared" si="137"/>
        <v>1+87.2952634584025i</v>
      </c>
      <c r="R204" s="17">
        <f t="shared" si="146"/>
        <v>87.300990958132346</v>
      </c>
      <c r="S204" s="17">
        <f t="shared" si="147"/>
        <v>1.5593414525903391</v>
      </c>
      <c r="T204" s="17" t="str">
        <f t="shared" si="138"/>
        <v>1+0.00165179550962663i</v>
      </c>
      <c r="U204" s="17">
        <f t="shared" si="148"/>
        <v>1.0000013642132723</v>
      </c>
      <c r="V204" s="17">
        <f t="shared" si="149"/>
        <v>1.6517940073604929E-3</v>
      </c>
      <c r="W204" s="31" t="str">
        <f t="shared" si="139"/>
        <v>1-0.0286838385608614i</v>
      </c>
      <c r="X204" s="17">
        <f t="shared" si="150"/>
        <v>1.0004112967147989</v>
      </c>
      <c r="Y204" s="17">
        <f t="shared" si="151"/>
        <v>-2.867597577887265E-2</v>
      </c>
      <c r="Z204" s="31" t="str">
        <f t="shared" si="140"/>
        <v>0.999826509930496+0.137242593298186i</v>
      </c>
      <c r="AA204" s="17">
        <f t="shared" si="152"/>
        <v>1.009201951729686</v>
      </c>
      <c r="AB204" s="17">
        <f t="shared" si="153"/>
        <v>0.13641389733261755</v>
      </c>
      <c r="AC204" s="66" t="str">
        <f t="shared" si="154"/>
        <v>-0.940676666452319-6.14161693250715i</v>
      </c>
      <c r="AD204" s="64">
        <f t="shared" si="155"/>
        <v>15.8663603221442</v>
      </c>
      <c r="AE204" s="61">
        <f t="shared" si="156"/>
        <v>-98.70799619761749</v>
      </c>
      <c r="AF204" s="31" t="str">
        <f t="shared" si="141"/>
        <v>-6627.51882264077</v>
      </c>
      <c r="AG204" s="31" t="str">
        <f t="shared" si="157"/>
        <v>4551.76538033572i</v>
      </c>
      <c r="AH204" s="31">
        <f t="shared" si="158"/>
        <v>4551.7653803357198</v>
      </c>
      <c r="AI204" s="31">
        <f t="shared" si="159"/>
        <v>1.5707963267948966</v>
      </c>
      <c r="AJ204" s="31" t="str">
        <f t="shared" si="142"/>
        <v>0.997527446085616+2.22192151158398i</v>
      </c>
      <c r="AK204" s="31">
        <f t="shared" si="160"/>
        <v>2.4355689703504049</v>
      </c>
      <c r="AL204" s="31">
        <f t="shared" si="161"/>
        <v>1.1488175039175741</v>
      </c>
      <c r="AM204" s="31" t="str">
        <f t="shared" si="143"/>
        <v>1+2.6397052970181i</v>
      </c>
      <c r="AN204" s="31">
        <f t="shared" si="162"/>
        <v>2.8227724058282515</v>
      </c>
      <c r="AO204" s="31">
        <f t="shared" si="163"/>
        <v>1.2086719371002712</v>
      </c>
      <c r="AP204" s="31" t="str">
        <f t="shared" si="144"/>
        <v>1+2.13022619799711i</v>
      </c>
      <c r="AQ204" s="31">
        <f t="shared" si="164"/>
        <v>2.3532665923420626</v>
      </c>
      <c r="AR204" s="31">
        <f t="shared" si="165"/>
        <v>1.1318993656768159</v>
      </c>
      <c r="AS204" s="58" t="str">
        <f t="shared" si="166"/>
        <v>-3.68928685393118+1.46945375410815i</v>
      </c>
      <c r="AT204" s="49">
        <f t="shared" si="167"/>
        <v>11.978353237085887</v>
      </c>
      <c r="AU204" s="61">
        <f t="shared" si="168"/>
        <v>158.28246289333282</v>
      </c>
      <c r="AV204" s="58" t="str">
        <f t="shared" si="145"/>
        <v>12.4952481171092+21.2759057520595i</v>
      </c>
      <c r="AW204" s="64">
        <f t="shared" si="169"/>
        <v>27.844713559230104</v>
      </c>
      <c r="AX204" s="61">
        <f t="shared" si="170"/>
        <v>59.57446669571528</v>
      </c>
    </row>
    <row r="205" spans="14:50" x14ac:dyDescent="0.35">
      <c r="N205" s="10">
        <v>87</v>
      </c>
      <c r="O205" s="50">
        <f t="shared" si="171"/>
        <v>741.31024130091828</v>
      </c>
      <c r="P205" s="48" t="str">
        <f t="shared" si="136"/>
        <v>547.187404092767</v>
      </c>
      <c r="Q205" s="17" t="str">
        <f t="shared" si="137"/>
        <v>1+89.3286313562855i</v>
      </c>
      <c r="R205" s="17">
        <f t="shared" si="146"/>
        <v>89.33422849046805</v>
      </c>
      <c r="S205" s="17">
        <f t="shared" si="147"/>
        <v>1.5596021753252851</v>
      </c>
      <c r="T205" s="17" t="str">
        <f t="shared" si="138"/>
        <v>1+0.00169027076968175i</v>
      </c>
      <c r="U205" s="17">
        <f t="shared" si="148"/>
        <v>1.000001428506617</v>
      </c>
      <c r="V205" s="17">
        <f t="shared" si="149"/>
        <v>1.6902691599747068E-3</v>
      </c>
      <c r="W205" s="31" t="str">
        <f t="shared" si="139"/>
        <v>1-0.029351970991042i</v>
      </c>
      <c r="X205" s="17">
        <f t="shared" si="150"/>
        <v>1.0004306763594661</v>
      </c>
      <c r="Y205" s="17">
        <f t="shared" si="151"/>
        <v>-2.9343546064222778E-2</v>
      </c>
      <c r="Z205" s="31" t="str">
        <f t="shared" si="140"/>
        <v>0.999818333595419+0.140439383964471i</v>
      </c>
      <c r="AA205" s="17">
        <f t="shared" si="152"/>
        <v>1.0096335576642848</v>
      </c>
      <c r="AB205" s="17">
        <f t="shared" si="153"/>
        <v>0.13955187715369055</v>
      </c>
      <c r="AC205" s="66" t="str">
        <f t="shared" si="154"/>
        <v>-0.943048640684069-5.99563551111915i</v>
      </c>
      <c r="AD205" s="64">
        <f t="shared" si="155"/>
        <v>15.662840880970993</v>
      </c>
      <c r="AE205" s="61">
        <f t="shared" si="156"/>
        <v>-98.938772005915681</v>
      </c>
      <c r="AF205" s="31" t="str">
        <f t="shared" si="141"/>
        <v>-6627.51882264077</v>
      </c>
      <c r="AG205" s="31" t="str">
        <f t="shared" si="157"/>
        <v>4657.78961620368i</v>
      </c>
      <c r="AH205" s="31">
        <f t="shared" si="158"/>
        <v>4657.7896162036805</v>
      </c>
      <c r="AI205" s="31">
        <f t="shared" si="159"/>
        <v>1.5707963267948966</v>
      </c>
      <c r="AJ205" s="31" t="str">
        <f t="shared" si="142"/>
        <v>0.997410918209654+2.27367671220175i</v>
      </c>
      <c r="AK205" s="31">
        <f t="shared" si="160"/>
        <v>2.4828278900021208</v>
      </c>
      <c r="AL205" s="31">
        <f t="shared" si="161"/>
        <v>1.1573979470823779</v>
      </c>
      <c r="AM205" s="31" t="str">
        <f t="shared" si="143"/>
        <v>1+2.701191932125i</v>
      </c>
      <c r="AN205" s="31">
        <f t="shared" si="162"/>
        <v>2.8803537723997015</v>
      </c>
      <c r="AO205" s="31">
        <f t="shared" si="163"/>
        <v>1.2162343984971931</v>
      </c>
      <c r="AP205" s="31" t="str">
        <f t="shared" si="144"/>
        <v>1+2.17984554038332i</v>
      </c>
      <c r="AQ205" s="31">
        <f t="shared" si="164"/>
        <v>2.3982757514366542</v>
      </c>
      <c r="AR205" s="31">
        <f t="shared" si="165"/>
        <v>1.1406913388326634</v>
      </c>
      <c r="AS205" s="58" t="str">
        <f t="shared" si="166"/>
        <v>-3.68912842641098+1.43626348068972i</v>
      </c>
      <c r="AT205" s="49">
        <f t="shared" si="167"/>
        <v>11.951388696475666</v>
      </c>
      <c r="AU205" s="61">
        <f t="shared" si="168"/>
        <v>158.72787978983436</v>
      </c>
      <c r="AV205" s="58" t="str">
        <f t="shared" si="145"/>
        <v>12.0903398759827+20.7642030753402i</v>
      </c>
      <c r="AW205" s="64">
        <f t="shared" si="169"/>
        <v>27.614229577446668</v>
      </c>
      <c r="AX205" s="61">
        <f t="shared" si="170"/>
        <v>59.789107783918745</v>
      </c>
    </row>
    <row r="206" spans="14:50" x14ac:dyDescent="0.35">
      <c r="N206" s="10">
        <v>88</v>
      </c>
      <c r="O206" s="50">
        <f t="shared" si="171"/>
        <v>758.57757502918378</v>
      </c>
      <c r="P206" s="48" t="str">
        <f t="shared" si="136"/>
        <v>547.187404092767</v>
      </c>
      <c r="Q206" s="17" t="str">
        <f t="shared" si="137"/>
        <v>1+91.4093624769177i</v>
      </c>
      <c r="R206" s="17">
        <f t="shared" si="146"/>
        <v>91.414832212483603</v>
      </c>
      <c r="S206" s="17">
        <f t="shared" si="147"/>
        <v>1.5598569647568596</v>
      </c>
      <c r="T206" s="17" t="str">
        <f t="shared" si="138"/>
        <v>1+0.00172964223367233i</v>
      </c>
      <c r="U206" s="17">
        <f t="shared" si="148"/>
        <v>1.0000014958300096</v>
      </c>
      <c r="V206" s="17">
        <f t="shared" si="149"/>
        <v>1.7296405088402967E-3</v>
      </c>
      <c r="W206" s="31" t="str">
        <f t="shared" si="139"/>
        <v>1-0.0300356662247612i</v>
      </c>
      <c r="X206" s="17">
        <f t="shared" si="150"/>
        <v>1.0004509689362919</v>
      </c>
      <c r="Y206" s="17">
        <f t="shared" si="151"/>
        <v>-3.0026638972791647E-2</v>
      </c>
      <c r="Z206" s="31" t="str">
        <f t="shared" si="140"/>
        <v>0.999809771921541+0.143710637451069i</v>
      </c>
      <c r="AA206" s="17">
        <f t="shared" si="152"/>
        <v>1.0100853069649098</v>
      </c>
      <c r="AB206" s="17">
        <f t="shared" si="153"/>
        <v>0.14276016879480133</v>
      </c>
      <c r="AC206" s="66" t="str">
        <f t="shared" si="154"/>
        <v>-0.945235776007021-5.85284091471963i</v>
      </c>
      <c r="AD206" s="64">
        <f t="shared" si="155"/>
        <v>15.459156604230195</v>
      </c>
      <c r="AE206" s="61">
        <f t="shared" si="156"/>
        <v>-99.174074464044764</v>
      </c>
      <c r="AF206" s="31" t="str">
        <f t="shared" si="141"/>
        <v>-6627.51882264077</v>
      </c>
      <c r="AG206" s="31" t="str">
        <f t="shared" si="157"/>
        <v>4766.28347377929i</v>
      </c>
      <c r="AH206" s="31">
        <f t="shared" si="158"/>
        <v>4766.28347377929</v>
      </c>
      <c r="AI206" s="31">
        <f t="shared" si="159"/>
        <v>1.5707963267948966</v>
      </c>
      <c r="AJ206" s="31" t="str">
        <f t="shared" si="142"/>
        <v>0.99728889854409+2.32663744630799i</v>
      </c>
      <c r="AK206" s="31">
        <f t="shared" si="160"/>
        <v>2.5313685930187746</v>
      </c>
      <c r="AL206" s="31">
        <f t="shared" si="161"/>
        <v>1.1658469654526695</v>
      </c>
      <c r="AM206" s="31" t="str">
        <f t="shared" si="143"/>
        <v>1+2.76411077494883i</v>
      </c>
      <c r="AN206" s="31">
        <f t="shared" si="162"/>
        <v>2.9394401467266209</v>
      </c>
      <c r="AO206" s="31">
        <f t="shared" si="163"/>
        <v>1.2236658606521027</v>
      </c>
      <c r="AP206" s="31" t="str">
        <f t="shared" si="144"/>
        <v>1+2.2306206657287i</v>
      </c>
      <c r="AQ206" s="31">
        <f t="shared" si="164"/>
        <v>2.4445180617814937</v>
      </c>
      <c r="AR206" s="31">
        <f t="shared" si="165"/>
        <v>1.1493522596256622</v>
      </c>
      <c r="AS206" s="58" t="str">
        <f t="shared" si="166"/>
        <v>-3.68897483458584+1.40382944298086i</v>
      </c>
      <c r="AT206" s="49">
        <f t="shared" si="167"/>
        <v>11.925471719012858</v>
      </c>
      <c r="AU206" s="61">
        <f t="shared" si="168"/>
        <v>159.16581232141172</v>
      </c>
      <c r="AV206" s="58" t="str">
        <f t="shared" si="145"/>
        <v>11.7033413916066+20.2640330323176i</v>
      </c>
      <c r="AW206" s="64">
        <f t="shared" si="169"/>
        <v>27.384628323243071</v>
      </c>
      <c r="AX206" s="61">
        <f t="shared" si="170"/>
        <v>59.991737857366914</v>
      </c>
    </row>
    <row r="207" spans="14:50" x14ac:dyDescent="0.35">
      <c r="N207" s="10">
        <v>89</v>
      </c>
      <c r="O207" s="50">
        <f t="shared" si="171"/>
        <v>776.24711662869231</v>
      </c>
      <c r="P207" s="48" t="str">
        <f t="shared" si="136"/>
        <v>547.187404092767</v>
      </c>
      <c r="Q207" s="17" t="str">
        <f t="shared" si="137"/>
        <v>1+93.5385600514813i</v>
      </c>
      <c r="R207" s="17">
        <f t="shared" si="146"/>
        <v>93.543905287862415</v>
      </c>
      <c r="S207" s="17">
        <f t="shared" si="147"/>
        <v>1.5601059558453931</v>
      </c>
      <c r="T207" s="17" t="str">
        <f t="shared" si="138"/>
        <v>1+0.00176993077686973i</v>
      </c>
      <c r="U207" s="17">
        <f t="shared" si="148"/>
        <v>1.0000015663262507</v>
      </c>
      <c r="V207" s="17">
        <f t="shared" si="149"/>
        <v>1.7699289286790647E-3</v>
      </c>
      <c r="W207" s="31" t="str">
        <f t="shared" si="139"/>
        <v>1-0.0307352867662819i</v>
      </c>
      <c r="X207" s="17">
        <f t="shared" si="150"/>
        <v>1.0004722174316514</v>
      </c>
      <c r="Y207" s="17">
        <f t="shared" si="151"/>
        <v>-3.072561413808619E-2</v>
      </c>
      <c r="Z207" s="31" t="str">
        <f t="shared" si="140"/>
        <v>0.999800806748405+0.147058088219879i</v>
      </c>
      <c r="AA207" s="17">
        <f t="shared" si="152"/>
        <v>1.010558130186308</v>
      </c>
      <c r="AB207" s="17">
        <f t="shared" si="153"/>
        <v>0.14604021645507287</v>
      </c>
      <c r="AC207" s="66" t="str">
        <f t="shared" si="154"/>
        <v>-0.947242926191786-5.71315841289826i</v>
      </c>
      <c r="AD207" s="64">
        <f t="shared" si="155"/>
        <v>15.255300150509781</v>
      </c>
      <c r="AE207" s="61">
        <f t="shared" si="156"/>
        <v>-99.41401346062527</v>
      </c>
      <c r="AF207" s="31" t="str">
        <f t="shared" si="141"/>
        <v>-6627.51882264077</v>
      </c>
      <c r="AG207" s="31" t="str">
        <f t="shared" si="157"/>
        <v>4877.30447794192i</v>
      </c>
      <c r="AH207" s="31">
        <f t="shared" si="158"/>
        <v>4877.3044779419197</v>
      </c>
      <c r="AI207" s="31">
        <f t="shared" si="159"/>
        <v>1.5707963267948966</v>
      </c>
      <c r="AJ207" s="31" t="str">
        <f t="shared" si="142"/>
        <v>0.997161128268854+2.38083179438496i</v>
      </c>
      <c r="AK207" s="31">
        <f t="shared" si="160"/>
        <v>2.581218771992162</v>
      </c>
      <c r="AL207" s="31">
        <f t="shared" si="161"/>
        <v>1.1741642579558831</v>
      </c>
      <c r="AM207" s="31" t="str">
        <f t="shared" si="143"/>
        <v>1+2.82849518589286i</v>
      </c>
      <c r="AN207" s="31">
        <f t="shared" si="162"/>
        <v>3.0000641687502427</v>
      </c>
      <c r="AO207" s="31">
        <f t="shared" si="163"/>
        <v>1.2309669795286526</v>
      </c>
      <c r="AP207" s="31" t="str">
        <f t="shared" si="144"/>
        <v>1+2.28257849567682i</v>
      </c>
      <c r="AQ207" s="31">
        <f t="shared" si="164"/>
        <v>2.4920201822871051</v>
      </c>
      <c r="AR207" s="31">
        <f t="shared" si="165"/>
        <v>1.1578815218023935</v>
      </c>
      <c r="AS207" s="58" t="str">
        <f t="shared" si="166"/>
        <v>-3.68882601390974+1.37213468733776i</v>
      </c>
      <c r="AT207" s="49">
        <f t="shared" si="167"/>
        <v>11.900567717190269</v>
      </c>
      <c r="AU207" s="61">
        <f t="shared" si="168"/>
        <v>159.59628058643847</v>
      </c>
      <c r="AV207" s="58" t="str">
        <f t="shared" si="145"/>
        <v>11.3334371802215+19.7751024987233i</v>
      </c>
      <c r="AW207" s="64">
        <f t="shared" si="169"/>
        <v>27.155867867700046</v>
      </c>
      <c r="AX207" s="61">
        <f t="shared" si="170"/>
        <v>60.182267125813183</v>
      </c>
    </row>
    <row r="208" spans="14:50" x14ac:dyDescent="0.35">
      <c r="N208" s="10">
        <v>90</v>
      </c>
      <c r="O208" s="50">
        <f t="shared" si="171"/>
        <v>794.32823472428208</v>
      </c>
      <c r="P208" s="48" t="str">
        <f t="shared" si="136"/>
        <v>547.187404092767</v>
      </c>
      <c r="Q208" s="17" t="str">
        <f t="shared" si="137"/>
        <v>1+95.7173530087133i</v>
      </c>
      <c r="R208" s="17">
        <f t="shared" si="146"/>
        <v>95.722576579376693</v>
      </c>
      <c r="S208" s="17">
        <f t="shared" si="147"/>
        <v>1.5603492804856929</v>
      </c>
      <c r="T208" s="17" t="str">
        <f t="shared" si="138"/>
        <v>1+0.00181115776079282i</v>
      </c>
      <c r="U208" s="17">
        <f t="shared" si="148"/>
        <v>1.0000016401448721</v>
      </c>
      <c r="V208" s="17">
        <f t="shared" si="149"/>
        <v>1.8111557804210178E-3</v>
      </c>
      <c r="W208" s="31" t="str">
        <f t="shared" si="139"/>
        <v>1-0.0314512035636757i</v>
      </c>
      <c r="X208" s="17">
        <f t="shared" si="150"/>
        <v>1.000494466854067</v>
      </c>
      <c r="Y208" s="17">
        <f t="shared" si="151"/>
        <v>-3.1440839432462564E-2</v>
      </c>
      <c r="Z208" s="31" t="str">
        <f t="shared" si="140"/>
        <v>0.999791419059676+0.150483511133608i</v>
      </c>
      <c r="AA208" s="17">
        <f t="shared" si="152"/>
        <v>1.0110529999700606</v>
      </c>
      <c r="AB208" s="17">
        <f t="shared" si="153"/>
        <v>0.14939348476306949</v>
      </c>
      <c r="AC208" s="66" t="str">
        <f t="shared" si="154"/>
        <v>-0.949074583946491-5.57651496162839i</v>
      </c>
      <c r="AD208" s="64">
        <f t="shared" si="155"/>
        <v>15.051263857599711</v>
      </c>
      <c r="AE208" s="61">
        <f t="shared" si="156"/>
        <v>-99.658700323350487</v>
      </c>
      <c r="AF208" s="31" t="str">
        <f t="shared" si="141"/>
        <v>-6627.51882264077</v>
      </c>
      <c r="AG208" s="31" t="str">
        <f t="shared" si="157"/>
        <v>4990.91149349751i</v>
      </c>
      <c r="AH208" s="31">
        <f t="shared" si="158"/>
        <v>4990.9114934975096</v>
      </c>
      <c r="AI208" s="31">
        <f t="shared" si="159"/>
        <v>1.5707963267948966</v>
      </c>
      <c r="AJ208" s="31" t="str">
        <f t="shared" si="142"/>
        <v>0.997027336366063+2.43628849099334i</v>
      </c>
      <c r="AK208" s="31">
        <f t="shared" si="160"/>
        <v>2.6324067164493812</v>
      </c>
      <c r="AL208" s="31">
        <f t="shared" si="161"/>
        <v>1.1823496754708565</v>
      </c>
      <c r="AM208" s="31" t="str">
        <f t="shared" si="143"/>
        <v>1+2.89437930242401i</v>
      </c>
      <c r="AN208" s="31">
        <f t="shared" si="162"/>
        <v>3.0622592225839571</v>
      </c>
      <c r="AO208" s="31">
        <f t="shared" si="163"/>
        <v>1.238138511751137</v>
      </c>
      <c r="AP208" s="31" t="str">
        <f t="shared" si="144"/>
        <v>1+2.33574657895683i</v>
      </c>
      <c r="AQ208" s="31">
        <f t="shared" si="164"/>
        <v>2.5408093358433126</v>
      </c>
      <c r="AR208" s="31">
        <f t="shared" si="165"/>
        <v>1.166278682729804</v>
      </c>
      <c r="AS208" s="58" t="str">
        <f t="shared" si="166"/>
        <v>-3.6886818939248+1.34116264493625i</v>
      </c>
      <c r="AT208" s="49">
        <f t="shared" si="167"/>
        <v>11.876642780987428</v>
      </c>
      <c r="AU208" s="61">
        <f t="shared" si="168"/>
        <v>160.01931111930119</v>
      </c>
      <c r="AV208" s="58" t="str">
        <f t="shared" si="145"/>
        <v>10.9798477892517+19.2971263909119i</v>
      </c>
      <c r="AW208" s="64">
        <f t="shared" si="169"/>
        <v>26.927906638587118</v>
      </c>
      <c r="AX208" s="61">
        <f t="shared" si="170"/>
        <v>60.360610795950734</v>
      </c>
    </row>
    <row r="209" spans="14:50" x14ac:dyDescent="0.35">
      <c r="N209" s="10">
        <v>91</v>
      </c>
      <c r="O209" s="50">
        <f t="shared" si="171"/>
        <v>812.83051616409978</v>
      </c>
      <c r="P209" s="48" t="str">
        <f t="shared" si="136"/>
        <v>547.187404092767</v>
      </c>
      <c r="Q209" s="17" t="str">
        <f t="shared" si="137"/>
        <v>1+97.9468965734794i</v>
      </c>
      <c r="R209" s="17">
        <f t="shared" si="146"/>
        <v>97.952001247426665</v>
      </c>
      <c r="S209" s="17">
        <f t="shared" si="147"/>
        <v>1.5605870675763858</v>
      </c>
      <c r="T209" s="17" t="str">
        <f t="shared" si="138"/>
        <v>1+0.0018533450445342i</v>
      </c>
      <c r="U209" s="17">
        <f t="shared" si="148"/>
        <v>1.0000017174424523</v>
      </c>
      <c r="V209" s="17">
        <f t="shared" si="149"/>
        <v>1.853342922527779E-3</v>
      </c>
      <c r="W209" s="31" t="str">
        <f t="shared" si="139"/>
        <v>1-0.0321837962055048i</v>
      </c>
      <c r="X209" s="17">
        <f t="shared" si="150"/>
        <v>1.0005177643291485</v>
      </c>
      <c r="Y209" s="17">
        <f t="shared" si="151"/>
        <v>-3.2172691149192759E-2</v>
      </c>
      <c r="Z209" s="31" t="str">
        <f t="shared" si="140"/>
        <v>0.999781588942807+0.153988722396823i</v>
      </c>
      <c r="AA209" s="17">
        <f t="shared" si="152"/>
        <v>1.0115709328635385</v>
      </c>
      <c r="AB209" s="17">
        <f t="shared" si="153"/>
        <v>0.15282145838242295</v>
      </c>
      <c r="AC209" s="66" t="str">
        <f t="shared" si="154"/>
        <v>-0.950734892240604-5.44283916870489i</v>
      </c>
      <c r="AD209" s="64">
        <f t="shared" si="155"/>
        <v>14.847039730341047</v>
      </c>
      <c r="AE209" s="61">
        <f t="shared" si="156"/>
        <v>-99.908247810146634</v>
      </c>
      <c r="AF209" s="31" t="str">
        <f t="shared" si="141"/>
        <v>-6627.51882264077</v>
      </c>
      <c r="AG209" s="31" t="str">
        <f t="shared" si="157"/>
        <v>5107.16475638947i</v>
      </c>
      <c r="AH209" s="31">
        <f t="shared" si="158"/>
        <v>5107.1647563894703</v>
      </c>
      <c r="AI209" s="31">
        <f t="shared" si="159"/>
        <v>1.5707963267948966</v>
      </c>
      <c r="AJ209" s="31" t="str">
        <f t="shared" si="142"/>
        <v>0.996887239045151+2.49303694000774i</v>
      </c>
      <c r="AK209" s="31">
        <f t="shared" si="160"/>
        <v>2.6849613314932896</v>
      </c>
      <c r="AL209" s="31">
        <f t="shared" si="161"/>
        <v>1.1904032140442709</v>
      </c>
      <c r="AM209" s="31" t="str">
        <f t="shared" si="143"/>
        <v>1+2.96179805717295i</v>
      </c>
      <c r="AN209" s="31">
        <f t="shared" si="162"/>
        <v>3.1260594574437417</v>
      </c>
      <c r="AO209" s="31">
        <f t="shared" si="163"/>
        <v>1.2451813081195733</v>
      </c>
      <c r="AP209" s="31" t="str">
        <f t="shared" si="144"/>
        <v>1+2.39015310599027i</v>
      </c>
      <c r="AQ209" s="31">
        <f t="shared" si="164"/>
        <v>2.5909133273953673</v>
      </c>
      <c r="AR209" s="31">
        <f t="shared" si="165"/>
        <v>1.174543456817543</v>
      </c>
      <c r="AS209" s="58" t="str">
        <f t="shared" si="166"/>
        <v>-3.68854239884261+1.31089712281464i</v>
      </c>
      <c r="AT209" s="49">
        <f t="shared" si="167"/>
        <v>11.853663700996277</v>
      </c>
      <c r="AU209" s="61">
        <f t="shared" si="168"/>
        <v>160.43493653063683</v>
      </c>
      <c r="AV209" s="58" t="str">
        <f t="shared" si="145"/>
        <v>10.6418281662866+18.8298274090516i</v>
      </c>
      <c r="AW209" s="64">
        <f t="shared" si="169"/>
        <v>26.700703431337342</v>
      </c>
      <c r="AX209" s="61">
        <f t="shared" si="170"/>
        <v>60.526688720490256</v>
      </c>
    </row>
    <row r="210" spans="14:50" x14ac:dyDescent="0.35">
      <c r="N210" s="10">
        <v>92</v>
      </c>
      <c r="O210" s="50">
        <f t="shared" si="171"/>
        <v>831.7637711026714</v>
      </c>
      <c r="P210" s="48" t="str">
        <f t="shared" si="136"/>
        <v>547.187404092767</v>
      </c>
      <c r="Q210" s="17" t="str">
        <f t="shared" si="137"/>
        <v>1+100.228372879289i</v>
      </c>
      <c r="R210" s="17">
        <f t="shared" si="146"/>
        <v>100.23336136252138</v>
      </c>
      <c r="S210" s="17">
        <f t="shared" si="147"/>
        <v>1.5608194430877123</v>
      </c>
      <c r="T210" s="17" t="str">
        <f t="shared" si="138"/>
        <v>1+0.00189651499635011i</v>
      </c>
      <c r="U210" s="17">
        <f t="shared" si="148"/>
        <v>1.0000017983829486</v>
      </c>
      <c r="V210" s="17">
        <f t="shared" si="149"/>
        <v>1.8965127225794849E-3</v>
      </c>
      <c r="W210" s="31" t="str">
        <f t="shared" si="139"/>
        <v>1-0.032933453122085i</v>
      </c>
      <c r="X210" s="17">
        <f t="shared" si="150"/>
        <v>1.0005421591989738</v>
      </c>
      <c r="Y210" s="17">
        <f t="shared" si="151"/>
        <v>-3.2921554188072265E-2</v>
      </c>
      <c r="Z210" s="31" t="str">
        <f t="shared" si="140"/>
        <v>0.999771295546804+0.157575580518936i</v>
      </c>
      <c r="AA210" s="17">
        <f t="shared" si="152"/>
        <v>1.0121129912095854</v>
      </c>
      <c r="AB210" s="17">
        <f t="shared" si="153"/>
        <v>0.15632564155467094</v>
      </c>
      <c r="AC210" s="66" t="str">
        <f t="shared" si="154"/>
        <v>-0.952227655049258-5.3120612601724i</v>
      </c>
      <c r="AD210" s="64">
        <f t="shared" si="155"/>
        <v>14.642619428138829</v>
      </c>
      <c r="AE210" s="61">
        <f t="shared" si="156"/>
        <v>-100.16277009683412</v>
      </c>
      <c r="AF210" s="31" t="str">
        <f t="shared" si="141"/>
        <v>-6627.51882264077</v>
      </c>
      <c r="AG210" s="31" t="str">
        <f t="shared" si="157"/>
        <v>5226.12590563659i</v>
      </c>
      <c r="AH210" s="31">
        <f t="shared" si="158"/>
        <v>5226.1259056365898</v>
      </c>
      <c r="AI210" s="31">
        <f t="shared" si="159"/>
        <v>1.5707963267948966</v>
      </c>
      <c r="AJ210" s="31" t="str">
        <f t="shared" si="142"/>
        <v>0.99674053914092+2.55110723020697i</v>
      </c>
      <c r="AK210" s="31">
        <f t="shared" si="160"/>
        <v>2.7389121567478596</v>
      </c>
      <c r="AL210" s="31">
        <f t="shared" si="161"/>
        <v>1.1983250080458905</v>
      </c>
      <c r="AM210" s="31" t="str">
        <f t="shared" si="143"/>
        <v>1+3.03078719645583i</v>
      </c>
      <c r="AN210" s="31">
        <f t="shared" si="162"/>
        <v>3.1914998088987239</v>
      </c>
      <c r="AO210" s="31">
        <f t="shared" si="163"/>
        <v>1.2520963072689784</v>
      </c>
      <c r="AP210" s="31" t="str">
        <f t="shared" si="144"/>
        <v>1+2.44582692383792i</v>
      </c>
      <c r="AQ210" s="31">
        <f t="shared" si="164"/>
        <v>2.6423605623325641</v>
      </c>
      <c r="AR210" s="31">
        <f t="shared" si="165"/>
        <v>1.1826757088051942</v>
      </c>
      <c r="AS210" s="58" t="str">
        <f t="shared" si="166"/>
        <v>-3.68840744810875+1.281322295161i</v>
      </c>
      <c r="AT210" s="49">
        <f t="shared" si="167"/>
        <v>11.831597988097915</v>
      </c>
      <c r="AU210" s="61">
        <f t="shared" si="168"/>
        <v>160.84319515159879</v>
      </c>
      <c r="AV210" s="58" t="str">
        <f t="shared" si="145"/>
        <v>10.3186661010987+18.3729357923463i</v>
      </c>
      <c r="AW210" s="64">
        <f t="shared" si="169"/>
        <v>26.474217416236719</v>
      </c>
      <c r="AX210" s="61">
        <f t="shared" si="170"/>
        <v>60.680425054764704</v>
      </c>
    </row>
    <row r="211" spans="14:50" x14ac:dyDescent="0.35">
      <c r="N211" s="10">
        <v>93</v>
      </c>
      <c r="O211" s="50">
        <f t="shared" si="171"/>
        <v>851.13803820237763</v>
      </c>
      <c r="P211" s="48" t="str">
        <f t="shared" ref="P211:P274" si="172">COMPLEX(Adc,0)</f>
        <v>547.187404092767</v>
      </c>
      <c r="Q211" s="17" t="str">
        <f t="shared" ref="Q211:Q274" si="173">IMSUM(COMPLEX(1,0),IMDIV(COMPLEX(0,2*PI()*O211),COMPLEX(wp_lf,0)))</f>
        <v>1+102.562991595079i</v>
      </c>
      <c r="R211" s="17">
        <f t="shared" si="146"/>
        <v>102.56786653202963</v>
      </c>
      <c r="S211" s="17">
        <f t="shared" si="147"/>
        <v>1.5610465301278031</v>
      </c>
      <c r="T211" s="17" t="str">
        <f t="shared" ref="T211:T274" si="174">IMSUM(COMPLEX(1,0),IMDIV(COMPLEX(0,2*PI()*O211),COMPLEX(wz_esr,0)))</f>
        <v>1+0.00194069050552043i</v>
      </c>
      <c r="U211" s="17">
        <f t="shared" si="148"/>
        <v>1.0000018831380459</v>
      </c>
      <c r="V211" s="17">
        <f t="shared" si="149"/>
        <v>1.9406880691315571E-3</v>
      </c>
      <c r="W211" s="31" t="str">
        <f t="shared" ref="W211:W274" si="175">IMSUB(COMPLEX(1,0),IMDIV(COMPLEX(0,2*PI()*O211),COMPLEX(wz_rhp,0)))</f>
        <v>1-0.0337005717914363i</v>
      </c>
      <c r="X211" s="17">
        <f t="shared" si="150"/>
        <v>1.0005677031261153</v>
      </c>
      <c r="Y211" s="17">
        <f t="shared" si="151"/>
        <v>-3.3687822244601623E-2</v>
      </c>
      <c r="Z211" s="31" t="str">
        <f t="shared" ref="Z211:Z274" si="176">IMSUM(COMPLEX(1,0),IMDIV(COMPLEX(0,2*PI()*O211),COMPLEX(Q*(wsl/2),0)),IMDIV(IMPOWER(COMPLEX(0,2*PI()*O211),2),IMPOWER(COMPLEX(wsl/2,0),2)))</f>
        <v>0.999760517037992+0.161245987299599i</v>
      </c>
      <c r="AA211" s="17">
        <f t="shared" si="152"/>
        <v>1.0126802851089258</v>
      </c>
      <c r="AB211" s="17">
        <f t="shared" si="153"/>
        <v>0.15990755757495223</v>
      </c>
      <c r="AC211" s="66" t="str">
        <f t="shared" si="154"/>
        <v>-0.953556347553361-5.18411304773773i</v>
      </c>
      <c r="AD211" s="64">
        <f t="shared" si="155"/>
        <v>14.437994252143929</v>
      </c>
      <c r="AE211" s="61">
        <f t="shared" si="156"/>
        <v>-100.42238276104479</v>
      </c>
      <c r="AF211" s="31" t="str">
        <f t="shared" ref="AF211:AF274" si="177">COMPLEX(Adc_ea_iso,0)</f>
        <v>-6627.51882264077</v>
      </c>
      <c r="AG211" s="31" t="str">
        <f t="shared" si="157"/>
        <v>5347.85801601484i</v>
      </c>
      <c r="AH211" s="31">
        <f t="shared" si="158"/>
        <v>5347.8580160148404</v>
      </c>
      <c r="AI211" s="31">
        <f t="shared" si="159"/>
        <v>1.5707963267948966</v>
      </c>
      <c r="AJ211" s="31" t="str">
        <f t="shared" ref="AJ211:AJ274" si="178">IMSUM(IMPRODUCT(COMPLEX(wpA_ea_iso,0),IMPOWER(COMPLEX(0,2*PI()*O211),2)),COMPLEX(0,wpB_ea_iso*2*PI()*O211),COMPLEX(1,0))</f>
        <v>0.996586925483203+2.61053015122756i</v>
      </c>
      <c r="AK211" s="31">
        <f t="shared" si="160"/>
        <v>2.7942893856063384</v>
      </c>
      <c r="AL211" s="31">
        <f t="shared" si="161"/>
        <v>1.2061153232994046</v>
      </c>
      <c r="AM211" s="31" t="str">
        <f t="shared" ref="AM211:AM274" si="179">IMSUM(COMPLEX(1,0),IMDIV(COMPLEX(0,2*PI()*O211),COMPLEX(wz1_ea_iso,0)))</f>
        <v>1+3.10138329922749i</v>
      </c>
      <c r="AN211" s="31">
        <f t="shared" si="162"/>
        <v>3.2586160204490477</v>
      </c>
      <c r="AO211" s="31">
        <f t="shared" si="163"/>
        <v>1.2588845294886861</v>
      </c>
      <c r="AP211" s="31" t="str">
        <f t="shared" ref="AP211:AP274" si="180">IMSUM(COMPLEX(1,0),IMDIV(COMPLEX(0,2*PI()*O211),COMPLEX(wz2_ea_iso,0)))</f>
        <v>1+2.50279755149494i</v>
      </c>
      <c r="AQ211" s="31">
        <f t="shared" si="164"/>
        <v>2.695180065184712</v>
      </c>
      <c r="AR211" s="31">
        <f t="shared" si="165"/>
        <v>1.1906754469563487</v>
      </c>
      <c r="AS211" s="58" t="str">
        <f t="shared" si="166"/>
        <v>-3.68827695694838+1.25242269483722i</v>
      </c>
      <c r="AT211" s="49">
        <f t="shared" si="167"/>
        <v>11.810413889858731</v>
      </c>
      <c r="AU211" s="61">
        <f t="shared" si="168"/>
        <v>161.24413068335309</v>
      </c>
      <c r="AV211" s="58" t="str">
        <f t="shared" ref="AV211:AV274" si="181">IMPRODUCT(AC211,AS211)</f>
        <v>10.0096807374214+17.9261890857046i</v>
      </c>
      <c r="AW211" s="64">
        <f t="shared" si="169"/>
        <v>26.24840814200266</v>
      </c>
      <c r="AX211" s="61">
        <f t="shared" si="170"/>
        <v>60.821747922308361</v>
      </c>
    </row>
    <row r="212" spans="14:50" x14ac:dyDescent="0.35">
      <c r="N212" s="10">
        <v>94</v>
      </c>
      <c r="O212" s="50">
        <f t="shared" si="171"/>
        <v>870.96358995608091</v>
      </c>
      <c r="P212" s="48" t="str">
        <f t="shared" si="172"/>
        <v>547.187404092767</v>
      </c>
      <c r="Q212" s="17" t="str">
        <f t="shared" si="173"/>
        <v>1+104.951990566594i</v>
      </c>
      <c r="R212" s="17">
        <f t="shared" ref="R212:R275" si="182">IMABS(Q212)</f>
        <v>104.95675454152742</v>
      </c>
      <c r="S212" s="17">
        <f t="shared" ref="S212:S275" si="183">IMARGUMENT(Q212)</f>
        <v>1.5612684490074749</v>
      </c>
      <c r="T212" s="17" t="str">
        <f t="shared" si="174"/>
        <v>1+0.00198589499448484i</v>
      </c>
      <c r="U212" s="17">
        <f t="shared" ref="U212:U275" si="184">IMABS(T212)</f>
        <v>1.0000019718875204</v>
      </c>
      <c r="V212" s="17">
        <f t="shared" ref="V212:V275" si="185">IMARGUMENT(T212)</f>
        <v>1.9858923838474061E-3</v>
      </c>
      <c r="W212" s="31" t="str">
        <f t="shared" si="175"/>
        <v>1-0.0344855589500312i</v>
      </c>
      <c r="X212" s="17">
        <f t="shared" ref="X212:X275" si="186">IMABS(W212)</f>
        <v>1.0005944502025264</v>
      </c>
      <c r="Y212" s="17">
        <f t="shared" ref="Y212:Y275" si="187">IMARGUMENT(W212)</f>
        <v>-3.4471898002772963E-2</v>
      </c>
      <c r="Z212" s="31" t="str">
        <f t="shared" si="176"/>
        <v>0.999749230553709+0.165001888837071i</v>
      </c>
      <c r="AA212" s="17">
        <f t="shared" ref="AA212:AA275" si="188">IMABS(Z212)</f>
        <v>1.0132739744573205</v>
      </c>
      <c r="AB212" s="17">
        <f t="shared" ref="AB212:AB275" si="189">IMARGUMENT(Z212)</f>
        <v>0.16356874819607023</v>
      </c>
      <c r="AC212" s="66" t="str">
        <f t="shared" ref="AC212:AC275" si="190">(IMDIV(IMPRODUCT(P212,T212,W212),IMPRODUCT(Q212,Z212)))</f>
        <v>-0.95472412583077-5.0589278971603i</v>
      </c>
      <c r="AD212" s="64">
        <f t="shared" ref="AD212:AD275" si="191">20*LOG(IMABS(AC212))</f>
        <v>14.233155132111099</v>
      </c>
      <c r="AE212" s="61">
        <f t="shared" ref="AE212:AE275" si="192">(180/PI())*IMARGUMENT(AC212)</f>
        <v>-100.6872027621399</v>
      </c>
      <c r="AF212" s="31" t="str">
        <f t="shared" si="177"/>
        <v>-6627.51882264077</v>
      </c>
      <c r="AG212" s="31" t="str">
        <f t="shared" ref="AG212:AG275" si="193">COMPLEX(0,1*2*PI()*O212)</f>
        <v>5472.42563150043i</v>
      </c>
      <c r="AH212" s="31">
        <f t="shared" ref="AH212:AH275" si="194">IMABS(AG212)</f>
        <v>5472.4256315004304</v>
      </c>
      <c r="AI212" s="31">
        <f t="shared" ref="AI212:AI275" si="195">IMARGUMENT(AG212)</f>
        <v>1.5707963267948966</v>
      </c>
      <c r="AJ212" s="31" t="str">
        <f t="shared" si="178"/>
        <v>0.996426072236837+2.67133720988878i</v>
      </c>
      <c r="AK212" s="31">
        <f t="shared" ref="AK212:AK275" si="196">IMABS(AJ212)</f>
        <v>2.8511238847811753</v>
      </c>
      <c r="AL212" s="31">
        <f t="shared" ref="AL212:AL275" si="197">IMARGUMENT(AJ212)</f>
        <v>1.2137745502226673</v>
      </c>
      <c r="AM212" s="31" t="str">
        <f t="shared" si="179"/>
        <v>1+3.17362379647605i</v>
      </c>
      <c r="AN212" s="31">
        <f t="shared" ref="AN212:AN275" si="198">IMABS(AM212)</f>
        <v>3.3274446654390899</v>
      </c>
      <c r="AO212" s="31">
        <f t="shared" ref="AO212:AO275" si="199">IMARGUMENT(AM212)</f>
        <v>1.265547070715159</v>
      </c>
      <c r="AP212" s="31" t="str">
        <f t="shared" si="180"/>
        <v>1+2.5610951955422i</v>
      </c>
      <c r="AQ212" s="31">
        <f t="shared" ref="AQ212:AQ275" si="200">IMABS(AP212)</f>
        <v>2.7494014986228077</v>
      </c>
      <c r="AR212" s="31">
        <f t="shared" ref="AR212:AR275" si="201">IMARGUMENT(AP212)</f>
        <v>1.1985428161985752</v>
      </c>
      <c r="AS212" s="58" t="str">
        <f t="shared" ref="AS212:AS275" si="202">IMDIV(IMPRODUCT(AF212,AM212,AP212),IMPRODUCT(AG212,AJ212))</f>
        <v>-3.6881508368904+1.22418320513209i</v>
      </c>
      <c r="AT212" s="49">
        <f t="shared" ref="AT212:AT275" si="203">20*LOG(IMABS(AS212))</f>
        <v>11.79008040381756</v>
      </c>
      <c r="AU212" s="61">
        <f t="shared" ref="AU212:AU275" si="204">(180/PI())*IMARGUMENT(AS212)</f>
        <v>161.63779185287657</v>
      </c>
      <c r="AV212" s="58" t="str">
        <f t="shared" si="181"/>
        <v>9.71422115136005+17.4893319173035i</v>
      </c>
      <c r="AW212" s="64">
        <f t="shared" ref="AW212:AW275" si="205">20*LOG(IMABS(AV212))</f>
        <v>26.023235535928659</v>
      </c>
      <c r="AX212" s="61">
        <f t="shared" ref="AX212:AX275" si="206">(180/PI())*IMARGUMENT(AV212)</f>
        <v>60.950589090736656</v>
      </c>
    </row>
    <row r="213" spans="14:50" x14ac:dyDescent="0.35">
      <c r="N213" s="10">
        <v>95</v>
      </c>
      <c r="O213" s="50">
        <f t="shared" si="171"/>
        <v>891.25093813374656</v>
      </c>
      <c r="P213" s="48" t="str">
        <f t="shared" si="172"/>
        <v>547.187404092767</v>
      </c>
      <c r="Q213" s="17" t="str">
        <f t="shared" si="173"/>
        <v>1+107.396636472712i</v>
      </c>
      <c r="R213" s="17">
        <f t="shared" si="182"/>
        <v>107.401292011092</v>
      </c>
      <c r="S213" s="17">
        <f t="shared" si="183"/>
        <v>1.5614853173035723</v>
      </c>
      <c r="T213" s="17" t="str">
        <f t="shared" si="174"/>
        <v>1+0.00203215243126177i</v>
      </c>
      <c r="U213" s="17">
        <f t="shared" si="184"/>
        <v>1.0000020648196202</v>
      </c>
      <c r="V213" s="17">
        <f t="shared" si="185"/>
        <v>2.0321496339136724E-3</v>
      </c>
      <c r="W213" s="31" t="str">
        <f t="shared" si="175"/>
        <v>1-0.0352888308084518i</v>
      </c>
      <c r="X213" s="17">
        <f t="shared" si="186"/>
        <v>1.0006224570635158</v>
      </c>
      <c r="Y213" s="17">
        <f t="shared" si="187"/>
        <v>-3.5274193331488159E-2</v>
      </c>
      <c r="Z213" s="31" t="str">
        <f t="shared" si="176"/>
        <v>0.99973741215381+0.168845276560063i</v>
      </c>
      <c r="AA213" s="17">
        <f t="shared" si="188"/>
        <v>1.0138952710594133</v>
      </c>
      <c r="AB213" s="17">
        <f t="shared" si="189"/>
        <v>0.1673107729561753</v>
      </c>
      <c r="AC213" s="66" t="str">
        <f t="shared" si="190"/>
        <v>-0.955733836073639-4.93644069761515i</v>
      </c>
      <c r="AD213" s="64">
        <f t="shared" si="191"/>
        <v>14.028092612943198</v>
      </c>
      <c r="AE213" s="61">
        <f t="shared" si="192"/>
        <v>-100.95734841686171</v>
      </c>
      <c r="AF213" s="31" t="str">
        <f t="shared" si="177"/>
        <v>-6627.51882264077</v>
      </c>
      <c r="AG213" s="31" t="str">
        <f t="shared" si="193"/>
        <v>5599.89479949198i</v>
      </c>
      <c r="AH213" s="31">
        <f t="shared" si="194"/>
        <v>5599.8947994919799</v>
      </c>
      <c r="AI213" s="31">
        <f t="shared" si="195"/>
        <v>1.5707963267948966</v>
      </c>
      <c r="AJ213" s="31" t="str">
        <f t="shared" si="178"/>
        <v>0.99625763821052+2.73356064689801i</v>
      </c>
      <c r="AK213" s="31">
        <f t="shared" si="196"/>
        <v>2.9094472141563714</v>
      </c>
      <c r="AL213" s="31">
        <f t="shared" si="197"/>
        <v>1.2213031970082708</v>
      </c>
      <c r="AM213" s="31" t="str">
        <f t="shared" si="179"/>
        <v>1+3.24754699106939i</v>
      </c>
      <c r="AN213" s="31">
        <f t="shared" si="198"/>
        <v>3.3980231693153375</v>
      </c>
      <c r="AO213" s="31">
        <f t="shared" si="199"/>
        <v>1.2720850967095494</v>
      </c>
      <c r="AP213" s="31" t="str">
        <f t="shared" si="180"/>
        <v>1+2.62075076616224i</v>
      </c>
      <c r="AQ213" s="31">
        <f t="shared" si="200"/>
        <v>2.8050551827620018</v>
      </c>
      <c r="AR213" s="31">
        <f t="shared" si="201"/>
        <v>1.2062780912455011</v>
      </c>
      <c r="AS213" s="58" t="str">
        <f t="shared" si="202"/>
        <v>-3.68802899626939+1.19658905173605i</v>
      </c>
      <c r="AT213" s="49">
        <f t="shared" si="203"/>
        <v>11.770567287841621</v>
      </c>
      <c r="AU213" s="61">
        <f t="shared" si="204"/>
        <v>162.02423207600393</v>
      </c>
      <c r="AV213" s="58" t="str">
        <f t="shared" si="181"/>
        <v>9.43166499346592+17.0621157865496i</v>
      </c>
      <c r="AW213" s="64">
        <f t="shared" si="205"/>
        <v>25.798659900784834</v>
      </c>
      <c r="AX213" s="61">
        <f t="shared" si="206"/>
        <v>61.06688365914227</v>
      </c>
    </row>
    <row r="214" spans="14:50" x14ac:dyDescent="0.35">
      <c r="N214" s="10">
        <v>96</v>
      </c>
      <c r="O214" s="50">
        <f t="shared" si="171"/>
        <v>912.01083935590987</v>
      </c>
      <c r="P214" s="48" t="str">
        <f t="shared" si="172"/>
        <v>547.187404092767</v>
      </c>
      <c r="Q214" s="17" t="str">
        <f t="shared" si="173"/>
        <v>1+109.89822549705i</v>
      </c>
      <c r="R214" s="17">
        <f t="shared" si="182"/>
        <v>109.90277506687649</v>
      </c>
      <c r="S214" s="17">
        <f t="shared" si="183"/>
        <v>1.5616972499208921</v>
      </c>
      <c r="T214" s="17" t="str">
        <f t="shared" si="174"/>
        <v>1+0.00207948734215646i</v>
      </c>
      <c r="U214" s="17">
        <f t="shared" si="184"/>
        <v>1.0000021621314656</v>
      </c>
      <c r="V214" s="17">
        <f t="shared" si="185"/>
        <v>2.0794843447443198E-3</v>
      </c>
      <c r="W214" s="31" t="str">
        <f t="shared" si="175"/>
        <v>1-0.0361108132720698i</v>
      </c>
      <c r="X214" s="17">
        <f t="shared" si="186"/>
        <v>1.0006517830070409</v>
      </c>
      <c r="Y214" s="17">
        <f t="shared" si="187"/>
        <v>-3.6095129484632255E-2</v>
      </c>
      <c r="Z214" s="31" t="str">
        <f t="shared" si="176"/>
        <v>0.999725036769883+0.172778188283618i</v>
      </c>
      <c r="AA214" s="17">
        <f t="shared" si="188"/>
        <v>1.0145454408212149</v>
      </c>
      <c r="AB214" s="17">
        <f t="shared" si="189"/>
        <v>0.17113520842515029</v>
      </c>
      <c r="AC214" s="66" t="str">
        <f t="shared" si="190"/>
        <v>-0.956588023366961-4.81658783202263i</v>
      </c>
      <c r="AD214" s="64">
        <f t="shared" si="191"/>
        <v>13.822796840932902</v>
      </c>
      <c r="AE214" s="61">
        <f t="shared" si="192"/>
        <v>-101.23293937043749</v>
      </c>
      <c r="AF214" s="31" t="str">
        <f t="shared" si="177"/>
        <v>-6627.51882264077</v>
      </c>
      <c r="AG214" s="31" t="str">
        <f t="shared" si="193"/>
        <v>5730.33310582957i</v>
      </c>
      <c r="AH214" s="31">
        <f t="shared" si="194"/>
        <v>5730.3331058295698</v>
      </c>
      <c r="AI214" s="31">
        <f t="shared" si="195"/>
        <v>1.5707963267948966</v>
      </c>
      <c r="AJ214" s="31" t="str">
        <f t="shared" si="178"/>
        <v>0.996081266133101+2.79723345394518i</v>
      </c>
      <c r="AK214" s="31">
        <f t="shared" si="196"/>
        <v>2.9692916469439981</v>
      </c>
      <c r="AL214" s="31">
        <f t="shared" si="197"/>
        <v>1.2287018828724214</v>
      </c>
      <c r="AM214" s="31" t="str">
        <f t="shared" si="179"/>
        <v>1+3.32319207806374i</v>
      </c>
      <c r="AN214" s="31">
        <f t="shared" si="198"/>
        <v>3.4703898322386775</v>
      </c>
      <c r="AO214" s="31">
        <f t="shared" si="199"/>
        <v>1.2784998374291292</v>
      </c>
      <c r="AP214" s="31" t="str">
        <f t="shared" si="180"/>
        <v>1+2.68179589352823i</v>
      </c>
      <c r="AQ214" s="31">
        <f t="shared" si="200"/>
        <v>2.8621721147661394</v>
      </c>
      <c r="AR214" s="31">
        <f t="shared" si="201"/>
        <v>1.2138816697342609</v>
      </c>
      <c r="AS214" s="58" t="str">
        <f t="shared" si="202"/>
        <v>-3.68791134070334+1.16962579493003i</v>
      </c>
      <c r="AT214" s="49">
        <f t="shared" si="203"/>
        <v>11.751845067727139</v>
      </c>
      <c r="AU214" s="61">
        <f t="shared" si="204"/>
        <v>162.40350912855004</v>
      </c>
      <c r="AV214" s="58" t="str">
        <f t="shared" si="181"/>
        <v>9.16141719163578+16.6442988619588i</v>
      </c>
      <c r="AW214" s="64">
        <f t="shared" si="205"/>
        <v>25.574641908660027</v>
      </c>
      <c r="AX214" s="61">
        <f t="shared" si="206"/>
        <v>61.170569758112492</v>
      </c>
    </row>
    <row r="215" spans="14:50" x14ac:dyDescent="0.35">
      <c r="N215" s="10">
        <v>97</v>
      </c>
      <c r="O215" s="50">
        <f t="shared" si="171"/>
        <v>933.25430079699106</v>
      </c>
      <c r="P215" s="48" t="str">
        <f t="shared" si="172"/>
        <v>547.187404092767</v>
      </c>
      <c r="Q215" s="17" t="str">
        <f t="shared" si="173"/>
        <v>1+112.458084015221i</v>
      </c>
      <c r="R215" s="17">
        <f t="shared" si="182"/>
        <v>112.46253002833659</v>
      </c>
      <c r="S215" s="17">
        <f t="shared" si="183"/>
        <v>1.5619043591527166</v>
      </c>
      <c r="T215" s="17" t="str">
        <f t="shared" si="174"/>
        <v>1+0.00212792482476524i</v>
      </c>
      <c r="U215" s="17">
        <f t="shared" si="184"/>
        <v>1.000002264029467</v>
      </c>
      <c r="V215" s="17">
        <f t="shared" si="185"/>
        <v>2.1279216129806585E-3</v>
      </c>
      <c r="W215" s="31" t="str">
        <f t="shared" si="175"/>
        <v>1-0.0369519421668679i</v>
      </c>
      <c r="X215" s="17">
        <f t="shared" si="186"/>
        <v>1.0006824901185707</v>
      </c>
      <c r="Y215" s="17">
        <f t="shared" si="187"/>
        <v>-3.6935137304823916E-2</v>
      </c>
      <c r="Z215" s="31" t="str">
        <f t="shared" si="176"/>
        <v>0.999712078152081+0.176802709289591i</v>
      </c>
      <c r="AA215" s="17">
        <f t="shared" si="188"/>
        <v>1.0152258060231192</v>
      </c>
      <c r="AB215" s="17">
        <f t="shared" si="189"/>
        <v>0.17504364736457936</v>
      </c>
      <c r="AC215" s="66" t="str">
        <f t="shared" si="190"/>
        <v>-0.957288940063644-4.69930714833908i</v>
      </c>
      <c r="AD215" s="64">
        <f t="shared" si="191"/>
        <v>13.617257549716182</v>
      </c>
      <c r="AE215" s="61">
        <f t="shared" si="192"/>
        <v>-101.51409656284704</v>
      </c>
      <c r="AF215" s="31" t="str">
        <f t="shared" si="177"/>
        <v>-6627.51882264077</v>
      </c>
      <c r="AG215" s="31" t="str">
        <f t="shared" si="193"/>
        <v>5863.80971062981i</v>
      </c>
      <c r="AH215" s="31">
        <f t="shared" si="194"/>
        <v>5863.8097106298101</v>
      </c>
      <c r="AI215" s="31">
        <f t="shared" si="195"/>
        <v>1.5707963267948966</v>
      </c>
      <c r="AJ215" s="31" t="str">
        <f t="shared" si="178"/>
        <v>0.995896581895756+2.86238939119539i</v>
      </c>
      <c r="AK215" s="31">
        <f t="shared" si="196"/>
        <v>3.0306901901480408</v>
      </c>
      <c r="AL215" s="31">
        <f t="shared" si="197"/>
        <v>1.2359713313972625</v>
      </c>
      <c r="AM215" s="31" t="str">
        <f t="shared" si="179"/>
        <v>1+3.40059916548555i</v>
      </c>
      <c r="AN215" s="31">
        <f t="shared" si="198"/>
        <v>3.544583852062329</v>
      </c>
      <c r="AO215" s="31">
        <f t="shared" si="199"/>
        <v>1.2847925815998333</v>
      </c>
      <c r="AP215" s="31" t="str">
        <f t="shared" si="180"/>
        <v>1+2.74426294457475i</v>
      </c>
      <c r="AQ215" s="31">
        <f t="shared" si="200"/>
        <v>2.9207839887547444</v>
      </c>
      <c r="AR215" s="31">
        <f t="shared" si="201"/>
        <v>1.2213540654086639</v>
      </c>
      <c r="AS215" s="58" t="str">
        <f t="shared" si="202"/>
        <v>-3.68779777354689+1.14327932198112i</v>
      </c>
      <c r="AT215" s="49">
        <f t="shared" si="203"/>
        <v>11.73388504222379</v>
      </c>
      <c r="AU215" s="61">
        <f t="shared" si="204"/>
        <v>162.77568482622101</v>
      </c>
      <c r="AV215" s="58" t="str">
        <f t="shared" si="181"/>
        <v>8.9029087121419+16.2356457885219i</v>
      </c>
      <c r="AW215" s="64">
        <f t="shared" si="205"/>
        <v>25.351142591939993</v>
      </c>
      <c r="AX215" s="61">
        <f t="shared" si="206"/>
        <v>61.261588263374065</v>
      </c>
    </row>
    <row r="216" spans="14:50" x14ac:dyDescent="0.35">
      <c r="N216" s="10">
        <v>98</v>
      </c>
      <c r="O216" s="50">
        <f t="shared" si="171"/>
        <v>954.99258602143675</v>
      </c>
      <c r="P216" s="48" t="str">
        <f t="shared" si="172"/>
        <v>547.187404092767</v>
      </c>
      <c r="Q216" s="17" t="str">
        <f t="shared" si="173"/>
        <v>1+115.077569298096i</v>
      </c>
      <c r="R216" s="17">
        <f t="shared" si="182"/>
        <v>115.08191411146274</v>
      </c>
      <c r="S216" s="17">
        <f t="shared" si="183"/>
        <v>1.5621067547399916</v>
      </c>
      <c r="T216" s="17" t="str">
        <f t="shared" si="174"/>
        <v>1+0.00217749056128252i</v>
      </c>
      <c r="U216" s="17">
        <f t="shared" si="184"/>
        <v>1.0000023707297621</v>
      </c>
      <c r="V216" s="17">
        <f t="shared" si="185"/>
        <v>2.1774871197937774E-3</v>
      </c>
      <c r="W216" s="31" t="str">
        <f t="shared" si="175"/>
        <v>1-0.0378126634705197i</v>
      </c>
      <c r="X216" s="17">
        <f t="shared" si="186"/>
        <v>1.0007146434017715</v>
      </c>
      <c r="Y216" s="17">
        <f t="shared" si="187"/>
        <v>-3.779465743085629E-2</v>
      </c>
      <c r="Z216" s="31" t="str">
        <f t="shared" si="176"/>
        <v>0.999698508813436+0.18092097343229i</v>
      </c>
      <c r="AA216" s="17">
        <f t="shared" si="188"/>
        <v>1.0159377476752673</v>
      </c>
      <c r="AB216" s="17">
        <f t="shared" si="189"/>
        <v>0.17903769779597248</v>
      </c>
      <c r="AC216" s="66" t="str">
        <f t="shared" si="190"/>
        <v>-0.957838553791585-4.58453793180304i</v>
      </c>
      <c r="AD216" s="64">
        <f t="shared" si="191"/>
        <v>13.411464045954773</v>
      </c>
      <c r="AE216" s="61">
        <f t="shared" si="192"/>
        <v>-101.80094218994955</v>
      </c>
      <c r="AF216" s="31" t="str">
        <f t="shared" si="177"/>
        <v>-6627.51882264077</v>
      </c>
      <c r="AG216" s="31" t="str">
        <f t="shared" si="193"/>
        <v>6000.39538495533i</v>
      </c>
      <c r="AH216" s="31">
        <f t="shared" si="194"/>
        <v>6000.39538495533</v>
      </c>
      <c r="AI216" s="31">
        <f t="shared" si="195"/>
        <v>1.5707963267948966</v>
      </c>
      <c r="AJ216" s="31" t="str">
        <f t="shared" si="178"/>
        <v>0.995703193758457+2.92906300518902i</v>
      </c>
      <c r="AK216" s="31">
        <f t="shared" si="196"/>
        <v>3.0936766053399514</v>
      </c>
      <c r="AL216" s="31">
        <f t="shared" si="197"/>
        <v>1.2431123639889947</v>
      </c>
      <c r="AM216" s="31" t="str">
        <f t="shared" si="179"/>
        <v>1+3.47980929559715i</v>
      </c>
      <c r="AN216" s="31">
        <f t="shared" si="198"/>
        <v>3.6206453476865597</v>
      </c>
      <c r="AO216" s="31">
        <f t="shared" si="199"/>
        <v>1.2909646714952909</v>
      </c>
      <c r="AP216" s="31" t="str">
        <f t="shared" si="180"/>
        <v>1+2.80818504015909i</v>
      </c>
      <c r="AQ216" s="31">
        <f t="shared" si="200"/>
        <v>2.9809232160143462</v>
      </c>
      <c r="AR216" s="31">
        <f t="shared" si="201"/>
        <v>1.2286959013754932</v>
      </c>
      <c r="AS216" s="58" t="str">
        <f t="shared" si="202"/>
        <v>-3.6876881963188+1.11753583973818i</v>
      </c>
      <c r="AT216" s="49">
        <f t="shared" si="203"/>
        <v>11.716659285658114</v>
      </c>
      <c r="AU216" s="61">
        <f t="shared" si="204"/>
        <v>163.14082471391109</v>
      </c>
      <c r="AV216" s="58" t="str">
        <f t="shared" si="181"/>
        <v>8.65559537622535+15.8359275041408i</v>
      </c>
      <c r="AW216" s="64">
        <f t="shared" si="205"/>
        <v>25.12812333161289</v>
      </c>
      <c r="AX216" s="61">
        <f t="shared" si="206"/>
        <v>61.33988252396157</v>
      </c>
    </row>
    <row r="217" spans="14:50" x14ac:dyDescent="0.35">
      <c r="N217" s="10">
        <v>99</v>
      </c>
      <c r="O217" s="50">
        <f t="shared" si="171"/>
        <v>977.23722095581138</v>
      </c>
      <c r="P217" s="48" t="str">
        <f t="shared" si="172"/>
        <v>547.187404092767</v>
      </c>
      <c r="Q217" s="17" t="str">
        <f t="shared" si="173"/>
        <v>1+117.758070231445i</v>
      </c>
      <c r="R217" s="17">
        <f t="shared" si="182"/>
        <v>117.76231614839246</v>
      </c>
      <c r="S217" s="17">
        <f t="shared" si="183"/>
        <v>1.5623045439291705</v>
      </c>
      <c r="T217" s="17" t="str">
        <f t="shared" si="174"/>
        <v>1+0.00222821083211789i</v>
      </c>
      <c r="U217" s="17">
        <f t="shared" si="184"/>
        <v>1.0000024824586748</v>
      </c>
      <c r="V217" s="17">
        <f t="shared" si="185"/>
        <v>2.2282071444967582E-3</v>
      </c>
      <c r="W217" s="31" t="str">
        <f t="shared" si="175"/>
        <v>1-0.0386934335488533i</v>
      </c>
      <c r="X217" s="17">
        <f t="shared" si="186"/>
        <v>1.0007483109152868</v>
      </c>
      <c r="Y217" s="17">
        <f t="shared" si="187"/>
        <v>-3.8674140508842755E-2</v>
      </c>
      <c r="Z217" s="31" t="str">
        <f t="shared" si="176"/>
        <v>0.999684299971563+0.185135164269875i</v>
      </c>
      <c r="AA217" s="17">
        <f t="shared" si="188"/>
        <v>1.0166827079570437</v>
      </c>
      <c r="AB217" s="17">
        <f t="shared" si="189"/>
        <v>0.18311898197174434</v>
      </c>
      <c r="AC217" s="66" t="str">
        <f t="shared" si="190"/>
        <v>-0.958238555128798-4.47222087813149i</v>
      </c>
      <c r="AD217" s="64">
        <f t="shared" si="191"/>
        <v>13.205405194768263</v>
      </c>
      <c r="AE217" s="61">
        <f t="shared" si="192"/>
        <v>-102.09359965915762</v>
      </c>
      <c r="AF217" s="31" t="str">
        <f t="shared" si="177"/>
        <v>-6627.51882264077</v>
      </c>
      <c r="AG217" s="31" t="str">
        <f t="shared" si="193"/>
        <v>6140.16254833857i</v>
      </c>
      <c r="AH217" s="31">
        <f t="shared" si="194"/>
        <v>6140.1625483385696</v>
      </c>
      <c r="AI217" s="31">
        <f t="shared" si="195"/>
        <v>1.5707963267948966</v>
      </c>
      <c r="AJ217" s="31" t="str">
        <f t="shared" si="178"/>
        <v>0.995500691519037+2.99728964715873i</v>
      </c>
      <c r="AK217" s="31">
        <f t="shared" si="196"/>
        <v>3.1582854297513685</v>
      </c>
      <c r="AL217" s="31">
        <f t="shared" si="197"/>
        <v>1.2501258934714579</v>
      </c>
      <c r="AM217" s="31" t="str">
        <f t="shared" si="179"/>
        <v>1+3.56086446665799i</v>
      </c>
      <c r="AN217" s="31">
        <f t="shared" si="198"/>
        <v>3.698615382803069</v>
      </c>
      <c r="AO217" s="31">
        <f t="shared" si="199"/>
        <v>1.2970174979261753</v>
      </c>
      <c r="AP217" s="31" t="str">
        <f t="shared" si="180"/>
        <v>1+2.87359607262245i</v>
      </c>
      <c r="AQ217" s="31">
        <f t="shared" si="200"/>
        <v>3.0426229455177594</v>
      </c>
      <c r="AR217" s="31">
        <f t="shared" si="201"/>
        <v>1.2359079034585618</v>
      </c>
      <c r="AS217" s="58" t="str">
        <f t="shared" si="202"/>
        <v>-3.68758250910426+1.09238186742042i</v>
      </c>
      <c r="AT217" s="49">
        <f t="shared" si="203"/>
        <v>11.700140648332209</v>
      </c>
      <c r="AU217" s="61">
        <f t="shared" si="204"/>
        <v>163.49899776488974</v>
      </c>
      <c r="AV217" s="58" t="str">
        <f t="shared" si="181"/>
        <v>8.41895672981216+15.4449210647627i</v>
      </c>
      <c r="AW217" s="64">
        <f t="shared" si="205"/>
        <v>24.905545843100452</v>
      </c>
      <c r="AX217" s="61">
        <f t="shared" si="206"/>
        <v>61.40539810573204</v>
      </c>
    </row>
    <row r="218" spans="14:50" x14ac:dyDescent="0.35">
      <c r="N218" s="10">
        <v>100</v>
      </c>
      <c r="O218" s="50">
        <f t="shared" si="171"/>
        <v>1000</v>
      </c>
      <c r="P218" s="48" t="str">
        <f t="shared" si="172"/>
        <v>547.187404092767</v>
      </c>
      <c r="Q218" s="17" t="str">
        <f t="shared" si="173"/>
        <v>1+120.501008052342i</v>
      </c>
      <c r="R218" s="17">
        <f t="shared" si="182"/>
        <v>120.50515732378675</v>
      </c>
      <c r="S218" s="17">
        <f t="shared" si="183"/>
        <v>1.5624978315287628</v>
      </c>
      <c r="T218" s="17" t="str">
        <f t="shared" si="174"/>
        <v>1+0.0022801125298303i</v>
      </c>
      <c r="U218" s="17">
        <f t="shared" si="184"/>
        <v>1.0000025994531958</v>
      </c>
      <c r="V218" s="17">
        <f t="shared" si="185"/>
        <v>2.2801085784736213E-3</v>
      </c>
      <c r="W218" s="31" t="str">
        <f t="shared" si="175"/>
        <v>1-0.0395947193978226i</v>
      </c>
      <c r="X218" s="17">
        <f t="shared" si="186"/>
        <v>1.0007835639158911</v>
      </c>
      <c r="Y218" s="17">
        <f t="shared" si="187"/>
        <v>-3.9574047407072786E-2</v>
      </c>
      <c r="Z218" s="31" t="str">
        <f t="shared" si="176"/>
        <v>0.999669421487603+0.189447516222109i</v>
      </c>
      <c r="AA218" s="17">
        <f t="shared" si="188"/>
        <v>1.0174621927423568</v>
      </c>
      <c r="AB218" s="17">
        <f t="shared" si="189"/>
        <v>0.18728913524325386</v>
      </c>
      <c r="AC218" s="66" t="str">
        <f t="shared" si="190"/>
        <v>-0.958490364982622-4.3622980676593i</v>
      </c>
      <c r="AD218" s="64">
        <f t="shared" si="191"/>
        <v>12.99906940493733</v>
      </c>
      <c r="AE218" s="61">
        <f t="shared" si="192"/>
        <v>-102.3921935393323</v>
      </c>
      <c r="AF218" s="31" t="str">
        <f t="shared" si="177"/>
        <v>-6627.51882264077</v>
      </c>
      <c r="AG218" s="31" t="str">
        <f t="shared" si="193"/>
        <v>6283.18530717959i</v>
      </c>
      <c r="AH218" s="31">
        <f t="shared" si="194"/>
        <v>6283.1853071795904</v>
      </c>
      <c r="AI218" s="31">
        <f t="shared" si="195"/>
        <v>1.5707963267948966</v>
      </c>
      <c r="AJ218" s="31" t="str">
        <f t="shared" si="178"/>
        <v>0.995288645643096+3.06710549177318i</v>
      </c>
      <c r="AK218" s="31">
        <f t="shared" si="196"/>
        <v>3.2245519976907286</v>
      </c>
      <c r="AL218" s="31">
        <f t="shared" si="197"/>
        <v>1.2570129178322793</v>
      </c>
      <c r="AM218" s="31" t="str">
        <f t="shared" si="179"/>
        <v>1+3.64380765519266i</v>
      </c>
      <c r="AN218" s="31">
        <f t="shared" si="198"/>
        <v>3.7785359900417288</v>
      </c>
      <c r="AO218" s="31">
        <f t="shared" si="199"/>
        <v>1.3029524954421337</v>
      </c>
      <c r="AP218" s="31" t="str">
        <f t="shared" si="180"/>
        <v>1+2.94053072376004i</v>
      </c>
      <c r="AQ218" s="31">
        <f t="shared" si="200"/>
        <v>3.1059170847556032</v>
      </c>
      <c r="AR218" s="31">
        <f t="shared" si="201"/>
        <v>1.2429908936723111</v>
      </c>
      <c r="AS218" s="58" t="str">
        <f t="shared" si="202"/>
        <v>-3.68748061093084+1.06780422959237i</v>
      </c>
      <c r="AT218" s="49">
        <f t="shared" si="203"/>
        <v>11.684302754866319</v>
      </c>
      <c r="AU218" s="61">
        <f t="shared" si="204"/>
        <v>163.85027609027625</v>
      </c>
      <c r="AV218" s="58" t="str">
        <f t="shared" si="181"/>
        <v>8.19249496402667+15.0624094778428i</v>
      </c>
      <c r="AW218" s="64">
        <f t="shared" si="205"/>
        <v>24.683372159803668</v>
      </c>
      <c r="AX218" s="61">
        <f t="shared" si="206"/>
        <v>61.458082550944006</v>
      </c>
    </row>
    <row r="219" spans="14:50" x14ac:dyDescent="0.35">
      <c r="N219" s="10">
        <v>1</v>
      </c>
      <c r="O219" s="50">
        <f>10^(3+(N219/100))</f>
        <v>1023.2929922807547</v>
      </c>
      <c r="P219" s="48" t="str">
        <f t="shared" si="172"/>
        <v>547.187404092767</v>
      </c>
      <c r="Q219" s="17" t="str">
        <f t="shared" si="173"/>
        <v>1+123.307837102728i</v>
      </c>
      <c r="R219" s="17">
        <f t="shared" si="182"/>
        <v>123.31189192836554</v>
      </c>
      <c r="S219" s="17">
        <f t="shared" si="183"/>
        <v>1.5626867199646093</v>
      </c>
      <c r="T219" s="17" t="str">
        <f t="shared" si="174"/>
        <v>1+0.00233322317338689i</v>
      </c>
      <c r="U219" s="17">
        <f t="shared" si="184"/>
        <v>1.000002721961484</v>
      </c>
      <c r="V219" s="17">
        <f t="shared" si="185"/>
        <v>2.3332189394325497E-3</v>
      </c>
      <c r="W219" s="31" t="str">
        <f t="shared" si="175"/>
        <v>1-0.0405169988911147i</v>
      </c>
      <c r="X219" s="17">
        <f t="shared" si="186"/>
        <v>1.0008204770083107</v>
      </c>
      <c r="Y219" s="17">
        <f t="shared" si="187"/>
        <v>-4.049484943457942E-2</v>
      </c>
      <c r="Z219" s="31" t="str">
        <f t="shared" si="176"/>
        <v>0.999653841802297+0.193860315755079i</v>
      </c>
      <c r="AA219" s="17">
        <f t="shared" si="188"/>
        <v>1.0182777742122977</v>
      </c>
      <c r="AB219" s="17">
        <f t="shared" si="189"/>
        <v>0.19154980482004078</v>
      </c>
      <c r="AC219" s="66" t="str">
        <f t="shared" si="190"/>
        <v>-0.958595141710379-4.25471294041653i</v>
      </c>
      <c r="AD219" s="64">
        <f t="shared" si="191"/>
        <v>12.792444613906749</v>
      </c>
      <c r="AE219" s="61">
        <f t="shared" si="192"/>
        <v>-102.69684950456674</v>
      </c>
      <c r="AF219" s="31" t="str">
        <f t="shared" si="177"/>
        <v>-6627.51882264077</v>
      </c>
      <c r="AG219" s="31" t="str">
        <f t="shared" si="193"/>
        <v>6429.53949403827i</v>
      </c>
      <c r="AH219" s="31">
        <f t="shared" si="194"/>
        <v>6429.5394940382703</v>
      </c>
      <c r="AI219" s="31">
        <f t="shared" si="195"/>
        <v>1.5707963267948966</v>
      </c>
      <c r="AJ219" s="31" t="str">
        <f t="shared" si="178"/>
        <v>0.995066606352902+3.13854755631731i</v>
      </c>
      <c r="AK219" s="31">
        <f t="shared" si="196"/>
        <v>3.2925124622913788</v>
      </c>
      <c r="AL219" s="31">
        <f t="shared" si="197"/>
        <v>1.2637745141362364</v>
      </c>
      <c r="AM219" s="31" t="str">
        <f t="shared" si="179"/>
        <v>1+3.72868283877762i</v>
      </c>
      <c r="AN219" s="31">
        <f t="shared" si="198"/>
        <v>3.8604501955335118</v>
      </c>
      <c r="AO219" s="31">
        <f t="shared" si="199"/>
        <v>1.3087711377472544</v>
      </c>
      <c r="AP219" s="31" t="str">
        <f t="shared" si="180"/>
        <v>1+3.00902448320991i</v>
      </c>
      <c r="AQ219" s="31">
        <f t="shared" si="200"/>
        <v>3.170840320886037</v>
      </c>
      <c r="AR219" s="31">
        <f t="shared" si="201"/>
        <v>1.2499457838341506</v>
      </c>
      <c r="AS219" s="58" t="str">
        <f t="shared" si="202"/>
        <v>-3.6873824001191+1.04379004931886i</v>
      </c>
      <c r="AT219" s="49">
        <f t="shared" si="203"/>
        <v>11.669120000653939</v>
      </c>
      <c r="AU219" s="61">
        <f t="shared" si="204"/>
        <v>164.19473465911835</v>
      </c>
      <c r="AV219" s="58" t="str">
        <f t="shared" si="181"/>
        <v>7.97573388429749+14.6881815438082i</v>
      </c>
      <c r="AW219" s="64">
        <f t="shared" si="205"/>
        <v>24.461564614560686</v>
      </c>
      <c r="AX219" s="61">
        <f t="shared" si="206"/>
        <v>61.497885154551625</v>
      </c>
    </row>
    <row r="220" spans="14:50" x14ac:dyDescent="0.35">
      <c r="N220" s="10">
        <v>2</v>
      </c>
      <c r="O220" s="50">
        <f t="shared" ref="O220:O283" si="207">10^(3+(N220/100))</f>
        <v>1047.1285480509</v>
      </c>
      <c r="P220" s="48" t="str">
        <f t="shared" si="172"/>
        <v>547.187404092767</v>
      </c>
      <c r="Q220" s="17" t="str">
        <f t="shared" si="173"/>
        <v>1+126.180045600519i</v>
      </c>
      <c r="R220" s="17">
        <f t="shared" si="182"/>
        <v>126.1840081299887</v>
      </c>
      <c r="S220" s="17">
        <f t="shared" si="183"/>
        <v>1.5628713093339135</v>
      </c>
      <c r="T220" s="17" t="str">
        <f t="shared" si="174"/>
        <v>1+0.00238757092275387i</v>
      </c>
      <c r="U220" s="17">
        <f t="shared" si="184"/>
        <v>1.0000028502433937</v>
      </c>
      <c r="V220" s="17">
        <f t="shared" si="185"/>
        <v>2.3875663859907557E-3</v>
      </c>
      <c r="W220" s="31" t="str">
        <f t="shared" si="175"/>
        <v>1-0.0414607610335247i</v>
      </c>
      <c r="X220" s="17">
        <f t="shared" si="186"/>
        <v>1.0008591283020198</v>
      </c>
      <c r="Y220" s="17">
        <f t="shared" si="187"/>
        <v>-4.1437028563413837E-2</v>
      </c>
      <c r="Z220" s="31" t="str">
        <f t="shared" si="176"/>
        <v>0.999637527869044+0.198375902593506i</v>
      </c>
      <c r="AA220" s="17">
        <f t="shared" si="188"/>
        <v>1.0191310935566249</v>
      </c>
      <c r="AB220" s="17">
        <f t="shared" si="189"/>
        <v>0.19590264841422633</v>
      </c>
      <c r="AC220" s="66" t="str">
        <f t="shared" si="190"/>
        <v>-0.958553788018774-4.14941027213666i</v>
      </c>
      <c r="AD220" s="64">
        <f t="shared" si="191"/>
        <v>12.58551827261822</v>
      </c>
      <c r="AE220" s="61">
        <f t="shared" si="192"/>
        <v>-103.00769427151066</v>
      </c>
      <c r="AF220" s="31" t="str">
        <f t="shared" si="177"/>
        <v>-6627.51882264077</v>
      </c>
      <c r="AG220" s="31" t="str">
        <f t="shared" si="193"/>
        <v>6579.30270784171i</v>
      </c>
      <c r="AH220" s="31">
        <f t="shared" si="194"/>
        <v>6579.3027078417099</v>
      </c>
      <c r="AI220" s="31">
        <f t="shared" si="195"/>
        <v>1.5707963267948966</v>
      </c>
      <c r="AJ220" s="31" t="str">
        <f t="shared" si="178"/>
        <v>0.99483410267335+3.21165372031939i</v>
      </c>
      <c r="AK220" s="31">
        <f t="shared" si="196"/>
        <v>3.3622038175998887</v>
      </c>
      <c r="AL220" s="31">
        <f t="shared" si="197"/>
        <v>1.2704118326181844</v>
      </c>
      <c r="AM220" s="31" t="str">
        <f t="shared" si="179"/>
        <v>1+3.81553501935865i</v>
      </c>
      <c r="AN220" s="31">
        <f t="shared" si="198"/>
        <v>3.944402043903767</v>
      </c>
      <c r="AO220" s="31">
        <f t="shared" si="199"/>
        <v>1.3144749333288015</v>
      </c>
      <c r="AP220" s="31" t="str">
        <f t="shared" si="180"/>
        <v>1+3.07911366726992i</v>
      </c>
      <c r="AQ220" s="31">
        <f t="shared" si="200"/>
        <v>3.2374281422092475</v>
      </c>
      <c r="AR220" s="31">
        <f t="shared" si="201"/>
        <v>1.2567735693321174</v>
      </c>
      <c r="AS220" s="58" t="str">
        <f t="shared" si="202"/>
        <v>-3.68728777460739+1.02032674149382i</v>
      </c>
      <c r="AT220" s="49">
        <f t="shared" si="203"/>
        <v>11.654567546589544</v>
      </c>
      <c r="AU220" s="61">
        <f t="shared" si="204"/>
        <v>164.53245102930077</v>
      </c>
      <c r="AV220" s="58" t="str">
        <f t="shared" si="181"/>
        <v>7.76821792595541+14.3220317052041i</v>
      </c>
      <c r="AW220" s="64">
        <f t="shared" si="205"/>
        <v>24.240085819207771</v>
      </c>
      <c r="AX220" s="61">
        <f t="shared" si="206"/>
        <v>61.524756757790144</v>
      </c>
    </row>
    <row r="221" spans="14:50" x14ac:dyDescent="0.35">
      <c r="N221" s="10">
        <v>3</v>
      </c>
      <c r="O221" s="50">
        <f t="shared" si="207"/>
        <v>1071.5193052376069</v>
      </c>
      <c r="P221" s="48" t="str">
        <f t="shared" si="172"/>
        <v>547.187404092767</v>
      </c>
      <c r="Q221" s="17" t="str">
        <f t="shared" si="173"/>
        <v>1+129.119156428677i</v>
      </c>
      <c r="R221" s="17">
        <f t="shared" si="182"/>
        <v>129.12302876270044</v>
      </c>
      <c r="S221" s="17">
        <f t="shared" si="183"/>
        <v>1.5630516974580568</v>
      </c>
      <c r="T221" s="17" t="str">
        <f t="shared" si="174"/>
        <v>1+0.00244318459382733i</v>
      </c>
      <c r="U221" s="17">
        <f t="shared" si="184"/>
        <v>1.0000029845710259</v>
      </c>
      <c r="V221" s="17">
        <f t="shared" si="185"/>
        <v>2.4431797325988529E-3</v>
      </c>
      <c r="W221" s="31" t="str">
        <f t="shared" si="175"/>
        <v>1-0.0424265062202328i</v>
      </c>
      <c r="X221" s="17">
        <f t="shared" si="186"/>
        <v>1.0008995995753298</v>
      </c>
      <c r="Y221" s="17">
        <f t="shared" si="187"/>
        <v>-4.2401077654616516E-2</v>
      </c>
      <c r="Z221" s="31" t="str">
        <f t="shared" si="176"/>
        <v>0.999620445083803+0.202996670961304i</v>
      </c>
      <c r="AA221" s="17">
        <f t="shared" si="188"/>
        <v>1.0200238637654084</v>
      </c>
      <c r="AB221" s="17">
        <f t="shared" si="189"/>
        <v>0.20034933276392311</v>
      </c>
      <c r="AC221" s="66" t="str">
        <f t="shared" si="190"/>
        <v>-0.95836695768082-4.04633615118843i</v>
      </c>
      <c r="AD221" s="64">
        <f t="shared" si="191"/>
        <v>12.378277330207819</v>
      </c>
      <c r="AE221" s="61">
        <f t="shared" si="192"/>
        <v>-103.32485552988693</v>
      </c>
      <c r="AF221" s="31" t="str">
        <f t="shared" si="177"/>
        <v>-6627.51882264077</v>
      </c>
      <c r="AG221" s="31" t="str">
        <f t="shared" si="193"/>
        <v>6732.55435502821i</v>
      </c>
      <c r="AH221" s="31">
        <f t="shared" si="194"/>
        <v>6732.55435502821</v>
      </c>
      <c r="AI221" s="31">
        <f t="shared" si="195"/>
        <v>1.5707963267948966</v>
      </c>
      <c r="AJ221" s="31" t="str">
        <f t="shared" si="178"/>
        <v>0.994590641432965+3.28646274563525i</v>
      </c>
      <c r="AK221" s="31">
        <f t="shared" si="196"/>
        <v>3.4336639210141731</v>
      </c>
      <c r="AL221" s="31">
        <f t="shared" si="197"/>
        <v>1.2769260909657332</v>
      </c>
      <c r="AM221" s="31" t="str">
        <f t="shared" si="179"/>
        <v>1+3.90441024711151i</v>
      </c>
      <c r="AN221" s="31">
        <f t="shared" si="198"/>
        <v>4.0304366237108056</v>
      </c>
      <c r="AO221" s="31">
        <f t="shared" si="199"/>
        <v>1.3200654212978871</v>
      </c>
      <c r="AP221" s="31" t="str">
        <f t="shared" si="180"/>
        <v>1+3.1508354381532i</v>
      </c>
      <c r="AQ221" s="31">
        <f t="shared" si="200"/>
        <v>3.3057168599748628</v>
      </c>
      <c r="AR221" s="31">
        <f t="shared" si="201"/>
        <v>1.2634753230620881</v>
      </c>
      <c r="AS221" s="58" t="str">
        <f t="shared" si="202"/>
        <v>-3.68719663225212+0.997402006337129i</v>
      </c>
      <c r="AT221" s="49">
        <f t="shared" si="203"/>
        <v>11.640621312227093</v>
      </c>
      <c r="AU221" s="61">
        <f t="shared" si="204"/>
        <v>164.863505089439</v>
      </c>
      <c r="AV221" s="58" t="str">
        <f t="shared" si="181"/>
        <v>7.56951121433223+13.9637599032239i</v>
      </c>
      <c r="AW221" s="64">
        <f t="shared" si="205"/>
        <v>24.018898642434902</v>
      </c>
      <c r="AX221" s="61">
        <f t="shared" si="206"/>
        <v>61.538649559552013</v>
      </c>
    </row>
    <row r="222" spans="14:50" x14ac:dyDescent="0.35">
      <c r="N222" s="10">
        <v>4</v>
      </c>
      <c r="O222" s="50">
        <f t="shared" si="207"/>
        <v>1096.4781961431863</v>
      </c>
      <c r="P222" s="48" t="str">
        <f t="shared" si="172"/>
        <v>547.187404092767</v>
      </c>
      <c r="Q222" s="17" t="str">
        <f t="shared" si="173"/>
        <v>1+132.126727942667i</v>
      </c>
      <c r="R222" s="17">
        <f t="shared" si="182"/>
        <v>132.13051213416054</v>
      </c>
      <c r="S222" s="17">
        <f t="shared" si="183"/>
        <v>1.563227979934225</v>
      </c>
      <c r="T222" s="17" t="str">
        <f t="shared" si="174"/>
        <v>1+0.00250009367371181i</v>
      </c>
      <c r="U222" s="17">
        <f t="shared" si="184"/>
        <v>1.0000031252293051</v>
      </c>
      <c r="V222" s="17">
        <f t="shared" si="185"/>
        <v>2.5000884648125289E-3</v>
      </c>
      <c r="W222" s="31" t="str">
        <f t="shared" si="175"/>
        <v>1-0.0434147465021201i</v>
      </c>
      <c r="X222" s="17">
        <f t="shared" si="186"/>
        <v>1.0009419764471081</v>
      </c>
      <c r="Y222" s="17">
        <f t="shared" si="187"/>
        <v>-4.3387500687865989E-2</v>
      </c>
      <c r="Z222" s="31" t="str">
        <f t="shared" si="176"/>
        <v>0.999602557211697+0.207725070851025i</v>
      </c>
      <c r="AA222" s="17">
        <f t="shared" si="188"/>
        <v>1.020957872511999</v>
      </c>
      <c r="AB222" s="17">
        <f t="shared" si="189"/>
        <v>0.20489153202933369</v>
      </c>
      <c r="AC222" s="66" t="str">
        <f t="shared" si="190"/>
        <v>-0.95803506210924-3.94543795642316i</v>
      </c>
      <c r="AD222" s="64">
        <f t="shared" si="191"/>
        <v>12.170708218606789</v>
      </c>
      <c r="AE222" s="61">
        <f t="shared" si="192"/>
        <v>-103.64846186583536</v>
      </c>
      <c r="AF222" s="31" t="str">
        <f t="shared" si="177"/>
        <v>-6627.51882264077</v>
      </c>
      <c r="AG222" s="31" t="str">
        <f t="shared" si="193"/>
        <v>6889.37569164964i</v>
      </c>
      <c r="AH222" s="31">
        <f t="shared" si="194"/>
        <v>6889.3756916496404</v>
      </c>
      <c r="AI222" s="31">
        <f t="shared" si="195"/>
        <v>1.5707963267948966</v>
      </c>
      <c r="AJ222" s="31" t="str">
        <f t="shared" si="178"/>
        <v>0.994335706217815+3.36301429700032i</v>
      </c>
      <c r="AK222" s="31">
        <f t="shared" si="196"/>
        <v>3.5069315160818633</v>
      </c>
      <c r="AL222" s="31">
        <f t="shared" si="197"/>
        <v>1.2833185687998516</v>
      </c>
      <c r="AM222" s="31" t="str">
        <f t="shared" si="179"/>
        <v>1+3.99535564485838i</v>
      </c>
      <c r="AN222" s="31">
        <f t="shared" si="198"/>
        <v>4.1186000933450337</v>
      </c>
      <c r="AO222" s="31">
        <f t="shared" si="199"/>
        <v>1.325544167439781</v>
      </c>
      <c r="AP222" s="31" t="str">
        <f t="shared" si="180"/>
        <v>1+3.22422782369203i</v>
      </c>
      <c r="AQ222" s="31">
        <f t="shared" si="200"/>
        <v>3.3757436305308861</v>
      </c>
      <c r="AR222" s="31">
        <f t="shared" si="201"/>
        <v>1.2700521895464365</v>
      </c>
      <c r="AS222" s="58" t="str">
        <f t="shared" si="202"/>
        <v>-3.68710887110334+0.975003823053659i</v>
      </c>
      <c r="AT222" s="49">
        <f t="shared" si="203"/>
        <v>11.627257967517641</v>
      </c>
      <c r="AU222" s="61">
        <f t="shared" si="204"/>
        <v>165.18797881184139</v>
      </c>
      <c r="AV222" s="58" t="str">
        <f t="shared" si="181"/>
        <v>7.37919666746461+13.6131714413397i</v>
      </c>
      <c r="AW222" s="64">
        <f t="shared" si="205"/>
        <v>23.797966186124427</v>
      </c>
      <c r="AX222" s="61">
        <f t="shared" si="206"/>
        <v>61.539516946006039</v>
      </c>
    </row>
    <row r="223" spans="14:50" x14ac:dyDescent="0.35">
      <c r="N223" s="10">
        <v>5</v>
      </c>
      <c r="O223" s="50">
        <f t="shared" si="207"/>
        <v>1122.0184543019636</v>
      </c>
      <c r="P223" s="48" t="str">
        <f t="shared" si="172"/>
        <v>547.187404092767</v>
      </c>
      <c r="Q223" s="17" t="str">
        <f t="shared" si="173"/>
        <v>1+135.204354796717i</v>
      </c>
      <c r="R223" s="17">
        <f t="shared" si="182"/>
        <v>135.2080528518791</v>
      </c>
      <c r="S223" s="17">
        <f t="shared" si="183"/>
        <v>1.5634002501858708</v>
      </c>
      <c r="T223" s="17" t="str">
        <f t="shared" si="174"/>
        <v>1+0.00255832833635474i</v>
      </c>
      <c r="U223" s="17">
        <f t="shared" si="184"/>
        <v>1.0000032725165837</v>
      </c>
      <c r="V223" s="17">
        <f t="shared" si="185"/>
        <v>2.5583227549195878E-3</v>
      </c>
      <c r="W223" s="31" t="str">
        <f t="shared" si="175"/>
        <v>1-0.0444260058572648i</v>
      </c>
      <c r="X223" s="17">
        <f t="shared" si="186"/>
        <v>1.0009863485564774</v>
      </c>
      <c r="Y223" s="17">
        <f t="shared" si="187"/>
        <v>-4.4396812994780425E-2</v>
      </c>
      <c r="Z223" s="31" t="str">
        <f t="shared" si="176"/>
        <v>0.999583826310151+0.212563609322877i</v>
      </c>
      <c r="AA223" s="17">
        <f t="shared" si="188"/>
        <v>1.0219349851283157</v>
      </c>
      <c r="AB223" s="17">
        <f t="shared" si="189"/>
        <v>0.20953092605515011</v>
      </c>
      <c r="AC223" s="66" t="str">
        <f t="shared" si="190"/>
        <v>-0.957558276826889-3.8466643359292i</v>
      </c>
      <c r="AD223" s="64">
        <f t="shared" si="191"/>
        <v>11.962796837090631</v>
      </c>
      <c r="AE223" s="61">
        <f t="shared" si="192"/>
        <v>-103.9786426777186</v>
      </c>
      <c r="AF223" s="31" t="str">
        <f t="shared" si="177"/>
        <v>-6627.51882264077</v>
      </c>
      <c r="AG223" s="31" t="str">
        <f t="shared" si="193"/>
        <v>7049.84986645445i</v>
      </c>
      <c r="AH223" s="31">
        <f t="shared" si="194"/>
        <v>7049.8498664544504</v>
      </c>
      <c r="AI223" s="31">
        <f t="shared" si="195"/>
        <v>1.5707963267948966</v>
      </c>
      <c r="AJ223" s="31" t="str">
        <f t="shared" si="178"/>
        <v>0.994068756276126+3.44134896306041i</v>
      </c>
      <c r="AK223" s="31">
        <f t="shared" si="196"/>
        <v>3.5820462556702592</v>
      </c>
      <c r="AL223" s="31">
        <f t="shared" si="197"/>
        <v>1.2895906023597021</v>
      </c>
      <c r="AM223" s="31" t="str">
        <f t="shared" si="179"/>
        <v>1+4.08841943305293i</v>
      </c>
      <c r="AN223" s="31">
        <f t="shared" si="198"/>
        <v>4.2089397074043298</v>
      </c>
      <c r="AO223" s="31">
        <f t="shared" si="199"/>
        <v>1.3309127604707305</v>
      </c>
      <c r="AP223" s="31" t="str">
        <f t="shared" si="180"/>
        <v>1+3.29932973750068i</v>
      </c>
      <c r="AQ223" s="31">
        <f t="shared" si="200"/>
        <v>3.4475464778239471</v>
      </c>
      <c r="AR223" s="31">
        <f t="shared" si="201"/>
        <v>1.2765053792439254</v>
      </c>
      <c r="AS223" s="58" t="str">
        <f t="shared" si="202"/>
        <v>-3.68702438965669+0.953120443649293i</v>
      </c>
      <c r="AT223" s="49">
        <f t="shared" si="203"/>
        <v>11.61445492327063</v>
      </c>
      <c r="AU223" s="61">
        <f t="shared" si="204"/>
        <v>165.50595601655769</v>
      </c>
      <c r="AV223" s="58" t="str">
        <f t="shared" si="181"/>
        <v>7.19687513960912+13.2700768557642i</v>
      </c>
      <c r="AW223" s="64">
        <f t="shared" si="205"/>
        <v>23.577251760361246</v>
      </c>
      <c r="AX223" s="61">
        <f t="shared" si="206"/>
        <v>61.527313338839072</v>
      </c>
    </row>
    <row r="224" spans="14:50" x14ac:dyDescent="0.35">
      <c r="N224" s="10">
        <v>6</v>
      </c>
      <c r="O224" s="50">
        <f t="shared" si="207"/>
        <v>1148.1536214968839</v>
      </c>
      <c r="P224" s="48" t="str">
        <f t="shared" si="172"/>
        <v>547.187404092767</v>
      </c>
      <c r="Q224" s="17" t="str">
        <f t="shared" si="173"/>
        <v>1+138.353668789322i</v>
      </c>
      <c r="R224" s="17">
        <f t="shared" si="182"/>
        <v>138.35728266869586</v>
      </c>
      <c r="S224" s="17">
        <f t="shared" si="183"/>
        <v>1.5635685995120383</v>
      </c>
      <c r="T224" s="17" t="str">
        <f t="shared" si="174"/>
        <v>1+0.00261791945854508i</v>
      </c>
      <c r="U224" s="17">
        <f t="shared" si="184"/>
        <v>1.0000034267452744</v>
      </c>
      <c r="V224" s="17">
        <f t="shared" si="185"/>
        <v>2.6179134779306702E-3</v>
      </c>
      <c r="W224" s="31" t="str">
        <f t="shared" si="175"/>
        <v>1-0.0454608204687629i</v>
      </c>
      <c r="X224" s="17">
        <f t="shared" si="186"/>
        <v>1.0010328097508558</v>
      </c>
      <c r="Y224" s="17">
        <f t="shared" si="187"/>
        <v>-4.5429541495838298E-2</v>
      </c>
      <c r="Z224" s="31" t="str">
        <f t="shared" si="176"/>
        <v>0.999564212648411+0.217514851834004i</v>
      </c>
      <c r="AA224" s="17">
        <f t="shared" si="188"/>
        <v>1.0229571476732575</v>
      </c>
      <c r="AB224" s="17">
        <f t="shared" si="189"/>
        <v>0.21426919849276843</v>
      </c>
      <c r="AC224" s="66" t="str">
        <f t="shared" si="190"/>
        <v>-0.956936547875474-3.74996518668363i</v>
      </c>
      <c r="AD224" s="64">
        <f t="shared" si="191"/>
        <v>11.754528536825667</v>
      </c>
      <c r="AE224" s="61">
        <f t="shared" si="192"/>
        <v>-104.31552808401726</v>
      </c>
      <c r="AF224" s="31" t="str">
        <f t="shared" si="177"/>
        <v>-6627.51882264077</v>
      </c>
      <c r="AG224" s="31" t="str">
        <f t="shared" si="193"/>
        <v>7214.06196497425i</v>
      </c>
      <c r="AH224" s="31">
        <f t="shared" si="194"/>
        <v>7214.0619649742503</v>
      </c>
      <c r="AI224" s="31">
        <f t="shared" si="195"/>
        <v>1.5707963267948966</v>
      </c>
      <c r="AJ224" s="31" t="str">
        <f t="shared" si="178"/>
        <v>0.993789225371284+3.52150827789236i</v>
      </c>
      <c r="AK224" s="31">
        <f t="shared" si="196"/>
        <v>3.6590487255198547</v>
      </c>
      <c r="AL224" s="31">
        <f t="shared" si="197"/>
        <v>1.2957435793963039</v>
      </c>
      <c r="AM224" s="31" t="str">
        <f t="shared" si="179"/>
        <v>1+4.18365095534752i</v>
      </c>
      <c r="AN224" s="31">
        <f t="shared" si="198"/>
        <v>4.3015038435621813</v>
      </c>
      <c r="AO224" s="31">
        <f t="shared" si="199"/>
        <v>1.3361728084974593</v>
      </c>
      <c r="AP224" s="31" t="str">
        <f t="shared" si="180"/>
        <v>1+3.37618099960794i</v>
      </c>
      <c r="AQ224" s="31">
        <f t="shared" si="200"/>
        <v>3.5211643162615505</v>
      </c>
      <c r="AR224" s="31">
        <f t="shared" si="201"/>
        <v>1.2828361630586405</v>
      </c>
      <c r="AS224" s="58" t="str">
        <f t="shared" si="202"/>
        <v>-3.68694308708263+0.931740386898606i</v>
      </c>
      <c r="AT224" s="49">
        <f t="shared" si="203"/>
        <v>11.602190320476009</v>
      </c>
      <c r="AU224" s="61">
        <f t="shared" si="204"/>
        <v>165.81752214648012</v>
      </c>
      <c r="AV224" s="58" t="str">
        <f t="shared" si="181"/>
        <v>7.0221646038631+12.9342917924888i</v>
      </c>
      <c r="AW224" s="64">
        <f t="shared" si="205"/>
        <v>23.356718857301665</v>
      </c>
      <c r="AX224" s="61">
        <f t="shared" si="206"/>
        <v>61.501994062462835</v>
      </c>
    </row>
    <row r="225" spans="14:50" x14ac:dyDescent="0.35">
      <c r="N225" s="10">
        <v>7</v>
      </c>
      <c r="O225" s="50">
        <f t="shared" si="207"/>
        <v>1174.8975549395295</v>
      </c>
      <c r="P225" s="48" t="str">
        <f t="shared" si="172"/>
        <v>547.187404092767</v>
      </c>
      <c r="Q225" s="17" t="str">
        <f t="shared" si="173"/>
        <v>1+141.576339728445i</v>
      </c>
      <c r="R225" s="17">
        <f t="shared" si="182"/>
        <v>141.57987134795707</v>
      </c>
      <c r="S225" s="17">
        <f t="shared" si="183"/>
        <v>1.5637331171355766</v>
      </c>
      <c r="T225" s="17" t="str">
        <f t="shared" si="174"/>
        <v>1+0.00267889863628461i</v>
      </c>
      <c r="U225" s="17">
        <f t="shared" si="184"/>
        <v>1.000003588242514</v>
      </c>
      <c r="V225" s="17">
        <f t="shared" si="185"/>
        <v>2.6788922279420545E-3</v>
      </c>
      <c r="W225" s="31" t="str">
        <f t="shared" si="175"/>
        <v>1-0.0465197390090185i</v>
      </c>
      <c r="X225" s="17">
        <f t="shared" si="186"/>
        <v>1.001081458282725</v>
      </c>
      <c r="Y225" s="17">
        <f t="shared" si="187"/>
        <v>-4.6486224940872962E-2</v>
      </c>
      <c r="Z225" s="31" t="str">
        <f t="shared" si="176"/>
        <v>0.999543674623272+0.222581423598722i</v>
      </c>
      <c r="AA225" s="17">
        <f t="shared" si="188"/>
        <v>1.0240263900948192</v>
      </c>
      <c r="AB225" s="17">
        <f t="shared" si="189"/>
        <v>0.21910803477577573</v>
      </c>
      <c r="AC225" s="66" t="str">
        <f t="shared" si="190"/>
        <v>-0.956169598204899-3.65529163508975i</v>
      </c>
      <c r="AD225" s="64">
        <f t="shared" si="191"/>
        <v>11.545888105466997</v>
      </c>
      <c r="AE225" s="61">
        <f t="shared" si="192"/>
        <v>-104.65924882293891</v>
      </c>
      <c r="AF225" s="31" t="str">
        <f t="shared" si="177"/>
        <v>-6627.51882264077</v>
      </c>
      <c r="AG225" s="31" t="str">
        <f t="shared" si="193"/>
        <v>7382.09905463727i</v>
      </c>
      <c r="AH225" s="31">
        <f t="shared" si="194"/>
        <v>7382.0990546372695</v>
      </c>
      <c r="AI225" s="31">
        <f t="shared" si="195"/>
        <v>1.5707963267948966</v>
      </c>
      <c r="AJ225" s="31" t="str">
        <f t="shared" si="178"/>
        <v>0.993496520580761+3.60353474302591i</v>
      </c>
      <c r="AK225" s="31">
        <f t="shared" si="196"/>
        <v>3.7379804681941415</v>
      </c>
      <c r="AL225" s="31">
        <f t="shared" si="197"/>
        <v>1.3017789342780577</v>
      </c>
      <c r="AM225" s="31" t="str">
        <f t="shared" si="179"/>
        <v>1+4.28110070475579i</v>
      </c>
      <c r="AN225" s="31">
        <f t="shared" si="198"/>
        <v>4.3963420299449547</v>
      </c>
      <c r="AO225" s="31">
        <f t="shared" si="199"/>
        <v>1.3413259356748666</v>
      </c>
      <c r="AP225" s="31" t="str">
        <f t="shared" si="180"/>
        <v>1+3.45482235757024i</v>
      </c>
      <c r="AQ225" s="31">
        <f t="shared" si="200"/>
        <v>3.5966369739476338</v>
      </c>
      <c r="AR225" s="31">
        <f t="shared" si="201"/>
        <v>1.2890458670539209</v>
      </c>
      <c r="AS225" s="58" t="str">
        <f t="shared" si="202"/>
        <v>-3.68686486343362+0.910852432459419i</v>
      </c>
      <c r="AT225" s="49">
        <f t="shared" si="203"/>
        <v>11.590443018616831</v>
      </c>
      <c r="AU225" s="61">
        <f t="shared" si="204"/>
        <v>166.1227640534066</v>
      </c>
      <c r="AV225" s="58" t="str">
        <f t="shared" si="181"/>
        <v>6.85469937227515+12.6056368906465i</v>
      </c>
      <c r="AW225" s="64">
        <f t="shared" si="205"/>
        <v>23.136331124083803</v>
      </c>
      <c r="AX225" s="61">
        <f t="shared" si="206"/>
        <v>61.463515230467586</v>
      </c>
    </row>
    <row r="226" spans="14:50" x14ac:dyDescent="0.35">
      <c r="N226" s="10">
        <v>8</v>
      </c>
      <c r="O226" s="50">
        <f t="shared" si="207"/>
        <v>1202.2644346174138</v>
      </c>
      <c r="P226" s="48" t="str">
        <f t="shared" si="172"/>
        <v>547.187404092767</v>
      </c>
      <c r="Q226" s="17" t="str">
        <f t="shared" si="173"/>
        <v>1+144.874076316877i</v>
      </c>
      <c r="R226" s="17">
        <f t="shared" si="182"/>
        <v>144.87752754885173</v>
      </c>
      <c r="S226" s="17">
        <f t="shared" si="183"/>
        <v>1.5638938902502642</v>
      </c>
      <c r="T226" s="17" t="str">
        <f t="shared" si="174"/>
        <v>1+0.00274129820154051i</v>
      </c>
      <c r="U226" s="17">
        <f t="shared" si="184"/>
        <v>1.000003757350856</v>
      </c>
      <c r="V226" s="17">
        <f t="shared" si="185"/>
        <v>2.7412913348791408E-3</v>
      </c>
      <c r="W226" s="31" t="str">
        <f t="shared" si="175"/>
        <v>1-0.0476033229306583i</v>
      </c>
      <c r="X226" s="17">
        <f t="shared" si="186"/>
        <v>1.0011323970155199</v>
      </c>
      <c r="Y226" s="17">
        <f t="shared" si="187"/>
        <v>-4.7567414153092083E-2</v>
      </c>
      <c r="Z226" s="31" t="str">
        <f t="shared" si="176"/>
        <v>0.999522168670828+0.227766010980447i</v>
      </c>
      <c r="AA226" s="17">
        <f t="shared" si="188"/>
        <v>1.025144829486244</v>
      </c>
      <c r="AB226" s="17">
        <f t="shared" si="189"/>
        <v>0.22404911994217805</v>
      </c>
      <c r="AC226" s="66" t="str">
        <f t="shared" si="190"/>
        <v>-0.955256934086625-3.5625960183878i</v>
      </c>
      <c r="AD226" s="64">
        <f t="shared" si="191"/>
        <v>11.336859751867935</v>
      </c>
      <c r="AE226" s="61">
        <f t="shared" si="192"/>
        <v>-105.0099361433616</v>
      </c>
      <c r="AF226" s="31" t="str">
        <f t="shared" si="177"/>
        <v>-6627.51882264077</v>
      </c>
      <c r="AG226" s="31" t="str">
        <f t="shared" si="193"/>
        <v>7554.05023093271i</v>
      </c>
      <c r="AH226" s="31">
        <f t="shared" si="194"/>
        <v>7554.0502309327103</v>
      </c>
      <c r="AI226" s="31">
        <f t="shared" si="195"/>
        <v>1.5707963267948966</v>
      </c>
      <c r="AJ226" s="31" t="str">
        <f t="shared" si="178"/>
        <v>0.993190021038454+3.68747184997865i</v>
      </c>
      <c r="AK226" s="31">
        <f t="shared" si="196"/>
        <v>3.8188840074392592</v>
      </c>
      <c r="AL226" s="31">
        <f t="shared" si="197"/>
        <v>1.3076981433097485</v>
      </c>
      <c r="AM226" s="31" t="str">
        <f t="shared" si="179"/>
        <v>1+4.38082035042481i</v>
      </c>
      <c r="AN226" s="31">
        <f t="shared" si="198"/>
        <v>4.4935049730356544</v>
      </c>
      <c r="AO226" s="31">
        <f t="shared" si="199"/>
        <v>1.3463737790569572</v>
      </c>
      <c r="AP226" s="31" t="str">
        <f t="shared" si="180"/>
        <v>1+3.5352955080765i</v>
      </c>
      <c r="AQ226" s="31">
        <f t="shared" si="200"/>
        <v>3.6740052163035752</v>
      </c>
      <c r="AR226" s="31">
        <f t="shared" si="201"/>
        <v>1.2951358673755677</v>
      </c>
      <c r="AS226" s="58" t="str">
        <f t="shared" si="202"/>
        <v>-3.68678961983028+0.890445615129333i</v>
      </c>
      <c r="AT226" s="49">
        <f t="shared" si="203"/>
        <v>11.579192583095296</v>
      </c>
      <c r="AU226" s="61">
        <f t="shared" si="204"/>
        <v>166.42176979493553</v>
      </c>
      <c r="AV226" s="58" t="str">
        <f t="shared" si="181"/>
        <v>6.6941293519121+12.2839376719615i</v>
      </c>
      <c r="AW226" s="64">
        <f t="shared" si="205"/>
        <v>22.916052334963229</v>
      </c>
      <c r="AX226" s="61">
        <f t="shared" si="206"/>
        <v>61.411833651573943</v>
      </c>
    </row>
    <row r="227" spans="14:50" x14ac:dyDescent="0.35">
      <c r="N227" s="10">
        <v>9</v>
      </c>
      <c r="O227" s="50">
        <f t="shared" si="207"/>
        <v>1230.2687708123824</v>
      </c>
      <c r="P227" s="48" t="str">
        <f t="shared" si="172"/>
        <v>547.187404092767</v>
      </c>
      <c r="Q227" s="17" t="str">
        <f t="shared" si="173"/>
        <v>1+148.248627058208i</v>
      </c>
      <c r="R227" s="17">
        <f t="shared" si="182"/>
        <v>148.25199973235991</v>
      </c>
      <c r="S227" s="17">
        <f t="shared" si="183"/>
        <v>1.5640510040668703</v>
      </c>
      <c r="T227" s="17" t="str">
        <f t="shared" si="174"/>
        <v>1+0.00280515123938824i</v>
      </c>
      <c r="U227" s="17">
        <f t="shared" si="184"/>
        <v>1.0000039344289982</v>
      </c>
      <c r="V227" s="17">
        <f t="shared" si="185"/>
        <v>2.8051438816295835E-3</v>
      </c>
      <c r="W227" s="31" t="str">
        <f t="shared" si="175"/>
        <v>1-0.0487121467642203i</v>
      </c>
      <c r="X227" s="17">
        <f t="shared" si="186"/>
        <v>1.0011857336390579</v>
      </c>
      <c r="Y227" s="17">
        <f t="shared" si="187"/>
        <v>-4.8673672276554378E-2</v>
      </c>
      <c r="Z227" s="31" t="str">
        <f t="shared" si="176"/>
        <v>0.999499649174071+0.233071362916033i</v>
      </c>
      <c r="AA227" s="17">
        <f t="shared" si="188"/>
        <v>1.0263146734362849</v>
      </c>
      <c r="AB227" s="17">
        <f t="shared" si="189"/>
        <v>0.22909413629682535</v>
      </c>
      <c r="AC227" s="66" t="str">
        <f t="shared" si="190"/>
        <v>-0.954197851596064-3.4718318669253i</v>
      </c>
      <c r="AD227" s="64">
        <f t="shared" si="191"/>
        <v>11.127427090969315</v>
      </c>
      <c r="AE227" s="61">
        <f t="shared" si="192"/>
        <v>-105.36772168673852</v>
      </c>
      <c r="AF227" s="31" t="str">
        <f t="shared" si="177"/>
        <v>-6627.51882264077</v>
      </c>
      <c r="AG227" s="31" t="str">
        <f t="shared" si="193"/>
        <v>7730.00666465025i</v>
      </c>
      <c r="AH227" s="31">
        <f t="shared" si="194"/>
        <v>7730.0066646502501</v>
      </c>
      <c r="AI227" s="31">
        <f t="shared" si="195"/>
        <v>1.5707963267948966</v>
      </c>
      <c r="AJ227" s="31" t="str">
        <f t="shared" si="178"/>
        <v>0.992869076617739+3.7733641033157i</v>
      </c>
      <c r="AK227" s="31">
        <f t="shared" si="196"/>
        <v>3.9018028729672212</v>
      </c>
      <c r="AL227" s="31">
        <f t="shared" si="197"/>
        <v>1.3135027202653513</v>
      </c>
      <c r="AM227" s="31" t="str">
        <f t="shared" si="179"/>
        <v>1+4.48286276503062i</v>
      </c>
      <c r="AN227" s="31">
        <f t="shared" si="198"/>
        <v>4.5930445861212768</v>
      </c>
      <c r="AO227" s="31">
        <f t="shared" si="199"/>
        <v>1.3513179856355706</v>
      </c>
      <c r="AP227" s="31" t="str">
        <f t="shared" si="180"/>
        <v>1+3.61764311905631i</v>
      </c>
      <c r="AQ227" s="31">
        <f t="shared" si="200"/>
        <v>3.7533107700875861</v>
      </c>
      <c r="AR227" s="31">
        <f t="shared" si="201"/>
        <v>1.3011075853870808</v>
      </c>
      <c r="AS227" s="58" t="str">
        <f t="shared" si="202"/>
        <v>-3.68671725862757+0.870509219240025i</v>
      </c>
      <c r="AT227" s="49">
        <f t="shared" si="203"/>
        <v>11.568419271888406</v>
      </c>
      <c r="AU227" s="61">
        <f t="shared" si="204"/>
        <v>166.71462844201778</v>
      </c>
      <c r="AV227" s="58" t="str">
        <f t="shared" si="181"/>
        <v>6.54011933543434+11.9690244360533i</v>
      </c>
      <c r="AW227" s="64">
        <f t="shared" si="205"/>
        <v>22.695846362857729</v>
      </c>
      <c r="AX227" s="61">
        <f t="shared" si="206"/>
        <v>61.346906755279306</v>
      </c>
    </row>
    <row r="228" spans="14:50" x14ac:dyDescent="0.35">
      <c r="N228" s="10">
        <v>10</v>
      </c>
      <c r="O228" s="50">
        <f t="shared" si="207"/>
        <v>1258.925411794168</v>
      </c>
      <c r="P228" s="48" t="str">
        <f t="shared" si="172"/>
        <v>547.187404092767</v>
      </c>
      <c r="Q228" s="17" t="str">
        <f t="shared" si="173"/>
        <v>1+151.701781183907i</v>
      </c>
      <c r="R228" s="17">
        <f t="shared" si="182"/>
        <v>151.70507708830974</v>
      </c>
      <c r="S228" s="17">
        <f t="shared" si="183"/>
        <v>1.5642045418581756</v>
      </c>
      <c r="T228" s="17" t="str">
        <f t="shared" si="174"/>
        <v>1+0.00287049160555366i</v>
      </c>
      <c r="U228" s="17">
        <f t="shared" si="184"/>
        <v>1.0000041198525422</v>
      </c>
      <c r="V228" s="17">
        <f t="shared" si="185"/>
        <v>2.8704837215749708E-3</v>
      </c>
      <c r="W228" s="31" t="str">
        <f t="shared" si="175"/>
        <v>1-0.0498467984227783i</v>
      </c>
      <c r="X228" s="17">
        <f t="shared" si="186"/>
        <v>1.0012415808949413</v>
      </c>
      <c r="Y228" s="17">
        <f t="shared" si="187"/>
        <v>-4.9805575027032395E-2</v>
      </c>
      <c r="Z228" s="31" t="str">
        <f t="shared" si="176"/>
        <v>0.999476068366129+0.238500292373301i</v>
      </c>
      <c r="AA228" s="17">
        <f t="shared" si="188"/>
        <v>1.0275382234733483</v>
      </c>
      <c r="AB228" s="17">
        <f t="shared" si="189"/>
        <v>0.23424476090761034</v>
      </c>
      <c r="AC228" s="66" t="str">
        <f t="shared" si="190"/>
        <v>-0.952991443209626-3.38295388727023i</v>
      </c>
      <c r="AD228" s="64">
        <f t="shared" si="191"/>
        <v>10.917573128940226</v>
      </c>
      <c r="AE228" s="61">
        <f t="shared" si="192"/>
        <v>-105.73273735958901</v>
      </c>
      <c r="AF228" s="31" t="str">
        <f t="shared" si="177"/>
        <v>-6627.51882264077</v>
      </c>
      <c r="AG228" s="31" t="str">
        <f t="shared" si="193"/>
        <v>7910.06165022013i</v>
      </c>
      <c r="AH228" s="31">
        <f t="shared" si="194"/>
        <v>7910.0616502201301</v>
      </c>
      <c r="AI228" s="31">
        <f t="shared" si="195"/>
        <v>1.5707963267948966</v>
      </c>
      <c r="AJ228" s="31" t="str">
        <f t="shared" si="178"/>
        <v>0.992533006552471+3.8612570442467i</v>
      </c>
      <c r="AK228" s="31">
        <f t="shared" si="196"/>
        <v>3.9867816256776405</v>
      </c>
      <c r="AL228" s="31">
        <f t="shared" si="197"/>
        <v>1.3191942121338474</v>
      </c>
      <c r="AM228" s="31" t="str">
        <f t="shared" si="179"/>
        <v>1+4.58728205281216i</v>
      </c>
      <c r="AN228" s="31">
        <f t="shared" si="198"/>
        <v>4.6950140183020261</v>
      </c>
      <c r="AO228" s="31">
        <f t="shared" si="199"/>
        <v>1.3561602095611649</v>
      </c>
      <c r="AP228" s="31" t="str">
        <f t="shared" si="180"/>
        <v>1+3.70190885230302i</v>
      </c>
      <c r="AQ228" s="31">
        <f t="shared" si="200"/>
        <v>3.8345963478258649</v>
      </c>
      <c r="AR228" s="31">
        <f t="shared" si="201"/>
        <v>1.306962483018268</v>
      </c>
      <c r="AS228" s="58" t="str">
        <f t="shared" si="202"/>
        <v>-3.68664768356203+0.851032773184748i</v>
      </c>
      <c r="AT228" s="49">
        <f t="shared" si="203"/>
        <v>11.558104021541846</v>
      </c>
      <c r="AU228" s="61">
        <f t="shared" si="204"/>
        <v>167.00142989696201</v>
      </c>
      <c r="AV228" s="58" t="str">
        <f t="shared" si="181"/>
        <v>6.39234832480291+11.6607321613659i</v>
      </c>
      <c r="AW228" s="64">
        <f t="shared" si="205"/>
        <v>22.475677150482053</v>
      </c>
      <c r="AX228" s="61">
        <f t="shared" si="206"/>
        <v>61.268692537372942</v>
      </c>
    </row>
    <row r="229" spans="14:50" x14ac:dyDescent="0.35">
      <c r="N229" s="10">
        <v>11</v>
      </c>
      <c r="O229" s="50">
        <f t="shared" si="207"/>
        <v>1288.2495516931347</v>
      </c>
      <c r="P229" s="48" t="str">
        <f t="shared" si="172"/>
        <v>547.187404092767</v>
      </c>
      <c r="Q229" s="17" t="str">
        <f t="shared" si="173"/>
        <v>1+155.235369602i</v>
      </c>
      <c r="R229" s="17">
        <f t="shared" si="182"/>
        <v>155.23859048403381</v>
      </c>
      <c r="S229" s="17">
        <f t="shared" si="183"/>
        <v>1.564354585002977</v>
      </c>
      <c r="T229" s="17" t="str">
        <f t="shared" si="174"/>
        <v>1+0.00293735394436379i</v>
      </c>
      <c r="U229" s="17">
        <f t="shared" si="184"/>
        <v>1.0000043140147918</v>
      </c>
      <c r="V229" s="17">
        <f t="shared" si="185"/>
        <v>2.9373454965303911E-3</v>
      </c>
      <c r="W229" s="31" t="str">
        <f t="shared" si="175"/>
        <v>1-0.0510078795136603i</v>
      </c>
      <c r="X229" s="17">
        <f t="shared" si="186"/>
        <v>1.0013000568123822</v>
      </c>
      <c r="Y229" s="17">
        <f t="shared" si="187"/>
        <v>-5.0963710946170776E-2</v>
      </c>
      <c r="Z229" s="31" t="str">
        <f t="shared" si="176"/>
        <v>0.999451376228946+0.244055677842509i</v>
      </c>
      <c r="AA229" s="17">
        <f t="shared" si="188"/>
        <v>1.0288178786029627</v>
      </c>
      <c r="AB229" s="17">
        <f t="shared" si="189"/>
        <v>0.23950266292908859</v>
      </c>
      <c r="AC229" s="66" t="str">
        <f t="shared" si="190"/>
        <v>-0.951636604563259-3.29591794614837i</v>
      </c>
      <c r="AD229" s="64">
        <f t="shared" si="191"/>
        <v>10.707280248649365</v>
      </c>
      <c r="AE229" s="61">
        <f t="shared" si="192"/>
        <v>-106.10511519620846</v>
      </c>
      <c r="AF229" s="31" t="str">
        <f t="shared" si="177"/>
        <v>-6627.51882264077</v>
      </c>
      <c r="AG229" s="31" t="str">
        <f t="shared" si="193"/>
        <v>8094.31065517899i</v>
      </c>
      <c r="AH229" s="31">
        <f t="shared" si="194"/>
        <v>8094.3106551789897</v>
      </c>
      <c r="AI229" s="31">
        <f t="shared" si="195"/>
        <v>1.5707963267948966</v>
      </c>
      <c r="AJ229" s="31" t="str">
        <f t="shared" si="178"/>
        <v>0.992181097992983+3.95119727477235i</v>
      </c>
      <c r="AK229" s="31">
        <f t="shared" si="196"/>
        <v>4.0738658833328092</v>
      </c>
      <c r="AL229" s="31">
        <f t="shared" si="197"/>
        <v>1.3247741950762209</v>
      </c>
      <c r="AM229" s="31" t="str">
        <f t="shared" si="179"/>
        <v>1+4.69413357825795i</v>
      </c>
      <c r="AN229" s="31">
        <f t="shared" si="198"/>
        <v>4.7994676840800574</v>
      </c>
      <c r="AO229" s="31">
        <f t="shared" si="199"/>
        <v>1.3609021095395848</v>
      </c>
      <c r="AP229" s="31" t="str">
        <f t="shared" si="180"/>
        <v>1+3.78813738662376i</v>
      </c>
      <c r="AQ229" s="31">
        <f t="shared" si="200"/>
        <v>3.9179056726696073</v>
      </c>
      <c r="AR229" s="31">
        <f t="shared" si="201"/>
        <v>1.312702058327329</v>
      </c>
      <c r="AS229" s="58" t="str">
        <f t="shared" si="202"/>
        <v>-3.68658079988074+0.832006044075292i</v>
      </c>
      <c r="AT229" s="49">
        <f t="shared" si="203"/>
        <v>11.548228432603082</v>
      </c>
      <c r="AU229" s="61">
        <f t="shared" si="204"/>
        <v>167.28226472165235</v>
      </c>
      <c r="AV229" s="58" t="str">
        <f t="shared" si="181"/>
        <v>6.25050888681828+11.358900411493i</v>
      </c>
      <c r="AW229" s="64">
        <f t="shared" si="205"/>
        <v>22.255508681252433</v>
      </c>
      <c r="AX229" s="61">
        <f t="shared" si="206"/>
        <v>61.177149525443838</v>
      </c>
    </row>
    <row r="230" spans="14:50" x14ac:dyDescent="0.35">
      <c r="N230" s="10">
        <v>12</v>
      </c>
      <c r="O230" s="50">
        <f t="shared" si="207"/>
        <v>1318.2567385564089</v>
      </c>
      <c r="P230" s="48" t="str">
        <f t="shared" si="172"/>
        <v>547.187404092767</v>
      </c>
      <c r="Q230" s="17" t="str">
        <f t="shared" si="173"/>
        <v>1+158.85126586784i</v>
      </c>
      <c r="R230" s="17">
        <f t="shared" si="182"/>
        <v>158.85441343511735</v>
      </c>
      <c r="S230" s="17">
        <f t="shared" si="183"/>
        <v>1.5645012130290969</v>
      </c>
      <c r="T230" s="17" t="str">
        <f t="shared" si="174"/>
        <v>1+0.0030057737071157i</v>
      </c>
      <c r="U230" s="17">
        <f t="shared" si="184"/>
        <v>1.000004517327586</v>
      </c>
      <c r="V230" s="17">
        <f t="shared" si="185"/>
        <v>3.005764655101334E-3</v>
      </c>
      <c r="W230" s="31" t="str">
        <f t="shared" si="175"/>
        <v>1-0.0521960056574297i</v>
      </c>
      <c r="X230" s="17">
        <f t="shared" si="186"/>
        <v>1.0013612849549309</v>
      </c>
      <c r="Y230" s="17">
        <f t="shared" si="187"/>
        <v>-5.214868165884258E-2</v>
      </c>
      <c r="Z230" s="31" t="str">
        <f t="shared" si="176"/>
        <v>0.99942552038719+0.24974046486257i</v>
      </c>
      <c r="AA230" s="17">
        <f t="shared" si="188"/>
        <v>1.0301561389376748</v>
      </c>
      <c r="AB230" s="17">
        <f t="shared" si="189"/>
        <v>0.24486950074738476</v>
      </c>
      <c r="AC230" s="66" t="str">
        <f t="shared" si="190"/>
        <v>-0.950132041420984-3.21068105518487i</v>
      </c>
      <c r="AD230" s="64">
        <f t="shared" si="191"/>
        <v>10.496530195556566</v>
      </c>
      <c r="AE230" s="61">
        <f t="shared" si="192"/>
        <v>-106.48498721124179</v>
      </c>
      <c r="AF230" s="31" t="str">
        <f t="shared" si="177"/>
        <v>-6627.51882264077</v>
      </c>
      <c r="AG230" s="31" t="str">
        <f t="shared" si="193"/>
        <v>8282.85137078811i</v>
      </c>
      <c r="AH230" s="31">
        <f t="shared" si="194"/>
        <v>8282.8513707881102</v>
      </c>
      <c r="AI230" s="31">
        <f t="shared" si="195"/>
        <v>1.5707963267948966</v>
      </c>
      <c r="AJ230" s="31" t="str">
        <f t="shared" si="178"/>
        <v>0.99181260449404+4.04323248239336i</v>
      </c>
      <c r="AK230" s="31">
        <f t="shared" si="196"/>
        <v>4.1631023467017982</v>
      </c>
      <c r="AL230" s="31">
        <f t="shared" si="197"/>
        <v>1.3302442705909188</v>
      </c>
      <c r="AM230" s="31" t="str">
        <f t="shared" si="179"/>
        <v>1+4.80347399546115i</v>
      </c>
      <c r="AN230" s="31">
        <f t="shared" si="198"/>
        <v>4.9064612935466547</v>
      </c>
      <c r="AO230" s="31">
        <f t="shared" si="199"/>
        <v>1.3655453463985832</v>
      </c>
      <c r="AP230" s="31" t="str">
        <f t="shared" si="180"/>
        <v>1+3.87637444152883i</v>
      </c>
      <c r="AQ230" s="31">
        <f t="shared" si="200"/>
        <v>4.003283503692681</v>
      </c>
      <c r="AR230" s="31">
        <f t="shared" si="201"/>
        <v>1.318327841275406</v>
      </c>
      <c r="AS230" s="58" t="str">
        <f t="shared" si="202"/>
        <v>-3.68651651445391+0.813419032524272i</v>
      </c>
      <c r="AT230" s="49">
        <f t="shared" si="203"/>
        <v>11.538774754590257</v>
      </c>
      <c r="AU230" s="61">
        <f t="shared" si="204"/>
        <v>167.55722397572393</v>
      </c>
      <c r="AV230" s="58" t="str">
        <f t="shared" si="181"/>
        <v>6.11430653926275+11.0633732466804i</v>
      </c>
      <c r="AW230" s="64">
        <f t="shared" si="205"/>
        <v>22.035304950146845</v>
      </c>
      <c r="AX230" s="61">
        <f t="shared" si="206"/>
        <v>61.072236764482227</v>
      </c>
    </row>
    <row r="231" spans="14:50" x14ac:dyDescent="0.35">
      <c r="N231" s="10">
        <v>13</v>
      </c>
      <c r="O231" s="50">
        <f t="shared" si="207"/>
        <v>1348.9628825916541</v>
      </c>
      <c r="P231" s="48" t="str">
        <f t="shared" si="172"/>
        <v>547.187404092767</v>
      </c>
      <c r="Q231" s="17" t="str">
        <f t="shared" si="173"/>
        <v>1+162.551387177487i</v>
      </c>
      <c r="R231" s="17">
        <f t="shared" si="182"/>
        <v>162.5544630987574</v>
      </c>
      <c r="S231" s="17">
        <f t="shared" si="183"/>
        <v>1.5646445036554217</v>
      </c>
      <c r="T231" s="17" t="str">
        <f t="shared" si="174"/>
        <v>1+0.00307578717087323i</v>
      </c>
      <c r="U231" s="17">
        <f t="shared" si="184"/>
        <v>1.0000047302221726</v>
      </c>
      <c r="V231" s="17">
        <f t="shared" si="185"/>
        <v>3.0757774714675634E-3</v>
      </c>
      <c r="W231" s="31" t="str">
        <f t="shared" si="175"/>
        <v>1-0.0534118068142944i</v>
      </c>
      <c r="X231" s="17">
        <f t="shared" si="186"/>
        <v>1.0014253946785889</v>
      </c>
      <c r="Y231" s="17">
        <f t="shared" si="187"/>
        <v>-5.3361102133584686E-2</v>
      </c>
      <c r="Z231" s="31" t="str">
        <f t="shared" si="176"/>
        <v>0.999398445997154+0.255557667582805i</v>
      </c>
      <c r="AA231" s="17">
        <f t="shared" si="188"/>
        <v>1.031555609418072</v>
      </c>
      <c r="AB231" s="17">
        <f t="shared" si="189"/>
        <v>0.25034691894045963</v>
      </c>
      <c r="AC231" s="66" t="str">
        <f t="shared" si="190"/>
        <v>-0.94847627690213-3.1272013564254i</v>
      </c>
      <c r="AD231" s="64">
        <f t="shared" si="191"/>
        <v>10.285304064116589</v>
      </c>
      <c r="AE231" s="61">
        <f t="shared" si="192"/>
        <v>-106.87248524177367</v>
      </c>
      <c r="AF231" s="31" t="str">
        <f t="shared" si="177"/>
        <v>-6627.51882264077</v>
      </c>
      <c r="AG231" s="31" t="str">
        <f t="shared" si="193"/>
        <v>8475.7837638305i</v>
      </c>
      <c r="AH231" s="31">
        <f t="shared" si="194"/>
        <v>8475.7837638305009</v>
      </c>
      <c r="AI231" s="31">
        <f t="shared" si="195"/>
        <v>1.5707963267948966</v>
      </c>
      <c r="AJ231" s="31" t="str">
        <f t="shared" si="178"/>
        <v>0.991426744431526+4.13741146539504i</v>
      </c>
      <c r="AK231" s="31">
        <f t="shared" si="196"/>
        <v>4.2545388261897941</v>
      </c>
      <c r="AL231" s="31">
        <f t="shared" si="197"/>
        <v>1.3356060618843006</v>
      </c>
      <c r="AM231" s="31" t="str">
        <f t="shared" si="179"/>
        <v>1+4.91536127815823i</v>
      </c>
      <c r="AN231" s="31">
        <f t="shared" si="198"/>
        <v>5.0160518831863481</v>
      </c>
      <c r="AO231" s="31">
        <f t="shared" si="199"/>
        <v>1.3700915808176746</v>
      </c>
      <c r="AP231" s="31" t="str">
        <f t="shared" si="180"/>
        <v>1+3.96666680147267i</v>
      </c>
      <c r="AQ231" s="31">
        <f t="shared" si="200"/>
        <v>4.0907756616447957</v>
      </c>
      <c r="AR231" s="31">
        <f t="shared" si="201"/>
        <v>1.3238413897115722</v>
      </c>
      <c r="AS231" s="58" t="str">
        <f t="shared" si="202"/>
        <v>-3.68645473587113+0.795261967549289i</v>
      </c>
      <c r="AT231" s="49">
        <f t="shared" si="203"/>
        <v>11.529725870582766</v>
      </c>
      <c r="AU231" s="61">
        <f t="shared" si="204"/>
        <v>167.8263990644075</v>
      </c>
      <c r="AV231" s="58" t="str">
        <f t="shared" si="181"/>
        <v>5.98345916648094+10.773999140274i</v>
      </c>
      <c r="AW231" s="64">
        <f t="shared" si="205"/>
        <v>21.815029934699336</v>
      </c>
      <c r="AX231" s="61">
        <f t="shared" si="206"/>
        <v>60.95391382263378</v>
      </c>
    </row>
    <row r="232" spans="14:50" x14ac:dyDescent="0.35">
      <c r="N232" s="10">
        <v>14</v>
      </c>
      <c r="O232" s="50">
        <f t="shared" si="207"/>
        <v>1380.3842646028863</v>
      </c>
      <c r="P232" s="48" t="str">
        <f t="shared" si="172"/>
        <v>547.187404092767</v>
      </c>
      <c r="Q232" s="17" t="str">
        <f t="shared" si="173"/>
        <v>1+166.337695384238i</v>
      </c>
      <c r="R232" s="17">
        <f t="shared" si="182"/>
        <v>166.34070129027216</v>
      </c>
      <c r="S232" s="17">
        <f t="shared" si="183"/>
        <v>1.5647845328329879</v>
      </c>
      <c r="T232" s="17" t="str">
        <f t="shared" si="174"/>
        <v>1+0.00314743145770163i</v>
      </c>
      <c r="U232" s="17">
        <f t="shared" si="184"/>
        <v>1.0000049531501236</v>
      </c>
      <c r="V232" s="17">
        <f t="shared" si="185"/>
        <v>3.1474210646039893E-3</v>
      </c>
      <c r="W232" s="31" t="str">
        <f t="shared" si="175"/>
        <v>1-0.0546559276181209i</v>
      </c>
      <c r="X232" s="17">
        <f t="shared" si="186"/>
        <v>1.0014925214018311</v>
      </c>
      <c r="Y232" s="17">
        <f t="shared" si="187"/>
        <v>-5.4601600945985096E-2</v>
      </c>
      <c r="Z232" s="31" t="str">
        <f t="shared" si="176"/>
        <v>0.999370095630425+0.261510370361099i</v>
      </c>
      <c r="AA232" s="17">
        <f t="shared" si="188"/>
        <v>1.0330190036232461</v>
      </c>
      <c r="AB232" s="17">
        <f t="shared" si="189"/>
        <v>0.25593654504817837</v>
      </c>
      <c r="AC232" s="66" t="str">
        <f t="shared" si="190"/>
        <v>-0.946667659017554-3.04543810861038i</v>
      </c>
      <c r="AD232" s="64">
        <f t="shared" si="191"/>
        <v>10.073582284798256</v>
      </c>
      <c r="AE232" s="61">
        <f t="shared" si="192"/>
        <v>-107.26774077861096</v>
      </c>
      <c r="AF232" s="31" t="str">
        <f t="shared" si="177"/>
        <v>-6627.51882264077</v>
      </c>
      <c r="AG232" s="31" t="str">
        <f t="shared" si="193"/>
        <v>8673.21012961475i</v>
      </c>
      <c r="AH232" s="31">
        <f t="shared" si="194"/>
        <v>8673.2101296147503</v>
      </c>
      <c r="AI232" s="31">
        <f t="shared" si="195"/>
        <v>1.5707963267948966</v>
      </c>
      <c r="AJ232" s="31" t="str">
        <f t="shared" si="178"/>
        <v>0.991022699344514+4.23378415872079i</v>
      </c>
      <c r="AK232" s="31">
        <f t="shared" si="196"/>
        <v>4.3482242689690231</v>
      </c>
      <c r="AL232" s="31">
        <f t="shared" si="197"/>
        <v>1.3408612104419109</v>
      </c>
      <c r="AM232" s="31" t="str">
        <f t="shared" si="179"/>
        <v>1+5.02985475046749i</v>
      </c>
      <c r="AN232" s="31">
        <f t="shared" si="198"/>
        <v>5.1282978473174099</v>
      </c>
      <c r="AO232" s="31">
        <f t="shared" si="199"/>
        <v>1.3745424712148351</v>
      </c>
      <c r="AP232" s="31" t="str">
        <f t="shared" si="180"/>
        <v>1+4.0590623406597i</v>
      </c>
      <c r="AQ232" s="31">
        <f t="shared" si="200"/>
        <v>4.1804290551762513</v>
      </c>
      <c r="AR232" s="31">
        <f t="shared" si="201"/>
        <v>1.3292442855654103</v>
      </c>
      <c r="AS232" s="58" t="str">
        <f t="shared" si="202"/>
        <v>-3.68639537452297+0.777525301595368i</v>
      </c>
      <c r="AT232" s="49">
        <f t="shared" si="203"/>
        <v>11.521065281516327</v>
      </c>
      <c r="AU232" s="61">
        <f t="shared" si="204"/>
        <v>168.08988159574847</v>
      </c>
      <c r="AV232" s="58" t="str">
        <f t="shared" si="181"/>
        <v>5.85769646330011+10.4906308998891i</v>
      </c>
      <c r="AW232" s="64">
        <f t="shared" si="205"/>
        <v>21.594647566314592</v>
      </c>
      <c r="AX232" s="61">
        <f t="shared" si="206"/>
        <v>60.822140817137544</v>
      </c>
    </row>
    <row r="233" spans="14:50" x14ac:dyDescent="0.35">
      <c r="N233" s="10">
        <v>15</v>
      </c>
      <c r="O233" s="50">
        <f t="shared" si="207"/>
        <v>1412.5375446227545</v>
      </c>
      <c r="P233" s="48" t="str">
        <f t="shared" si="172"/>
        <v>547.187404092767</v>
      </c>
      <c r="Q233" s="17" t="str">
        <f t="shared" si="173"/>
        <v>1+170.212198038822i</v>
      </c>
      <c r="R233" s="17">
        <f t="shared" si="182"/>
        <v>170.21513552327582</v>
      </c>
      <c r="S233" s="17">
        <f t="shared" si="183"/>
        <v>1.5649213747851407</v>
      </c>
      <c r="T233" s="17" t="str">
        <f t="shared" si="174"/>
        <v>1+0.00322074455435007i</v>
      </c>
      <c r="U233" s="17">
        <f t="shared" si="184"/>
        <v>1.0000051865842918</v>
      </c>
      <c r="V233" s="17">
        <f t="shared" si="185"/>
        <v>3.2207334179484262E-3</v>
      </c>
      <c r="W233" s="31" t="str">
        <f t="shared" si="175"/>
        <v>1-0.0559290277182272i</v>
      </c>
      <c r="X233" s="17">
        <f t="shared" si="186"/>
        <v>1.0015628068880684</v>
      </c>
      <c r="Y233" s="17">
        <f t="shared" si="187"/>
        <v>-5.5870820544871386E-2</v>
      </c>
      <c r="Z233" s="31" t="str">
        <f t="shared" si="176"/>
        <v>0.999340409152076+0.267601729399257i</v>
      </c>
      <c r="AA233" s="17">
        <f t="shared" si="188"/>
        <v>1.0345491476685444</v>
      </c>
      <c r="AB233" s="17">
        <f t="shared" si="189"/>
        <v>0.26163998614693046</v>
      </c>
      <c r="AC233" s="66" t="str">
        <f t="shared" si="190"/>
        <v>-0.944704368565544-2.9653516741722i</v>
      </c>
      <c r="AD233" s="64">
        <f t="shared" si="191"/>
        <v>9.861344611829562</v>
      </c>
      <c r="AE233" s="61">
        <f t="shared" si="192"/>
        <v>-107.67088478644828</v>
      </c>
      <c r="AF233" s="31" t="str">
        <f t="shared" si="177"/>
        <v>-6627.51882264077</v>
      </c>
      <c r="AG233" s="31" t="str">
        <f t="shared" si="193"/>
        <v>8875.23514621322i</v>
      </c>
      <c r="AH233" s="31">
        <f t="shared" si="194"/>
        <v>8875.2351462132192</v>
      </c>
      <c r="AI233" s="31">
        <f t="shared" si="195"/>
        <v>1.5707963267948966</v>
      </c>
      <c r="AJ233" s="31" t="str">
        <f t="shared" si="178"/>
        <v>0.990599612199205+4.33240166044825i</v>
      </c>
      <c r="AK233" s="31">
        <f t="shared" si="196"/>
        <v>4.4442087866282751</v>
      </c>
      <c r="AL233" s="31">
        <f t="shared" si="197"/>
        <v>1.3460113727958447</v>
      </c>
      <c r="AM233" s="31" t="str">
        <f t="shared" si="179"/>
        <v>1+5.14701511834344i</v>
      </c>
      <c r="AN233" s="31">
        <f t="shared" si="198"/>
        <v>5.2432589701879051</v>
      </c>
      <c r="AO233" s="31">
        <f t="shared" si="199"/>
        <v>1.3788996717834914</v>
      </c>
      <c r="AP233" s="31" t="str">
        <f t="shared" si="180"/>
        <v>1+4.15361004842778i</v>
      </c>
      <c r="AQ233" s="31">
        <f t="shared" si="200"/>
        <v>4.272291707549968</v>
      </c>
      <c r="AR233" s="31">
        <f t="shared" si="201"/>
        <v>1.3345381312435256</v>
      </c>
      <c r="AS233" s="58" t="str">
        <f t="shared" si="202"/>
        <v>-3.68633834266871+0.760199705672373i</v>
      </c>
      <c r="AT233" s="49">
        <f t="shared" si="203"/>
        <v>11.512777090257121</v>
      </c>
      <c r="AU233" s="61">
        <f t="shared" si="204"/>
        <v>168.34776324688644</v>
      </c>
      <c r="AV233" s="58" t="str">
        <f t="shared" si="181"/>
        <v>5.73675940625058+10.2131255930669i</v>
      </c>
      <c r="AW233" s="64">
        <f t="shared" si="205"/>
        <v>21.374121702086683</v>
      </c>
      <c r="AX233" s="61">
        <f t="shared" si="206"/>
        <v>60.676878460438189</v>
      </c>
    </row>
    <row r="234" spans="14:50" x14ac:dyDescent="0.35">
      <c r="N234" s="10">
        <v>16</v>
      </c>
      <c r="O234" s="50">
        <f t="shared" si="207"/>
        <v>1445.4397707459289</v>
      </c>
      <c r="P234" s="48" t="str">
        <f t="shared" si="172"/>
        <v>547.187404092767</v>
      </c>
      <c r="Q234" s="17" t="str">
        <f t="shared" si="173"/>
        <v>1+174.17694945383i</v>
      </c>
      <c r="R234" s="17">
        <f t="shared" si="182"/>
        <v>174.17982007408909</v>
      </c>
      <c r="S234" s="17">
        <f t="shared" si="183"/>
        <v>1.5650551020467827</v>
      </c>
      <c r="T234" s="17" t="str">
        <f t="shared" si="174"/>
        <v>1+0.00329576533239283i</v>
      </c>
      <c r="U234" s="17">
        <f t="shared" si="184"/>
        <v>1.000005431019815</v>
      </c>
      <c r="V234" s="17">
        <f t="shared" si="185"/>
        <v>3.2957533995269777E-3</v>
      </c>
      <c r="W234" s="31" t="str">
        <f t="shared" si="175"/>
        <v>1-0.057231782129138i</v>
      </c>
      <c r="X234" s="17">
        <f t="shared" si="186"/>
        <v>1.0016363995411095</v>
      </c>
      <c r="Y234" s="17">
        <f t="shared" si="187"/>
        <v>-5.7169417521136398E-2</v>
      </c>
      <c r="Z234" s="31" t="str">
        <f t="shared" si="176"/>
        <v>0.999309323593106+0.273834974416471i</v>
      </c>
      <c r="AA234" s="17">
        <f t="shared" si="188"/>
        <v>1.0361489841879787</v>
      </c>
      <c r="AB234" s="17">
        <f t="shared" si="189"/>
        <v>0.2674588252241179</v>
      </c>
      <c r="AC234" s="66" t="str">
        <f t="shared" si="190"/>
        <v>-0.942584427438888-2.88690350692117i</v>
      </c>
      <c r="AD234" s="64">
        <f t="shared" si="191"/>
        <v>9.6485701117866842</v>
      </c>
      <c r="AE234" s="61">
        <f t="shared" si="192"/>
        <v>-108.08204751263965</v>
      </c>
      <c r="AF234" s="31" t="str">
        <f t="shared" si="177"/>
        <v>-6627.51882264077</v>
      </c>
      <c r="AG234" s="31" t="str">
        <f t="shared" si="193"/>
        <v>9081.96592996385i</v>
      </c>
      <c r="AH234" s="31">
        <f t="shared" si="194"/>
        <v>9081.9659299638497</v>
      </c>
      <c r="AI234" s="31">
        <f t="shared" si="195"/>
        <v>1.5707963267948966</v>
      </c>
      <c r="AJ234" s="31" t="str">
        <f t="shared" si="178"/>
        <v>0.990156585571038+4.4333162588822i</v>
      </c>
      <c r="AK234" s="31">
        <f t="shared" si="196"/>
        <v>4.5425436833583621</v>
      </c>
      <c r="AL234" s="31">
        <f t="shared" si="197"/>
        <v>1.3510582174830219</v>
      </c>
      <c r="AM234" s="31" t="str">
        <f t="shared" si="179"/>
        <v>1+5.26690450176394i</v>
      </c>
      <c r="AN234" s="31">
        <f t="shared" si="198"/>
        <v>5.3609964587473149</v>
      </c>
      <c r="AO234" s="31">
        <f t="shared" si="199"/>
        <v>1.3831648306732571</v>
      </c>
      <c r="AP234" s="31" t="str">
        <f t="shared" si="180"/>
        <v>1+4.25036005522308i</v>
      </c>
      <c r="AQ234" s="31">
        <f t="shared" si="200"/>
        <v>4.3664127838576992</v>
      </c>
      <c r="AR234" s="31">
        <f t="shared" si="201"/>
        <v>1.3397245462257308</v>
      </c>
      <c r="AS234" s="58" t="str">
        <f t="shared" si="202"/>
        <v>-3.68628355449136+0.743276064604275i</v>
      </c>
      <c r="AT234" s="49">
        <f t="shared" si="203"/>
        <v>11.504845985524334</v>
      </c>
      <c r="AU234" s="61">
        <f t="shared" si="204"/>
        <v>168.6001356390733</v>
      </c>
      <c r="AV234" s="58" t="str">
        <f t="shared" si="181"/>
        <v>5.62039975110427+9.94134447718289i</v>
      </c>
      <c r="AW234" s="64">
        <f t="shared" si="205"/>
        <v>21.153416097311016</v>
      </c>
      <c r="AX234" s="61">
        <f t="shared" si="206"/>
        <v>60.518088126433675</v>
      </c>
    </row>
    <row r="235" spans="14:50" x14ac:dyDescent="0.35">
      <c r="N235" s="10">
        <v>17</v>
      </c>
      <c r="O235" s="50">
        <f t="shared" si="207"/>
        <v>1479.1083881682086</v>
      </c>
      <c r="P235" s="48" t="str">
        <f t="shared" si="172"/>
        <v>547.187404092767</v>
      </c>
      <c r="Q235" s="17" t="str">
        <f t="shared" si="173"/>
        <v>1+178.234051792944i</v>
      </c>
      <c r="R235" s="17">
        <f t="shared" si="182"/>
        <v>178.23685707094884</v>
      </c>
      <c r="S235" s="17">
        <f t="shared" si="183"/>
        <v>1.5651857855027358</v>
      </c>
      <c r="T235" s="17" t="str">
        <f t="shared" si="174"/>
        <v>1+0.00337253356883944i</v>
      </c>
      <c r="U235" s="17">
        <f t="shared" si="184"/>
        <v>1.0000056869751657</v>
      </c>
      <c r="V235" s="17">
        <f t="shared" si="185"/>
        <v>3.3725207825472401E-3</v>
      </c>
      <c r="W235" s="31" t="str">
        <f t="shared" si="175"/>
        <v>1-0.0585648815884858i</v>
      </c>
      <c r="X235" s="17">
        <f t="shared" si="186"/>
        <v>1.0017134547142079</v>
      </c>
      <c r="Y235" s="17">
        <f t="shared" si="187"/>
        <v>-5.8498062879014052E-2</v>
      </c>
      <c r="Z235" s="31" t="str">
        <f t="shared" si="176"/>
        <v>0.999276773016876+0.280213410361754i</v>
      </c>
      <c r="AA235" s="17">
        <f t="shared" si="188"/>
        <v>1.0378215763981715</v>
      </c>
      <c r="AB235" s="17">
        <f t="shared" si="189"/>
        <v>0.27339461734832038</v>
      </c>
      <c r="AC235" s="66" t="str">
        <f t="shared" si="190"/>
        <v>-0.940305707394829-2.81005614038206i</v>
      </c>
      <c r="AD235" s="64">
        <f t="shared" si="191"/>
        <v>9.4352371531536754</v>
      </c>
      <c r="AE235" s="61">
        <f t="shared" si="192"/>
        <v>-108.50135828432646</v>
      </c>
      <c r="AF235" s="31" t="str">
        <f t="shared" si="177"/>
        <v>-6627.51882264077</v>
      </c>
      <c r="AG235" s="31" t="str">
        <f t="shared" si="193"/>
        <v>9293.51209226457i</v>
      </c>
      <c r="AH235" s="31">
        <f t="shared" si="194"/>
        <v>9293.5120922645692</v>
      </c>
      <c r="AI235" s="31">
        <f t="shared" si="195"/>
        <v>1.5707963267948966</v>
      </c>
      <c r="AJ235" s="31" t="str">
        <f t="shared" si="178"/>
        <v>0.989692679741138+4.53658146027849i</v>
      </c>
      <c r="AK235" s="31">
        <f t="shared" si="196"/>
        <v>4.6432814846911565</v>
      </c>
      <c r="AL235" s="31">
        <f t="shared" si="197"/>
        <v>1.3560034221887562</v>
      </c>
      <c r="AM235" s="31" t="str">
        <f t="shared" si="179"/>
        <v>1+5.389586467667i</v>
      </c>
      <c r="AN235" s="31">
        <f t="shared" si="198"/>
        <v>5.4815729761136298</v>
      </c>
      <c r="AO235" s="31">
        <f t="shared" si="199"/>
        <v>1.3873395883078881</v>
      </c>
      <c r="AP235" s="31" t="str">
        <f t="shared" si="180"/>
        <v>1+4.34936365917981i</v>
      </c>
      <c r="AQ235" s="31">
        <f t="shared" si="200"/>
        <v>4.4628426187570165</v>
      </c>
      <c r="AR235" s="31">
        <f t="shared" si="201"/>
        <v>1.3448051638560581</v>
      </c>
      <c r="AS235" s="58" t="str">
        <f t="shared" si="202"/>
        <v>-3.6862309261405+0.726745472387242i</v>
      </c>
      <c r="AT235" s="49">
        <f t="shared" si="203"/>
        <v>11.497257225723187</v>
      </c>
      <c r="AU235" s="61">
        <f t="shared" si="204"/>
        <v>168.84709022109837</v>
      </c>
      <c r="AV235" s="58" t="str">
        <f t="shared" si="181"/>
        <v>5.50837955580187+9.67515293335829i</v>
      </c>
      <c r="AW235" s="64">
        <f t="shared" si="205"/>
        <v>20.932494378876868</v>
      </c>
      <c r="AX235" s="61">
        <f t="shared" si="206"/>
        <v>60.345731936771912</v>
      </c>
    </row>
    <row r="236" spans="14:50" x14ac:dyDescent="0.35">
      <c r="N236" s="10">
        <v>18</v>
      </c>
      <c r="O236" s="50">
        <f t="shared" si="207"/>
        <v>1513.5612484362093</v>
      </c>
      <c r="P236" s="48" t="str">
        <f t="shared" si="172"/>
        <v>547.187404092767</v>
      </c>
      <c r="Q236" s="17" t="str">
        <f t="shared" si="173"/>
        <v>1+182.385656185524i</v>
      </c>
      <c r="R236" s="17">
        <f t="shared" si="182"/>
        <v>182.38839760857644</v>
      </c>
      <c r="S236" s="17">
        <f t="shared" si="183"/>
        <v>1.5653134944252332</v>
      </c>
      <c r="T236" s="17" t="str">
        <f t="shared" si="174"/>
        <v>1+0.003451089967225i</v>
      </c>
      <c r="U236" s="17">
        <f t="shared" si="184"/>
        <v>1.0000059549932501</v>
      </c>
      <c r="V236" s="17">
        <f t="shared" si="185"/>
        <v>3.4510762664704715E-3</v>
      </c>
      <c r="W236" s="31" t="str">
        <f t="shared" si="175"/>
        <v>1-0.0599290329232497i</v>
      </c>
      <c r="X236" s="17">
        <f t="shared" si="186"/>
        <v>1.0017941350332991</v>
      </c>
      <c r="Y236" s="17">
        <f t="shared" si="187"/>
        <v>-5.9857442309600765E-2</v>
      </c>
      <c r="Z236" s="31" t="str">
        <f t="shared" si="176"/>
        <v>0.99924268837925+0.286740419166274i</v>
      </c>
      <c r="AA236" s="17">
        <f t="shared" si="188"/>
        <v>1.0395701122401708</v>
      </c>
      <c r="AB236" s="17">
        <f t="shared" si="189"/>
        <v>0.27944888563167136</v>
      </c>
      <c r="AC236" s="66" t="str">
        <f t="shared" si="190"/>
        <v>-0.937865939339912-2.73477317673904i</v>
      </c>
      <c r="AD236" s="64">
        <f t="shared" si="191"/>
        <v>9.2213233969894617</v>
      </c>
      <c r="AE236" s="61">
        <f t="shared" si="192"/>
        <v>-108.92894529371077</v>
      </c>
      <c r="AF236" s="31" t="str">
        <f t="shared" si="177"/>
        <v>-6627.51882264077</v>
      </c>
      <c r="AG236" s="31" t="str">
        <f t="shared" si="193"/>
        <v>9509.98579769078i</v>
      </c>
      <c r="AH236" s="31">
        <f t="shared" si="194"/>
        <v>9509.9857976907806</v>
      </c>
      <c r="AI236" s="31">
        <f t="shared" si="195"/>
        <v>1.5707963267948966</v>
      </c>
      <c r="AJ236" s="31" t="str">
        <f t="shared" si="178"/>
        <v>0.989206910703042+4.64225201721377i</v>
      </c>
      <c r="AK236" s="31">
        <f t="shared" si="196"/>
        <v>4.7464759668103209</v>
      </c>
      <c r="AL236" s="31">
        <f t="shared" si="197"/>
        <v>1.3608486710697316</v>
      </c>
      <c r="AM236" s="31" t="str">
        <f t="shared" si="179"/>
        <v>1+5.51512606365482i</v>
      </c>
      <c r="AN236" s="31">
        <f t="shared" si="198"/>
        <v>5.6050526757564647</v>
      </c>
      <c r="AO236" s="31">
        <f t="shared" si="199"/>
        <v>1.3914255758340099</v>
      </c>
      <c r="AP236" s="31" t="str">
        <f t="shared" si="180"/>
        <v>1+4.45067335331928i</v>
      </c>
      <c r="AQ236" s="31">
        <f t="shared" si="200"/>
        <v>4.5616327447468068</v>
      </c>
      <c r="AR236" s="31">
        <f t="shared" si="201"/>
        <v>1.3497816283233257</v>
      </c>
      <c r="AS236" s="58" t="str">
        <f t="shared" si="202"/>
        <v>-3.6861803757645+0.710599227653665i</v>
      </c>
      <c r="AT236" s="49">
        <f t="shared" si="203"/>
        <v>11.48999662274737</v>
      </c>
      <c r="AU236" s="61">
        <f t="shared" si="204"/>
        <v>169.08871816078914</v>
      </c>
      <c r="AV236" s="58" t="str">
        <f t="shared" si="181"/>
        <v>5.40047072789144+9.41442040412497i</v>
      </c>
      <c r="AW236" s="64">
        <f t="shared" si="205"/>
        <v>20.711320019736831</v>
      </c>
      <c r="AX236" s="61">
        <f t="shared" si="206"/>
        <v>60.159772867078388</v>
      </c>
    </row>
    <row r="237" spans="14:50" x14ac:dyDescent="0.35">
      <c r="N237" s="10">
        <v>19</v>
      </c>
      <c r="O237" s="50">
        <f t="shared" si="207"/>
        <v>1548.8166189124822</v>
      </c>
      <c r="P237" s="48" t="str">
        <f t="shared" si="172"/>
        <v>547.187404092767</v>
      </c>
      <c r="Q237" s="17" t="str">
        <f t="shared" si="173"/>
        <v>1+186.633963867174i</v>
      </c>
      <c r="R237" s="17">
        <f t="shared" si="182"/>
        <v>186.63664288872536</v>
      </c>
      <c r="S237" s="17">
        <f t="shared" si="183"/>
        <v>1.5654382965105631</v>
      </c>
      <c r="T237" s="17" t="str">
        <f t="shared" si="174"/>
        <v>1+0.00353147617919176i</v>
      </c>
      <c r="U237" s="17">
        <f t="shared" si="184"/>
        <v>1.0000062356425605</v>
      </c>
      <c r="V237" s="17">
        <f t="shared" si="185"/>
        <v>3.5314614985737305E-3</v>
      </c>
      <c r="W237" s="31" t="str">
        <f t="shared" si="175"/>
        <v>1-0.061324959424524i</v>
      </c>
      <c r="X237" s="17">
        <f t="shared" si="186"/>
        <v>1.0018786107350628</v>
      </c>
      <c r="Y237" s="17">
        <f t="shared" si="187"/>
        <v>-6.1248256466391413E-2</v>
      </c>
      <c r="Z237" s="31" t="str">
        <f t="shared" si="176"/>
        <v>0.999206997382142+0.293419461536494i</v>
      </c>
      <c r="AA237" s="17">
        <f t="shared" si="188"/>
        <v>1.0413979085948859</v>
      </c>
      <c r="AB237" s="17">
        <f t="shared" si="189"/>
        <v>0.28562311698171</v>
      </c>
      <c r="AC237" s="66" t="str">
        <f t="shared" si="190"/>
        <v>-0.93526272318112-2.66101927634094i</v>
      </c>
      <c r="AD237" s="64">
        <f t="shared" si="191"/>
        <v>9.0068057888440372</v>
      </c>
      <c r="AE237" s="61">
        <f t="shared" si="192"/>
        <v>-109.36493537130562</v>
      </c>
      <c r="AF237" s="31" t="str">
        <f t="shared" si="177"/>
        <v>-6627.51882264077</v>
      </c>
      <c r="AG237" s="31" t="str">
        <f t="shared" si="193"/>
        <v>9731.50182346647i</v>
      </c>
      <c r="AH237" s="31">
        <f t="shared" si="194"/>
        <v>9731.5018234664694</v>
      </c>
      <c r="AI237" s="31">
        <f t="shared" si="195"/>
        <v>1.5707963267948966</v>
      </c>
      <c r="AJ237" s="31" t="str">
        <f t="shared" si="178"/>
        <v>0.988698248075493+4.75038395761604i</v>
      </c>
      <c r="AK237" s="31">
        <f t="shared" si="196"/>
        <v>4.8521821864521302</v>
      </c>
      <c r="AL237" s="31">
        <f t="shared" si="197"/>
        <v>1.3655956522502268</v>
      </c>
      <c r="AM237" s="31" t="str">
        <f t="shared" si="179"/>
        <v>1+5.64358985248291i</v>
      </c>
      <c r="AN237" s="31">
        <f t="shared" si="198"/>
        <v>5.7315012364168672</v>
      </c>
      <c r="AO237" s="31">
        <f t="shared" si="199"/>
        <v>1.3954244136942566</v>
      </c>
      <c r="AP237" s="31" t="str">
        <f t="shared" si="180"/>
        <v>1+4.5543428533823i</v>
      </c>
      <c r="AQ237" s="31">
        <f t="shared" si="200"/>
        <v>4.6628359209985533</v>
      </c>
      <c r="AR237" s="31">
        <f t="shared" si="201"/>
        <v>1.354655591825574</v>
      </c>
      <c r="AS237" s="58" t="str">
        <f t="shared" si="202"/>
        <v>-3.68613182353232+0.694828829239447i</v>
      </c>
      <c r="AT237" s="49">
        <f t="shared" si="203"/>
        <v>11.483050525801406</v>
      </c>
      <c r="AU237" s="61">
        <f t="shared" si="204"/>
        <v>169.32511024424753</v>
      </c>
      <c r="AV237" s="58" t="str">
        <f t="shared" si="181"/>
        <v>5.296454595645+9.15902033457405i</v>
      </c>
      <c r="AW237" s="64">
        <f t="shared" si="205"/>
        <v>20.489856314645444</v>
      </c>
      <c r="AX237" s="61">
        <f t="shared" si="206"/>
        <v>59.96017487294192</v>
      </c>
    </row>
    <row r="238" spans="14:50" x14ac:dyDescent="0.35">
      <c r="N238" s="10">
        <v>20</v>
      </c>
      <c r="O238" s="50">
        <f t="shared" si="207"/>
        <v>1584.8931924611156</v>
      </c>
      <c r="P238" s="48" t="str">
        <f t="shared" si="172"/>
        <v>547.187404092767</v>
      </c>
      <c r="Q238" s="17" t="str">
        <f t="shared" si="173"/>
        <v>1+190.981227346859i</v>
      </c>
      <c r="R238" s="17">
        <f t="shared" si="182"/>
        <v>190.98384538728041</v>
      </c>
      <c r="S238" s="17">
        <f t="shared" si="183"/>
        <v>1.565560257914884</v>
      </c>
      <c r="T238" s="17" t="str">
        <f t="shared" si="174"/>
        <v>1+0.00361373482657334i</v>
      </c>
      <c r="U238" s="17">
        <f t="shared" si="184"/>
        <v>1.0000065295183811</v>
      </c>
      <c r="V238" s="17">
        <f t="shared" si="185"/>
        <v>3.613719096013256E-3</v>
      </c>
      <c r="W238" s="31" t="str">
        <f t="shared" si="175"/>
        <v>1-0.062753401231017i</v>
      </c>
      <c r="X238" s="17">
        <f t="shared" si="186"/>
        <v>1.0019670600204684</v>
      </c>
      <c r="Y238" s="17">
        <f t="shared" si="187"/>
        <v>-6.2671221242578179E-2</v>
      </c>
      <c r="Z238" s="31" t="str">
        <f t="shared" si="176"/>
        <v>0.999169624320162+0.300254078789087i</v>
      </c>
      <c r="AA238" s="17">
        <f t="shared" si="188"/>
        <v>1.0433084155673129</v>
      </c>
      <c r="AB238" s="17">
        <f t="shared" si="189"/>
        <v>0.29191875764090042</v>
      </c>
      <c r="AC238" s="66" t="str">
        <f t="shared" si="190"/>
        <v>-0.932493538294619-2.58876014771513i</v>
      </c>
      <c r="AD238" s="64">
        <f t="shared" si="191"/>
        <v>8.7916605520789002</v>
      </c>
      <c r="AE238" s="61">
        <f t="shared" si="192"/>
        <v>-109.80945374704433</v>
      </c>
      <c r="AF238" s="31" t="str">
        <f t="shared" si="177"/>
        <v>-6627.51882264077</v>
      </c>
      <c r="AG238" s="31" t="str">
        <f t="shared" si="193"/>
        <v>9958.17762032063i</v>
      </c>
      <c r="AH238" s="31">
        <f t="shared" si="194"/>
        <v>9958.17762032063</v>
      </c>
      <c r="AI238" s="31">
        <f t="shared" si="195"/>
        <v>1.5707963267948966</v>
      </c>
      <c r="AJ238" s="31" t="str">
        <f t="shared" si="178"/>
        <v>0.988165612916859+4.86103461447141i</v>
      </c>
      <c r="AK238" s="31">
        <f t="shared" si="196"/>
        <v>4.9604565114151091</v>
      </c>
      <c r="AL238" s="31">
        <f t="shared" si="197"/>
        <v>1.3702460554852647</v>
      </c>
      <c r="AM238" s="31" t="str">
        <f t="shared" si="179"/>
        <v>1+5.77504594735255i</v>
      </c>
      <c r="AN238" s="31">
        <f t="shared" si="198"/>
        <v>5.860985897784869</v>
      </c>
      <c r="AO238" s="31">
        <f t="shared" si="199"/>
        <v>1.3993377103185716</v>
      </c>
      <c r="AP238" s="31" t="str">
        <f t="shared" si="180"/>
        <v>1+4.66042712631005i</v>
      </c>
      <c r="AQ238" s="31">
        <f t="shared" si="200"/>
        <v>4.7665061627618348</v>
      </c>
      <c r="AR238" s="31">
        <f t="shared" si="201"/>
        <v>1.3594287119124246</v>
      </c>
      <c r="AS238" s="58" t="str">
        <f t="shared" si="202"/>
        <v>-3.68608519164647+0.679425971851877i</v>
      </c>
      <c r="AT238" s="49">
        <f t="shared" si="203"/>
        <v>11.476405805291792</v>
      </c>
      <c r="AU238" s="61">
        <f t="shared" si="204"/>
        <v>169.55635678248771</v>
      </c>
      <c r="AV238" s="58" t="str">
        <f t="shared" si="181"/>
        <v>5.19612150206658+8.90883011671585i</v>
      </c>
      <c r="AW238" s="64">
        <f t="shared" si="205"/>
        <v>20.268066357370689</v>
      </c>
      <c r="AX238" s="61">
        <f t="shared" si="206"/>
        <v>59.746903035443346</v>
      </c>
    </row>
    <row r="239" spans="14:50" x14ac:dyDescent="0.35">
      <c r="N239" s="10">
        <v>21</v>
      </c>
      <c r="O239" s="50">
        <f t="shared" si="207"/>
        <v>1621.8100973589308</v>
      </c>
      <c r="P239" s="48" t="str">
        <f t="shared" si="172"/>
        <v>547.187404092767</v>
      </c>
      <c r="Q239" s="17" t="str">
        <f t="shared" si="173"/>
        <v>1+195.429751601217i</v>
      </c>
      <c r="R239" s="17">
        <f t="shared" si="182"/>
        <v>195.43231004855204</v>
      </c>
      <c r="S239" s="17">
        <f t="shared" si="183"/>
        <v>1.5656794432892247</v>
      </c>
      <c r="T239" s="17" t="str">
        <f t="shared" si="174"/>
        <v>1+0.00369790952399339i</v>
      </c>
      <c r="U239" s="17">
        <f t="shared" si="184"/>
        <v>1.0000068372440498</v>
      </c>
      <c r="V239" s="17">
        <f t="shared" si="185"/>
        <v>3.6978926684008021E-3</v>
      </c>
      <c r="W239" s="31" t="str">
        <f t="shared" si="175"/>
        <v>1-0.064215115721482i</v>
      </c>
      <c r="X239" s="17">
        <f t="shared" si="186"/>
        <v>1.0020596694244925</v>
      </c>
      <c r="Y239" s="17">
        <f t="shared" si="187"/>
        <v>-6.4127068049831676E-2</v>
      </c>
      <c r="Z239" s="31" t="str">
        <f t="shared" si="176"/>
        <v>0.999130489920035+0.307247894728585i</v>
      </c>
      <c r="AA239" s="17">
        <f t="shared" si="188"/>
        <v>1.0453052208340856</v>
      </c>
      <c r="AB239" s="17">
        <f t="shared" si="189"/>
        <v>0.29833720851299617</v>
      </c>
      <c r="AC239" s="66" t="str">
        <f t="shared" si="190"/>
        <v>-0.929555754661795-2.51796253803151i</v>
      </c>
      <c r="AD239" s="64">
        <f t="shared" si="191"/>
        <v>8.5758631827510463</v>
      </c>
      <c r="AE239" s="61">
        <f t="shared" si="192"/>
        <v>-110.26262379918587</v>
      </c>
      <c r="AF239" s="31" t="str">
        <f t="shared" si="177"/>
        <v>-6627.51882264077</v>
      </c>
      <c r="AG239" s="31" t="str">
        <f t="shared" si="193"/>
        <v>10190.1333747611i</v>
      </c>
      <c r="AH239" s="31">
        <f t="shared" si="194"/>
        <v>10190.133374761101</v>
      </c>
      <c r="AI239" s="31">
        <f t="shared" si="195"/>
        <v>1.5707963267948966</v>
      </c>
      <c r="AJ239" s="31" t="str">
        <f t="shared" si="178"/>
        <v>0.987607875436559+4.97426265622277i</v>
      </c>
      <c r="AK239" s="31">
        <f t="shared" si="196"/>
        <v>5.0713566516975241</v>
      </c>
      <c r="AL239" s="31">
        <f t="shared" si="197"/>
        <v>1.3748015699842318</v>
      </c>
      <c r="AM239" s="31" t="str">
        <f t="shared" si="179"/>
        <v>1+5.90956404802521i</v>
      </c>
      <c r="AN239" s="31">
        <f t="shared" si="198"/>
        <v>5.993575496956062</v>
      </c>
      <c r="AO239" s="31">
        <f t="shared" si="199"/>
        <v>1.4031670609275664</v>
      </c>
      <c r="AP239" s="31" t="str">
        <f t="shared" si="180"/>
        <v>1+4.76898241938819i</v>
      </c>
      <c r="AQ239" s="31">
        <f t="shared" si="200"/>
        <v>4.8726987713620913</v>
      </c>
      <c r="AR239" s="31">
        <f t="shared" si="201"/>
        <v>1.364102648999151</v>
      </c>
      <c r="AS239" s="58" t="str">
        <f t="shared" si="202"/>
        <v>-3.68604040434696+0.664382541835669i</v>
      </c>
      <c r="AT239" s="49">
        <f t="shared" si="203"/>
        <v>11.470049836826892</v>
      </c>
      <c r="AU239" s="61">
        <f t="shared" si="204"/>
        <v>169.78254752513661</v>
      </c>
      <c r="AV239" s="58" t="str">
        <f t="shared" si="181"/>
        <v>5.09927042104097+8.66373103675599i</v>
      </c>
      <c r="AW239" s="64">
        <f t="shared" si="205"/>
        <v>20.045913019577938</v>
      </c>
      <c r="AX239" s="61">
        <f t="shared" si="206"/>
        <v>59.51992372595074</v>
      </c>
    </row>
    <row r="240" spans="14:50" x14ac:dyDescent="0.35">
      <c r="N240" s="10">
        <v>22</v>
      </c>
      <c r="O240" s="50">
        <f t="shared" si="207"/>
        <v>1659.5869074375626</v>
      </c>
      <c r="P240" s="48" t="str">
        <f t="shared" si="172"/>
        <v>547.187404092767</v>
      </c>
      <c r="Q240" s="17" t="str">
        <f t="shared" si="173"/>
        <v>1+199.981895296695i</v>
      </c>
      <c r="R240" s="17">
        <f t="shared" si="182"/>
        <v>199.98439550739522</v>
      </c>
      <c r="S240" s="17">
        <f t="shared" si="183"/>
        <v>1.5657959158136967</v>
      </c>
      <c r="T240" s="17" t="str">
        <f t="shared" si="174"/>
        <v>1+0.00378404490199071i</v>
      </c>
      <c r="U240" s="17">
        <f t="shared" si="184"/>
        <v>1.0000071594722812</v>
      </c>
      <c r="V240" s="17">
        <f t="shared" si="185"/>
        <v>3.7840268409048343E-3</v>
      </c>
      <c r="W240" s="31" t="str">
        <f t="shared" si="175"/>
        <v>1-0.0657108779162904i</v>
      </c>
      <c r="X240" s="17">
        <f t="shared" si="186"/>
        <v>1.0021566342027226</v>
      </c>
      <c r="Y240" s="17">
        <f t="shared" si="187"/>
        <v>-6.5616544098258969E-2</v>
      </c>
      <c r="Z240" s="31" t="str">
        <f t="shared" si="176"/>
        <v>0.99908951117245+0.314404617568777i</v>
      </c>
      <c r="AA240" s="17">
        <f t="shared" si="188"/>
        <v>1.0473920540482318</v>
      </c>
      <c r="AB240" s="17">
        <f t="shared" si="189"/>
        <v>0.30487982027659949</v>
      </c>
      <c r="AC240" s="66" t="str">
        <f t="shared" si="190"/>
        <v>-0.926446644721079-2.44859422395318i</v>
      </c>
      <c r="AD240" s="64">
        <f t="shared" si="191"/>
        <v>8.359388446230728</v>
      </c>
      <c r="AE240" s="61">
        <f t="shared" si="192"/>
        <v>-110.7245667910188</v>
      </c>
      <c r="AF240" s="31" t="str">
        <f t="shared" si="177"/>
        <v>-6627.51882264077</v>
      </c>
      <c r="AG240" s="31" t="str">
        <f t="shared" si="193"/>
        <v>10427.4920727993i</v>
      </c>
      <c r="AH240" s="31">
        <f t="shared" si="194"/>
        <v>10427.492072799299</v>
      </c>
      <c r="AI240" s="31">
        <f t="shared" si="195"/>
        <v>1.5707963267948966</v>
      </c>
      <c r="AJ240" s="31" t="str">
        <f t="shared" si="178"/>
        <v>0.987023852598618+5.09012811787662i</v>
      </c>
      <c r="AK240" s="31">
        <f t="shared" si="196"/>
        <v>5.1849416912822468</v>
      </c>
      <c r="AL240" s="31">
        <f t="shared" si="197"/>
        <v>1.3792638823884578</v>
      </c>
      <c r="AM240" s="31" t="str">
        <f t="shared" si="179"/>
        <v>1+6.0472154777785i</v>
      </c>
      <c r="AN240" s="31">
        <f t="shared" si="198"/>
        <v>6.1293405056893242</v>
      </c>
      <c r="AO240" s="31">
        <f t="shared" si="199"/>
        <v>1.4069140464419927</v>
      </c>
      <c r="AP240" s="31" t="str">
        <f t="shared" si="180"/>
        <v>1+4.88006629007007i</v>
      </c>
      <c r="AQ240" s="31">
        <f t="shared" si="200"/>
        <v>4.9814703648097982</v>
      </c>
      <c r="AR240" s="31">
        <f t="shared" si="201"/>
        <v>1.3686790640461171</v>
      </c>
      <c r="AS240" s="58" t="str">
        <f t="shared" si="202"/>
        <v>-3.68599738790826+0.649690613034674i</v>
      </c>
      <c r="AT240" s="49">
        <f t="shared" si="203"/>
        <v>11.46397048536635</v>
      </c>
      <c r="AU240" s="61">
        <f t="shared" si="204"/>
        <v>170.00377158087005</v>
      </c>
      <c r="AV240" s="58" t="str">
        <f t="shared" si="181"/>
        <v>5.00570859491157+8.42360822498592i</v>
      </c>
      <c r="AW240" s="64">
        <f t="shared" si="205"/>
        <v>19.823358931597074</v>
      </c>
      <c r="AX240" s="61">
        <f t="shared" si="206"/>
        <v>59.279204789851249</v>
      </c>
    </row>
    <row r="241" spans="14:50" x14ac:dyDescent="0.35">
      <c r="N241" s="10">
        <v>23</v>
      </c>
      <c r="O241" s="50">
        <f t="shared" si="207"/>
        <v>1698.2436524617447</v>
      </c>
      <c r="P241" s="48" t="str">
        <f t="shared" si="172"/>
        <v>547.187404092767</v>
      </c>
      <c r="Q241" s="17" t="str">
        <f t="shared" si="173"/>
        <v>1+204.640072040131i</v>
      </c>
      <c r="R241" s="17">
        <f t="shared" si="182"/>
        <v>204.64251533977489</v>
      </c>
      <c r="S241" s="17">
        <f t="shared" si="183"/>
        <v>1.5659097372309261</v>
      </c>
      <c r="T241" s="17" t="str">
        <f t="shared" si="174"/>
        <v>1+0.00387218663068279i</v>
      </c>
      <c r="U241" s="17">
        <f t="shared" si="184"/>
        <v>1.0000074968865498</v>
      </c>
      <c r="V241" s="17">
        <f t="shared" si="185"/>
        <v>3.8721672778884368E-3</v>
      </c>
      <c r="W241" s="31" t="str">
        <f t="shared" si="175"/>
        <v>1-0.0672414808883559i</v>
      </c>
      <c r="X241" s="17">
        <f t="shared" si="186"/>
        <v>1.0022581587355919</v>
      </c>
      <c r="Y241" s="17">
        <f t="shared" si="187"/>
        <v>-6.7140412677197447E-2</v>
      </c>
      <c r="Z241" s="31" t="str">
        <f t="shared" si="176"/>
        <v>0.999046601155991+0.321728041898839i</v>
      </c>
      <c r="AA241" s="17">
        <f t="shared" si="188"/>
        <v>1.0495727912943431</v>
      </c>
      <c r="AB241" s="17">
        <f t="shared" si="189"/>
        <v>0.3115478882874898</v>
      </c>
      <c r="AC241" s="66" t="str">
        <f t="shared" si="190"/>
        <v>-0.923163395981829-2.38062400280435i</v>
      </c>
      <c r="AD241" s="64">
        <f t="shared" si="191"/>
        <v>8.1422103757311941</v>
      </c>
      <c r="AE241" s="61">
        <f t="shared" si="192"/>
        <v>-111.19540159543658</v>
      </c>
      <c r="AF241" s="31" t="str">
        <f t="shared" si="177"/>
        <v>-6627.51882264077</v>
      </c>
      <c r="AG241" s="31" t="str">
        <f t="shared" si="193"/>
        <v>10670.3795651586i</v>
      </c>
      <c r="AH241" s="31">
        <f t="shared" si="194"/>
        <v>10670.379565158601</v>
      </c>
      <c r="AI241" s="31">
        <f t="shared" si="195"/>
        <v>1.5707963267948966</v>
      </c>
      <c r="AJ241" s="31" t="str">
        <f t="shared" si="178"/>
        <v>0.986412305612296+5.20869243283436i</v>
      </c>
      <c r="AK241" s="31">
        <f t="shared" si="196"/>
        <v>5.3012721205885365</v>
      </c>
      <c r="AL241" s="31">
        <f t="shared" si="197"/>
        <v>1.3836346748961965</v>
      </c>
      <c r="AM241" s="31" t="str">
        <f t="shared" si="179"/>
        <v>1+6.18807322122243i</v>
      </c>
      <c r="AN241" s="31">
        <f t="shared" si="198"/>
        <v>6.2683530684869799</v>
      </c>
      <c r="AO241" s="31">
        <f t="shared" si="199"/>
        <v>1.4105802324925221</v>
      </c>
      <c r="AP241" s="31" t="str">
        <f t="shared" si="180"/>
        <v>1+4.99373763649422i</v>
      </c>
      <c r="AQ241" s="31">
        <f t="shared" si="200"/>
        <v>5.0928789090394524</v>
      </c>
      <c r="AR241" s="31">
        <f t="shared" si="201"/>
        <v>1.3731596163970796</v>
      </c>
      <c r="AS241" s="58" t="str">
        <f t="shared" si="202"/>
        <v>-3.6859560706288+0.635342442747107i</v>
      </c>
      <c r="AT241" s="49">
        <f t="shared" si="203"/>
        <v>11.458156089550915</v>
      </c>
      <c r="AU241" s="61">
        <f t="shared" si="204"/>
        <v>170.22011734425189</v>
      </c>
      <c r="AV241" s="58" t="str">
        <f t="shared" si="181"/>
        <v>4.91525119280563+8.18835060796352i</v>
      </c>
      <c r="AW241" s="64">
        <f t="shared" si="205"/>
        <v>19.600366465282107</v>
      </c>
      <c r="AX241" s="61">
        <f t="shared" si="206"/>
        <v>59.024715748815339</v>
      </c>
    </row>
    <row r="242" spans="14:50" x14ac:dyDescent="0.35">
      <c r="N242" s="10">
        <v>24</v>
      </c>
      <c r="O242" s="50">
        <f t="shared" si="207"/>
        <v>1737.8008287493772</v>
      </c>
      <c r="P242" s="48" t="str">
        <f t="shared" si="172"/>
        <v>547.187404092767</v>
      </c>
      <c r="Q242" s="17" t="str">
        <f t="shared" si="173"/>
        <v>1+209.406751658495i</v>
      </c>
      <c r="R242" s="17">
        <f t="shared" si="182"/>
        <v>209.4091393424905</v>
      </c>
      <c r="S242" s="17">
        <f t="shared" si="183"/>
        <v>1.5660209678787318</v>
      </c>
      <c r="T242" s="17" t="str">
        <f t="shared" si="174"/>
        <v>1+0.00396238144398094i</v>
      </c>
      <c r="U242" s="17">
        <f t="shared" si="184"/>
        <v>1.0000078502025409</v>
      </c>
      <c r="V242" s="17">
        <f t="shared" si="185"/>
        <v>3.962360707096972E-3</v>
      </c>
      <c r="W242" s="31" t="str">
        <f t="shared" si="175"/>
        <v>1-0.0688077361836351i</v>
      </c>
      <c r="X242" s="17">
        <f t="shared" si="186"/>
        <v>1.0023644569510217</v>
      </c>
      <c r="Y242" s="17">
        <f t="shared" si="187"/>
        <v>-6.8699453436482885E-2</v>
      </c>
      <c r="Z242" s="31" t="str">
        <f t="shared" si="176"/>
        <v>0.99900166885276+0.329222050695292i</v>
      </c>
      <c r="AA242" s="17">
        <f t="shared" si="188"/>
        <v>1.0518514595866721</v>
      </c>
      <c r="AB242" s="17">
        <f t="shared" si="189"/>
        <v>0.31834264727280187</v>
      </c>
      <c r="AC242" s="66" t="str">
        <f t="shared" si="190"/>
        <v>-0.91970312444352-2.31402168397901i</v>
      </c>
      <c r="AD242" s="64">
        <f t="shared" si="191"/>
        <v>7.9243022729335184</v>
      </c>
      <c r="AE242" s="61">
        <f t="shared" si="192"/>
        <v>-111.67524440753785</v>
      </c>
      <c r="AF242" s="31" t="str">
        <f t="shared" si="177"/>
        <v>-6627.51882264077</v>
      </c>
      <c r="AG242" s="31" t="str">
        <f t="shared" si="193"/>
        <v>10918.9246340026i</v>
      </c>
      <c r="AH242" s="31">
        <f t="shared" si="194"/>
        <v>10918.9246340026</v>
      </c>
      <c r="AI242" s="31">
        <f t="shared" si="195"/>
        <v>1.5707963267948966</v>
      </c>
      <c r="AJ242" s="31" t="str">
        <f t="shared" si="178"/>
        <v>0.985771937304444+5.3300184654652i</v>
      </c>
      <c r="AK242" s="31">
        <f t="shared" si="196"/>
        <v>5.4204098696110563</v>
      </c>
      <c r="AL242" s="31">
        <f t="shared" si="197"/>
        <v>1.3879156235284902</v>
      </c>
      <c r="AM242" s="31" t="str">
        <f t="shared" si="179"/>
        <v>1+6.33221196299713i</v>
      </c>
      <c r="AN242" s="31">
        <f t="shared" si="198"/>
        <v>6.4106870415208972</v>
      </c>
      <c r="AO242" s="31">
        <f t="shared" si="199"/>
        <v>1.4141671685242549</v>
      </c>
      <c r="AP242" s="31" t="str">
        <f t="shared" si="180"/>
        <v>1+5.11005672871321i</v>
      </c>
      <c r="AQ242" s="31">
        <f t="shared" si="200"/>
        <v>5.2069837497986438</v>
      </c>
      <c r="AR242" s="31">
        <f t="shared" si="201"/>
        <v>1.3775459617698591</v>
      </c>
      <c r="AS242" s="58" t="str">
        <f t="shared" si="202"/>
        <v>-3.68591638281436+0.621330467771988i</v>
      </c>
      <c r="AT242" s="49">
        <f t="shared" si="203"/>
        <v>11.452595446243919</v>
      </c>
      <c r="AU242" s="61">
        <f t="shared" si="204"/>
        <v>170.43167242865795</v>
      </c>
      <c r="AV242" s="58" t="str">
        <f t="shared" si="181"/>
        <v>4.82772098905313+7.95785086264406i</v>
      </c>
      <c r="AW242" s="64">
        <f t="shared" si="205"/>
        <v>19.376897719177443</v>
      </c>
      <c r="AX242" s="61">
        <f t="shared" si="206"/>
        <v>58.756428021120058</v>
      </c>
    </row>
    <row r="243" spans="14:50" x14ac:dyDescent="0.35">
      <c r="N243" s="10">
        <v>25</v>
      </c>
      <c r="O243" s="50">
        <f t="shared" si="207"/>
        <v>1778.2794100389244</v>
      </c>
      <c r="P243" s="48" t="str">
        <f t="shared" si="172"/>
        <v>547.187404092767</v>
      </c>
      <c r="Q243" s="17" t="str">
        <f t="shared" si="173"/>
        <v>1+214.284461508415i</v>
      </c>
      <c r="R243" s="17">
        <f t="shared" si="182"/>
        <v>214.28679484268599</v>
      </c>
      <c r="S243" s="17">
        <f t="shared" si="183"/>
        <v>1.5661296667220594</v>
      </c>
      <c r="T243" s="17" t="str">
        <f t="shared" si="174"/>
        <v>1+0.00405467716436901i</v>
      </c>
      <c r="U243" s="17">
        <f t="shared" si="184"/>
        <v>1.0000082201696681</v>
      </c>
      <c r="V243" s="17">
        <f t="shared" si="185"/>
        <v>4.054654944407373E-3</v>
      </c>
      <c r="W243" s="31" t="str">
        <f t="shared" si="175"/>
        <v>1-0.0704104742514169i</v>
      </c>
      <c r="X243" s="17">
        <f t="shared" si="186"/>
        <v>1.0024757527662749</v>
      </c>
      <c r="Y243" s="17">
        <f t="shared" si="187"/>
        <v>-7.0294462667777557E-2</v>
      </c>
      <c r="Z243" s="31" t="str">
        <f t="shared" si="176"/>
        <v>0.998954618955316+0.336890617380793i</v>
      </c>
      <c r="AA243" s="17">
        <f t="shared" si="188"/>
        <v>1.0542322414019467</v>
      </c>
      <c r="AB243" s="17">
        <f t="shared" si="189"/>
        <v>0.32526526582158694</v>
      </c>
      <c r="AC243" s="66" t="str">
        <f t="shared" si="190"/>
        <v>-0.916062888860292-2.24875808050881i</v>
      </c>
      <c r="AD243" s="64">
        <f t="shared" si="191"/>
        <v>7.7056367109010857</v>
      </c>
      <c r="AE243" s="61">
        <f t="shared" si="192"/>
        <v>-112.16420844548911</v>
      </c>
      <c r="AF243" s="31" t="str">
        <f t="shared" si="177"/>
        <v>-6627.51882264077</v>
      </c>
      <c r="AG243" s="31" t="str">
        <f t="shared" si="193"/>
        <v>11173.2590612166i</v>
      </c>
      <c r="AH243" s="31">
        <f t="shared" si="194"/>
        <v>11173.2590612166</v>
      </c>
      <c r="AI243" s="31">
        <f t="shared" si="195"/>
        <v>1.5707963267948966</v>
      </c>
      <c r="AJ243" s="31" t="str">
        <f t="shared" si="178"/>
        <v>0.985101389368025+5.45417054443756i</v>
      </c>
      <c r="AK243" s="31">
        <f t="shared" si="196"/>
        <v>5.5424183417660862</v>
      </c>
      <c r="AL243" s="31">
        <f t="shared" si="197"/>
        <v>1.3921083965294214</v>
      </c>
      <c r="AM243" s="31" t="str">
        <f t="shared" si="179"/>
        <v>1+6.47970812737135i</v>
      </c>
      <c r="AN243" s="31">
        <f t="shared" si="198"/>
        <v>6.556418032426115</v>
      </c>
      <c r="AO243" s="31">
        <f t="shared" si="199"/>
        <v>1.4176763869905074</v>
      </c>
      <c r="AP243" s="31" t="str">
        <f t="shared" si="180"/>
        <v>1+5.22908524064936i</v>
      </c>
      <c r="AQ243" s="31">
        <f t="shared" si="200"/>
        <v>5.3238456452058207</v>
      </c>
      <c r="AR243" s="31">
        <f t="shared" si="201"/>
        <v>1.3818397503927782</v>
      </c>
      <c r="AS243" s="58" t="str">
        <f t="shared" si="202"/>
        <v>-3.68587825675583+0.607647300544793i</v>
      </c>
      <c r="AT243" s="49">
        <f t="shared" si="203"/>
        <v>11.447277795310102</v>
      </c>
      <c r="AU243" s="61">
        <f t="shared" si="204"/>
        <v>170.63852360496827</v>
      </c>
      <c r="AV243" s="58" t="str">
        <f t="shared" si="181"/>
        <v>4.74294806107055+7.73200537210618i</v>
      </c>
      <c r="AW243" s="64">
        <f t="shared" si="205"/>
        <v>19.152914506211189</v>
      </c>
      <c r="AX243" s="61">
        <f t="shared" si="206"/>
        <v>58.474315159479175</v>
      </c>
    </row>
    <row r="244" spans="14:50" x14ac:dyDescent="0.35">
      <c r="N244" s="10">
        <v>26</v>
      </c>
      <c r="O244" s="50">
        <f t="shared" si="207"/>
        <v>1819.7008586099832</v>
      </c>
      <c r="P244" s="48" t="str">
        <f t="shared" si="172"/>
        <v>547.187404092767</v>
      </c>
      <c r="Q244" s="17" t="str">
        <f t="shared" si="173"/>
        <v>1+219.275787816215i</v>
      </c>
      <c r="R244" s="17">
        <f t="shared" si="182"/>
        <v>219.27806803787226</v>
      </c>
      <c r="S244" s="17">
        <f t="shared" si="183"/>
        <v>1.5662358913841945</v>
      </c>
      <c r="T244" s="17" t="str">
        <f t="shared" si="174"/>
        <v>1+0.00414912272825957i</v>
      </c>
      <c r="U244" s="17">
        <f t="shared" si="184"/>
        <v>1.000008607572662</v>
      </c>
      <c r="V244" s="17">
        <f t="shared" si="185"/>
        <v>4.149098919152782E-3</v>
      </c>
      <c r="W244" s="31" t="str">
        <f t="shared" si="175"/>
        <v>1-0.0720505448846389i</v>
      </c>
      <c r="X244" s="17">
        <f t="shared" si="186"/>
        <v>1.0025922805498622</v>
      </c>
      <c r="Y244" s="17">
        <f t="shared" si="187"/>
        <v>-7.1926253585528649E-2</v>
      </c>
      <c r="Z244" s="31" t="str">
        <f t="shared" si="176"/>
        <v>0.99890535166452+0.344737807930899i</v>
      </c>
      <c r="AA244" s="17">
        <f t="shared" si="188"/>
        <v>1.0567194792379953</v>
      </c>
      <c r="AB244" s="17">
        <f t="shared" si="189"/>
        <v>0.33231684067810124</v>
      </c>
      <c r="AC244" s="66" t="str">
        <f t="shared" si="190"/>
        <v>-0.912239705886541-2.18480500070086i</v>
      </c>
      <c r="AD244" s="64">
        <f t="shared" si="191"/>
        <v>7.4861855394808652</v>
      </c>
      <c r="AE244" s="61">
        <f t="shared" si="192"/>
        <v>-112.66240363999006</v>
      </c>
      <c r="AF244" s="31" t="str">
        <f t="shared" si="177"/>
        <v>-6627.51882264077</v>
      </c>
      <c r="AG244" s="31" t="str">
        <f t="shared" si="193"/>
        <v>11433.5176982803i</v>
      </c>
      <c r="AH244" s="31">
        <f t="shared" si="194"/>
        <v>11433.5176982803</v>
      </c>
      <c r="AI244" s="31">
        <f t="shared" si="195"/>
        <v>1.5707963267948966</v>
      </c>
      <c r="AJ244" s="31" t="str">
        <f t="shared" si="178"/>
        <v>0.984399239480965+5.58121449682705i</v>
      </c>
      <c r="AK244" s="31">
        <f t="shared" si="196"/>
        <v>5.6673624484660516</v>
      </c>
      <c r="AL244" s="31">
        <f t="shared" si="197"/>
        <v>1.3962146528943657</v>
      </c>
      <c r="AM244" s="31" t="str">
        <f t="shared" si="179"/>
        <v>1+6.6306399187637i</v>
      </c>
      <c r="AN244" s="31">
        <f t="shared" si="198"/>
        <v>6.7056234409861313</v>
      </c>
      <c r="AO244" s="31">
        <f t="shared" si="199"/>
        <v>1.4211094026306745</v>
      </c>
      <c r="AP244" s="31" t="str">
        <f t="shared" si="180"/>
        <v>1+5.35088628279517i</v>
      </c>
      <c r="AQ244" s="31">
        <f t="shared" si="200"/>
        <v>5.4435267989976417</v>
      </c>
      <c r="AR244" s="31">
        <f t="shared" si="201"/>
        <v>1.3860426252803728</v>
      </c>
      <c r="AS244" s="58" t="str">
        <f t="shared" si="202"/>
        <v>-3.68584162670182+0.594285725360138i</v>
      </c>
      <c r="AT244" s="49">
        <f t="shared" si="203"/>
        <v>11.442192804654079</v>
      </c>
      <c r="AU244" s="61">
        <f t="shared" si="204"/>
        <v>170.84075674572296</v>
      </c>
      <c r="AV244" s="58" t="str">
        <f t="shared" si="181"/>
        <v>4.66076950609881+7.51071418249443i</v>
      </c>
      <c r="AW244" s="64">
        <f t="shared" si="205"/>
        <v>18.928378344134948</v>
      </c>
      <c r="AX244" s="61">
        <f t="shared" si="206"/>
        <v>58.178353105732882</v>
      </c>
    </row>
    <row r="245" spans="14:50" x14ac:dyDescent="0.35">
      <c r="N245" s="10">
        <v>27</v>
      </c>
      <c r="O245" s="50">
        <f t="shared" si="207"/>
        <v>1862.0871366628687</v>
      </c>
      <c r="P245" s="48" t="str">
        <f t="shared" si="172"/>
        <v>547.187404092767</v>
      </c>
      <c r="Q245" s="17" t="str">
        <f t="shared" si="173"/>
        <v>1+224.383377049174i</v>
      </c>
      <c r="R245" s="17">
        <f t="shared" si="182"/>
        <v>224.38560536717094</v>
      </c>
      <c r="S245" s="17">
        <f t="shared" si="183"/>
        <v>1.5663396981772642</v>
      </c>
      <c r="T245" s="17" t="str">
        <f t="shared" si="174"/>
        <v>1+0.00424576821194082i</v>
      </c>
      <c r="U245" s="17">
        <f t="shared" si="184"/>
        <v>1.0000090132332355</v>
      </c>
      <c r="V245" s="17">
        <f t="shared" si="185"/>
        <v>4.2457427000356764E-3</v>
      </c>
      <c r="W245" s="31" t="str">
        <f t="shared" si="175"/>
        <v>1-0.0737288176704609i</v>
      </c>
      <c r="X245" s="17">
        <f t="shared" si="186"/>
        <v>1.0027142856043711</v>
      </c>
      <c r="Y245" s="17">
        <f t="shared" si="187"/>
        <v>-7.3595656607074053E-2</v>
      </c>
      <c r="Z245" s="31" t="str">
        <f t="shared" si="176"/>
        <v>0.998853762477843+0.352767783029918i</v>
      </c>
      <c r="AA245" s="17">
        <f t="shared" si="188"/>
        <v>1.0593176801885196</v>
      </c>
      <c r="AB245" s="17">
        <f t="shared" si="189"/>
        <v>0.33949839084599315</v>
      </c>
      <c r="AC245" s="66" t="str">
        <f t="shared" si="190"/>
        <v>-0.908230566133868-2.12213523975i</v>
      </c>
      <c r="AD245" s="64">
        <f t="shared" si="191"/>
        <v>7.2659198933949263</v>
      </c>
      <c r="AE245" s="61">
        <f t="shared" si="192"/>
        <v>-113.16993631277958</v>
      </c>
      <c r="AF245" s="31" t="str">
        <f t="shared" si="177"/>
        <v>-6627.51882264077</v>
      </c>
      <c r="AG245" s="31" t="str">
        <f t="shared" si="193"/>
        <v>11699.8385377682i</v>
      </c>
      <c r="AH245" s="31">
        <f t="shared" si="194"/>
        <v>11699.838537768201</v>
      </c>
      <c r="AI245" s="31">
        <f t="shared" si="195"/>
        <v>1.5707963267948966</v>
      </c>
      <c r="AJ245" s="31" t="str">
        <f t="shared" si="178"/>
        <v>0.983663998289213+5.71121768301888i</v>
      </c>
      <c r="AK245" s="31">
        <f t="shared" si="196"/>
        <v>5.7953086444431818</v>
      </c>
      <c r="AL245" s="31">
        <f t="shared" si="197"/>
        <v>1.4002360410199366</v>
      </c>
      <c r="AM245" s="31" t="str">
        <f t="shared" si="179"/>
        <v>1+6.78508736320792i</v>
      </c>
      <c r="AN245" s="31">
        <f t="shared" si="198"/>
        <v>6.8583825007332297</v>
      </c>
      <c r="AO245" s="31">
        <f t="shared" si="199"/>
        <v>1.4244677118271341</v>
      </c>
      <c r="AP245" s="31" t="str">
        <f t="shared" si="180"/>
        <v>1+5.47552443567551i</v>
      </c>
      <c r="AQ245" s="31">
        <f t="shared" si="200"/>
        <v>5.5660908944859688</v>
      </c>
      <c r="AR245" s="31">
        <f t="shared" si="201"/>
        <v>1.390156220641888</v>
      </c>
      <c r="AS245" s="58" t="str">
        <f t="shared" si="202"/>
        <v>-3.68580642882704+0.581238694679757i</v>
      </c>
      <c r="AT245" s="49">
        <f t="shared" si="203"/>
        <v>11.437330555538898</v>
      </c>
      <c r="AU245" s="61">
        <f t="shared" si="204"/>
        <v>171.03845677444022</v>
      </c>
      <c r="AV245" s="58" t="str">
        <f t="shared" si="181"/>
        <v>4.58102917619964+7.29388096078306i</v>
      </c>
      <c r="AW245" s="64">
        <f t="shared" si="205"/>
        <v>18.703250448933833</v>
      </c>
      <c r="AX245" s="61">
        <f t="shared" si="206"/>
        <v>57.868520461660644</v>
      </c>
    </row>
    <row r="246" spans="14:50" x14ac:dyDescent="0.35">
      <c r="N246" s="10">
        <v>28</v>
      </c>
      <c r="O246" s="50">
        <f t="shared" si="207"/>
        <v>1905.4607179632501</v>
      </c>
      <c r="P246" s="48" t="str">
        <f t="shared" si="172"/>
        <v>547.187404092767</v>
      </c>
      <c r="Q246" s="17" t="str">
        <f t="shared" si="173"/>
        <v>1+229.609937318712i</v>
      </c>
      <c r="R246" s="17">
        <f t="shared" si="182"/>
        <v>229.61211491448543</v>
      </c>
      <c r="S246" s="17">
        <f t="shared" si="183"/>
        <v>1.5664411421320505</v>
      </c>
      <c r="T246" s="17" t="str">
        <f t="shared" si="174"/>
        <v>1+0.00434466485812747i</v>
      </c>
      <c r="U246" s="17">
        <f t="shared" si="184"/>
        <v>1.0000094380118267</v>
      </c>
      <c r="V246" s="17">
        <f t="shared" si="185"/>
        <v>4.3446375216425288E-3</v>
      </c>
      <c r="W246" s="31" t="str">
        <f t="shared" si="175"/>
        <v>1-0.0754461824513286i</v>
      </c>
      <c r="X246" s="17">
        <f t="shared" si="186"/>
        <v>1.0028420246711238</v>
      </c>
      <c r="Y246" s="17">
        <f t="shared" si="187"/>
        <v>-7.5303519631368956E-2</v>
      </c>
      <c r="Z246" s="31" t="str">
        <f t="shared" si="176"/>
        <v>0.998799741967702+0.360984800276935i</v>
      </c>
      <c r="AA246" s="17">
        <f t="shared" si="188"/>
        <v>1.0620315205236268</v>
      </c>
      <c r="AB246" s="17">
        <f t="shared" si="189"/>
        <v>0.34681085151351171</v>
      </c>
      <c r="AC246" s="66" t="str">
        <f t="shared" si="190"/>
        <v>-0.904032451164108-2.06072257122421i</v>
      </c>
      <c r="AD246" s="64">
        <f t="shared" si="191"/>
        <v>7.0448102032329789</v>
      </c>
      <c r="AE246" s="61">
        <f t="shared" si="192"/>
        <v>-113.68690884473493</v>
      </c>
      <c r="AF246" s="31" t="str">
        <f t="shared" si="177"/>
        <v>-6627.51882264077</v>
      </c>
      <c r="AG246" s="31" t="str">
        <f t="shared" si="193"/>
        <v>11972.3627865146i</v>
      </c>
      <c r="AH246" s="31">
        <f t="shared" si="194"/>
        <v>11972.362786514601</v>
      </c>
      <c r="AI246" s="31">
        <f t="shared" si="195"/>
        <v>1.5707963267948966</v>
      </c>
      <c r="AJ246" s="31" t="str">
        <f t="shared" si="178"/>
        <v>0.982894106247626+5.84424903242315i</v>
      </c>
      <c r="AK246" s="31">
        <f t="shared" si="196"/>
        <v>5.9263249638435491</v>
      </c>
      <c r="AL246" s="31">
        <f t="shared" si="197"/>
        <v>1.4041741974694564</v>
      </c>
      <c r="AM246" s="31" t="str">
        <f t="shared" si="179"/>
        <v>1+6.94313235078342i</v>
      </c>
      <c r="AN246" s="31">
        <f t="shared" si="198"/>
        <v>7.0147763214870444</v>
      </c>
      <c r="AO246" s="31">
        <f t="shared" si="199"/>
        <v>1.4277527920363442</v>
      </c>
      <c r="AP246" s="31" t="str">
        <f t="shared" si="180"/>
        <v>1+5.60306578408882i</v>
      </c>
      <c r="AQ246" s="31">
        <f t="shared" si="200"/>
        <v>5.6916031292445943</v>
      </c>
      <c r="AR246" s="31">
        <f t="shared" si="201"/>
        <v>1.3941821604161462</v>
      </c>
      <c r="AS246" s="58" t="str">
        <f t="shared" si="202"/>
        <v>-3.68577260119631+0.568499325523702i</v>
      </c>
      <c r="AT246" s="49">
        <f t="shared" si="203"/>
        <v>11.432681528199684</v>
      </c>
      <c r="AU246" s="61">
        <f t="shared" si="204"/>
        <v>171.23170761980907</v>
      </c>
      <c r="AV246" s="58" t="str">
        <f t="shared" si="181"/>
        <v>4.50357743092544+7.08141295294667i</v>
      </c>
      <c r="AW246" s="64">
        <f t="shared" si="205"/>
        <v>18.477491731432664</v>
      </c>
      <c r="AX246" s="61">
        <f t="shared" si="206"/>
        <v>57.544798775074149</v>
      </c>
    </row>
    <row r="247" spans="14:50" x14ac:dyDescent="0.35">
      <c r="N247" s="10">
        <v>29</v>
      </c>
      <c r="O247" s="50">
        <f t="shared" si="207"/>
        <v>1949.8445997580463</v>
      </c>
      <c r="P247" s="48" t="str">
        <f t="shared" si="172"/>
        <v>547.187404092767</v>
      </c>
      <c r="Q247" s="17" t="str">
        <f t="shared" si="173"/>
        <v>1+234.958239816259i</v>
      </c>
      <c r="R247" s="17">
        <f t="shared" si="182"/>
        <v>234.96036784435515</v>
      </c>
      <c r="S247" s="17">
        <f t="shared" si="183"/>
        <v>1.5665402770271244</v>
      </c>
      <c r="T247" s="17" t="str">
        <f t="shared" si="174"/>
        <v>1+0.00444586510313027i</v>
      </c>
      <c r="U247" s="17">
        <f t="shared" si="184"/>
        <v>1.0000098828094226</v>
      </c>
      <c r="V247" s="17">
        <f t="shared" si="185"/>
        <v>4.4458358115745528E-3</v>
      </c>
      <c r="W247" s="31" t="str">
        <f t="shared" si="175"/>
        <v>1-0.0772035497967793i</v>
      </c>
      <c r="X247" s="17">
        <f t="shared" si="186"/>
        <v>1.0029757664576069</v>
      </c>
      <c r="Y247" s="17">
        <f t="shared" si="187"/>
        <v>-7.7050708315774472E-2</v>
      </c>
      <c r="Z247" s="31" t="str">
        <f t="shared" si="176"/>
        <v>0.998743175549354+0.369393216443253i</v>
      </c>
      <c r="AA247" s="17">
        <f t="shared" si="188"/>
        <v>1.0648658502650461</v>
      </c>
      <c r="AB247" s="17">
        <f t="shared" si="189"/>
        <v>0.35425506781214433</v>
      </c>
      <c r="AC247" s="66" t="str">
        <f t="shared" si="190"/>
        <v>-0.899642351435825-2.00054173831429i</v>
      </c>
      <c r="AD247" s="64">
        <f t="shared" si="191"/>
        <v>6.8228262095556156</v>
      </c>
      <c r="AE247" s="61">
        <f t="shared" si="192"/>
        <v>-114.21341933424176</v>
      </c>
      <c r="AF247" s="31" t="str">
        <f t="shared" si="177"/>
        <v>-6627.51882264077</v>
      </c>
      <c r="AG247" s="31" t="str">
        <f t="shared" si="193"/>
        <v>12251.2349404832i</v>
      </c>
      <c r="AH247" s="31">
        <f t="shared" si="194"/>
        <v>12251.2349404832</v>
      </c>
      <c r="AI247" s="31">
        <f t="shared" si="195"/>
        <v>1.5707963267948966</v>
      </c>
      <c r="AJ247" s="31" t="str">
        <f t="shared" si="178"/>
        <v>0.982087930311964+5.98037908002218i</v>
      </c>
      <c r="AK247" s="31">
        <f t="shared" si="196"/>
        <v>6.0604810571134839</v>
      </c>
      <c r="AL247" s="31">
        <f t="shared" si="197"/>
        <v>1.4080307458479357</v>
      </c>
      <c r="AM247" s="31" t="str">
        <f t="shared" si="179"/>
        <v>1+7.10485867903443i</v>
      </c>
      <c r="AN247" s="31">
        <f t="shared" si="198"/>
        <v>7.1748879328565724</v>
      </c>
      <c r="AO247" s="31">
        <f t="shared" si="199"/>
        <v>1.4309661012895247</v>
      </c>
      <c r="AP247" s="31" t="str">
        <f t="shared" si="180"/>
        <v>1+5.73357795214613i</v>
      </c>
      <c r="AQ247" s="31">
        <f t="shared" si="200"/>
        <v>5.8201302505473373</v>
      </c>
      <c r="AR247" s="31">
        <f t="shared" si="201"/>
        <v>1.3981220569265298</v>
      </c>
      <c r="AS247" s="58" t="str">
        <f t="shared" si="202"/>
        <v>-3.68574008372513+0.556060895943095i</v>
      </c>
      <c r="AT247" s="49">
        <f t="shared" si="203"/>
        <v>11.428236587767305</v>
      </c>
      <c r="AU247" s="61">
        <f t="shared" si="204"/>
        <v>171.42059217447505</v>
      </c>
      <c r="AV247" s="58" t="str">
        <f t="shared" si="181"/>
        <v>4.42827090708235+6.87322094210237i</v>
      </c>
      <c r="AW247" s="64">
        <f t="shared" si="205"/>
        <v>18.25106279732292</v>
      </c>
      <c r="AX247" s="61">
        <f t="shared" si="206"/>
        <v>57.207172840233298</v>
      </c>
    </row>
    <row r="248" spans="14:50" x14ac:dyDescent="0.35">
      <c r="N248" s="10">
        <v>30</v>
      </c>
      <c r="O248" s="50">
        <f t="shared" si="207"/>
        <v>1995.2623149688804</v>
      </c>
      <c r="P248" s="48" t="str">
        <f t="shared" si="172"/>
        <v>547.187404092767</v>
      </c>
      <c r="Q248" s="17" t="str">
        <f t="shared" si="173"/>
        <v>1+240.4311202826i</v>
      </c>
      <c r="R248" s="17">
        <f t="shared" si="182"/>
        <v>240.4331998712866</v>
      </c>
      <c r="S248" s="17">
        <f t="shared" si="183"/>
        <v>1.5666371554173211</v>
      </c>
      <c r="T248" s="17" t="str">
        <f t="shared" si="174"/>
        <v>1+0.00454942260465876i</v>
      </c>
      <c r="U248" s="17">
        <f t="shared" si="184"/>
        <v>1.0000103485694714</v>
      </c>
      <c r="V248" s="17">
        <f t="shared" si="185"/>
        <v>4.5493912182088701E-3</v>
      </c>
      <c r="W248" s="31" t="str">
        <f t="shared" si="175"/>
        <v>1-0.0790018514862427i</v>
      </c>
      <c r="X248" s="17">
        <f t="shared" si="186"/>
        <v>1.0031157921886458</v>
      </c>
      <c r="Y248" s="17">
        <f t="shared" si="187"/>
        <v>-7.8838106350297948E-2</v>
      </c>
      <c r="Z248" s="31" t="str">
        <f t="shared" si="176"/>
        <v>0.99868394323784+0.377997489782429i</v>
      </c>
      <c r="AA248" s="17">
        <f t="shared" si="188"/>
        <v>1.0678256977442051</v>
      </c>
      <c r="AB248" s="17">
        <f t="shared" si="189"/>
        <v>0.36183178842331648</v>
      </c>
      <c r="AC248" s="66" t="str">
        <f t="shared" si="190"/>
        <v>-0.895057285213706-1.94156844473332i</v>
      </c>
      <c r="AD248" s="64">
        <f t="shared" si="191"/>
        <v>6.5999369803215746</v>
      </c>
      <c r="AE248" s="61">
        <f t="shared" si="192"/>
        <v>-114.74956124663824</v>
      </c>
      <c r="AF248" s="31" t="str">
        <f t="shared" si="177"/>
        <v>-6627.51882264077</v>
      </c>
      <c r="AG248" s="31" t="str">
        <f t="shared" si="193"/>
        <v>12536.6028613816i</v>
      </c>
      <c r="AH248" s="31">
        <f t="shared" si="194"/>
        <v>12536.6028613816</v>
      </c>
      <c r="AI248" s="31">
        <f t="shared" si="195"/>
        <v>1.5707963267948966</v>
      </c>
      <c r="AJ248" s="31" t="str">
        <f t="shared" si="178"/>
        <v>0.981243760474981+6.11968000376912i</v>
      </c>
      <c r="AK248" s="31">
        <f t="shared" si="196"/>
        <v>6.1978482287002388</v>
      </c>
      <c r="AL248" s="31">
        <f t="shared" si="197"/>
        <v>1.4118072957806946</v>
      </c>
      <c r="AM248" s="31" t="str">
        <f t="shared" si="179"/>
        <v>1+7.27035209740104i</v>
      </c>
      <c r="AN248" s="31">
        <f t="shared" si="198"/>
        <v>7.338802328730738</v>
      </c>
      <c r="AO248" s="31">
        <f t="shared" si="199"/>
        <v>1.4341090777584991</v>
      </c>
      <c r="AP248" s="31" t="str">
        <f t="shared" si="180"/>
        <v>1+5.86713013912658i</v>
      </c>
      <c r="AQ248" s="31">
        <f t="shared" si="200"/>
        <v>5.9517405915788606</v>
      </c>
      <c r="AR248" s="31">
        <f t="shared" si="201"/>
        <v>1.4019775096499281</v>
      </c>
      <c r="AS248" s="58" t="str">
        <f t="shared" si="202"/>
        <v>-3.68570881813757+0.543916841572557i</v>
      </c>
      <c r="AT248" s="49">
        <f t="shared" si="203"/>
        <v>11.423986970514271</v>
      </c>
      <c r="AU248" s="61">
        <f t="shared" si="204"/>
        <v>171.60519225815165</v>
      </c>
      <c r="AV248" s="58" t="str">
        <f t="shared" si="181"/>
        <v>4.35497230500672+6.6692192061713i</v>
      </c>
      <c r="AW248" s="64">
        <f t="shared" si="205"/>
        <v>18.023923950835847</v>
      </c>
      <c r="AX248" s="61">
        <f t="shared" si="206"/>
        <v>56.855631011513388</v>
      </c>
    </row>
    <row r="249" spans="14:50" x14ac:dyDescent="0.35">
      <c r="N249" s="10">
        <v>31</v>
      </c>
      <c r="O249" s="50">
        <f t="shared" si="207"/>
        <v>2041.7379446695318</v>
      </c>
      <c r="P249" s="48" t="str">
        <f t="shared" si="172"/>
        <v>547.187404092767</v>
      </c>
      <c r="Q249" s="17" t="str">
        <f t="shared" si="173"/>
        <v>1+246.031480511394i</v>
      </c>
      <c r="R249" s="17">
        <f t="shared" si="182"/>
        <v>246.03351276325841</v>
      </c>
      <c r="S249" s="17">
        <f t="shared" si="183"/>
        <v>1.5667318286615668</v>
      </c>
      <c r="T249" s="17" t="str">
        <f t="shared" si="174"/>
        <v>1+0.00465539227027095i</v>
      </c>
      <c r="U249" s="17">
        <f t="shared" si="184"/>
        <v>1.0000108362798825</v>
      </c>
      <c r="V249" s="17">
        <f t="shared" si="185"/>
        <v>4.6553586391036529E-3</v>
      </c>
      <c r="W249" s="31" t="str">
        <f t="shared" si="175"/>
        <v>1-0.0808420410030767i</v>
      </c>
      <c r="X249" s="17">
        <f t="shared" si="186"/>
        <v>1.0032623961823464</v>
      </c>
      <c r="Y249" s="17">
        <f t="shared" si="187"/>
        <v>-8.0666615728604854E-2</v>
      </c>
      <c r="Z249" s="31" t="str">
        <f t="shared" si="176"/>
        <v>0.998621919393487+0.386802182394075i</v>
      </c>
      <c r="AA249" s="17">
        <f t="shared" si="188"/>
        <v>1.0709162741306864</v>
      </c>
      <c r="AB249" s="17">
        <f t="shared" si="189"/>
        <v>0.3695416590501901</v>
      </c>
      <c r="AC249" s="66" t="str">
        <f t="shared" si="190"/>
        <v>-0.890274318441562-1.88377934514651i</v>
      </c>
      <c r="AD249" s="64">
        <f t="shared" si="191"/>
        <v>6.3761109318562239</v>
      </c>
      <c r="AE249" s="61">
        <f t="shared" si="192"/>
        <v>-115.29542305567199</v>
      </c>
      <c r="AF249" s="31" t="str">
        <f t="shared" si="177"/>
        <v>-6627.51882264077</v>
      </c>
      <c r="AG249" s="31" t="str">
        <f t="shared" si="193"/>
        <v>12828.6178550586i</v>
      </c>
      <c r="AH249" s="31">
        <f t="shared" si="194"/>
        <v>12828.617855058599</v>
      </c>
      <c r="AI249" s="31">
        <f t="shared" si="195"/>
        <v>1.5707963267948966</v>
      </c>
      <c r="AJ249" s="31" t="str">
        <f t="shared" si="178"/>
        <v>0.980359806139272+6.26222566285761i</v>
      </c>
      <c r="AK249" s="31">
        <f t="shared" si="196"/>
        <v>6.3384994755893027</v>
      </c>
      <c r="AL249" s="31">
        <f t="shared" si="197"/>
        <v>1.4155054419899364</v>
      </c>
      <c r="AM249" s="31" t="str">
        <f t="shared" si="179"/>
        <v>1+7.43970035268414i</v>
      </c>
      <c r="AN249" s="31">
        <f t="shared" si="198"/>
        <v>7.5066065127811585</v>
      </c>
      <c r="AO249" s="31">
        <f t="shared" si="199"/>
        <v>1.437183139382433</v>
      </c>
      <c r="AP249" s="31" t="str">
        <f t="shared" si="180"/>
        <v>1+6.00379315616742i</v>
      </c>
      <c r="AQ249" s="31">
        <f t="shared" si="200"/>
        <v>6.0865041084388292</v>
      </c>
      <c r="AR249" s="31">
        <f t="shared" si="201"/>
        <v>1.4057501040936151</v>
      </c>
      <c r="AS249" s="58" t="str">
        <f t="shared" si="202"/>
        <v>-3.68567874792082+0.532060752260757i</v>
      </c>
      <c r="AT249" s="49">
        <f t="shared" si="203"/>
        <v>11.419924270429593</v>
      </c>
      <c r="AU249" s="61">
        <f t="shared" si="204"/>
        <v>171.78558858479212</v>
      </c>
      <c r="AV249" s="58" t="str">
        <f t="shared" si="181"/>
        <v>4.28355019077169+6.46932547459024i</v>
      </c>
      <c r="AW249" s="64">
        <f t="shared" si="205"/>
        <v>17.796035202285818</v>
      </c>
      <c r="AX249" s="61">
        <f t="shared" si="206"/>
        <v>56.490165529120105</v>
      </c>
    </row>
    <row r="250" spans="14:50" x14ac:dyDescent="0.35">
      <c r="N250" s="10">
        <v>32</v>
      </c>
      <c r="O250" s="50">
        <f t="shared" si="207"/>
        <v>2089.2961308540398</v>
      </c>
      <c r="P250" s="48" t="str">
        <f t="shared" si="172"/>
        <v>547.187404092767</v>
      </c>
      <c r="Q250" s="17" t="str">
        <f t="shared" si="173"/>
        <v>1+251.76228988777i</v>
      </c>
      <c r="R250" s="17">
        <f t="shared" si="182"/>
        <v>251.76427588030342</v>
      </c>
      <c r="S250" s="17">
        <f t="shared" si="183"/>
        <v>1.5668243469500771</v>
      </c>
      <c r="T250" s="17" t="str">
        <f t="shared" si="174"/>
        <v>1+0.00476383028648628i</v>
      </c>
      <c r="U250" s="17">
        <f t="shared" si="184"/>
        <v>1.0000113469751224</v>
      </c>
      <c r="V250" s="17">
        <f t="shared" si="185"/>
        <v>4.7637942500633476E-3</v>
      </c>
      <c r="W250" s="31" t="str">
        <f t="shared" si="175"/>
        <v>1-0.0827250940401223i</v>
      </c>
      <c r="X250" s="17">
        <f t="shared" si="186"/>
        <v>1.0034158864518476</v>
      </c>
      <c r="Y250" s="17">
        <f t="shared" si="187"/>
        <v>-8.2537157015105667E-2</v>
      </c>
      <c r="Z250" s="31" t="str">
        <f t="shared" si="176"/>
        <v>0.998556972455404+0.395811962642761i</v>
      </c>
      <c r="AA250" s="17">
        <f t="shared" si="188"/>
        <v>1.0741429779179386</v>
      </c>
      <c r="AB250" s="17">
        <f t="shared" si="189"/>
        <v>0.37738521577430062</v>
      </c>
      <c r="AC250" s="66" t="str">
        <f t="shared" si="190"/>
        <v>-0.885290585568855-1.82715203500468i</v>
      </c>
      <c r="AD250" s="64">
        <f t="shared" si="191"/>
        <v>6.1513158535682697</v>
      </c>
      <c r="AE250" s="61">
        <f t="shared" si="192"/>
        <v>-115.85108787805898</v>
      </c>
      <c r="AF250" s="31" t="str">
        <f t="shared" si="177"/>
        <v>-6627.51882264077</v>
      </c>
      <c r="AG250" s="31" t="str">
        <f t="shared" si="193"/>
        <v>13127.4347517293i</v>
      </c>
      <c r="AH250" s="31">
        <f t="shared" si="194"/>
        <v>13127.434751729301</v>
      </c>
      <c r="AI250" s="31">
        <f t="shared" si="195"/>
        <v>1.5707963267948966</v>
      </c>
      <c r="AJ250" s="31" t="str">
        <f t="shared" si="178"/>
        <v>0.979434192319177+6.40809163688288i</v>
      </c>
      <c r="AK250" s="31">
        <f t="shared" si="196"/>
        <v>6.4825095267012323</v>
      </c>
      <c r="AL250" s="31">
        <f t="shared" si="197"/>
        <v>1.4191267634637725</v>
      </c>
      <c r="AM250" s="31" t="str">
        <f t="shared" si="179"/>
        <v>1+7.61299323557038i</v>
      </c>
      <c r="AN250" s="31">
        <f t="shared" si="198"/>
        <v>7.6783895450048876</v>
      </c>
      <c r="AO250" s="31">
        <f t="shared" si="199"/>
        <v>1.4401896835514809</v>
      </c>
      <c r="AP250" s="31" t="str">
        <f t="shared" si="180"/>
        <v>1+6.1436394638093i</v>
      </c>
      <c r="AQ250" s="31">
        <f t="shared" si="200"/>
        <v>6.2244924179626899</v>
      </c>
      <c r="AR250" s="31">
        <f t="shared" si="201"/>
        <v>1.4094414107742586</v>
      </c>
      <c r="AS250" s="58" t="str">
        <f t="shared" si="202"/>
        <v>-3.68564981827802+0.520486368777319i</v>
      </c>
      <c r="AT250" s="49">
        <f t="shared" si="203"/>
        <v>11.416040426132582</v>
      </c>
      <c r="AU250" s="61">
        <f t="shared" si="204"/>
        <v>171.96186073357666</v>
      </c>
      <c r="AV250" s="58" t="str">
        <f t="shared" si="181"/>
        <v>4.21387881372877+6.27346088358583i</v>
      </c>
      <c r="AW250" s="64">
        <f t="shared" si="205"/>
        <v>17.567356279700853</v>
      </c>
      <c r="AX250" s="61">
        <f t="shared" si="206"/>
        <v>56.110772855517638</v>
      </c>
    </row>
    <row r="251" spans="14:50" x14ac:dyDescent="0.35">
      <c r="N251" s="10">
        <v>33</v>
      </c>
      <c r="O251" s="50">
        <f t="shared" si="207"/>
        <v>2137.9620895022344</v>
      </c>
      <c r="P251" s="48" t="str">
        <f t="shared" si="172"/>
        <v>547.187404092767</v>
      </c>
      <c r="Q251" s="17" t="str">
        <f t="shared" si="173"/>
        <v>1+257.62658696271i</v>
      </c>
      <c r="R251" s="17">
        <f t="shared" si="182"/>
        <v>257.62852774887875</v>
      </c>
      <c r="S251" s="17">
        <f t="shared" si="183"/>
        <v>1.5669147593309336</v>
      </c>
      <c r="T251" s="17" t="str">
        <f t="shared" si="174"/>
        <v>1+0.00487479414857622i</v>
      </c>
      <c r="U251" s="17">
        <f t="shared" si="184"/>
        <v>1.0000118817384076</v>
      </c>
      <c r="V251" s="17">
        <f t="shared" si="185"/>
        <v>4.8747555348781354E-3</v>
      </c>
      <c r="W251" s="31" t="str">
        <f t="shared" si="175"/>
        <v>1-0.0846520090170233i</v>
      </c>
      <c r="X251" s="17">
        <f t="shared" si="186"/>
        <v>1.0035765853339835</v>
      </c>
      <c r="Y251" s="17">
        <f t="shared" si="187"/>
        <v>-8.4450669607319923E-2</v>
      </c>
      <c r="Z251" s="31" t="str">
        <f t="shared" si="176"/>
        <v>0.99848896466243+0.405031607633228i</v>
      </c>
      <c r="AA251" s="17">
        <f t="shared" si="188"/>
        <v>1.0775113993525121</v>
      </c>
      <c r="AB251" s="17">
        <f t="shared" si="189"/>
        <v>0.38536287831930488</v>
      </c>
      <c r="AC251" s="66" t="str">
        <f t="shared" si="190"/>
        <v>-0.880103311310214-1.77166503965256i</v>
      </c>
      <c r="AD251" s="64">
        <f t="shared" si="191"/>
        <v>5.925518936628511</v>
      </c>
      <c r="AE251" s="61">
        <f t="shared" si="192"/>
        <v>-116.41663310237598</v>
      </c>
      <c r="AF251" s="31" t="str">
        <f t="shared" si="177"/>
        <v>-6627.51882264077</v>
      </c>
      <c r="AG251" s="31" t="str">
        <f t="shared" si="193"/>
        <v>13433.2119880674i</v>
      </c>
      <c r="AH251" s="31">
        <f t="shared" si="194"/>
        <v>13433.2119880674</v>
      </c>
      <c r="AI251" s="31">
        <f t="shared" si="195"/>
        <v>1.5707963267948966</v>
      </c>
      <c r="AJ251" s="31" t="str">
        <f t="shared" si="178"/>
        <v>0.978464955663686+6.55735526591517i</v>
      </c>
      <c r="AK251" s="31">
        <f t="shared" si="196"/>
        <v>6.6299548831713286</v>
      </c>
      <c r="AL251" s="31">
        <f t="shared" si="197"/>
        <v>1.4226728227123833</v>
      </c>
      <c r="AM251" s="31" t="str">
        <f t="shared" si="179"/>
        <v>1+7.79032262823993i</v>
      </c>
      <c r="AN251" s="31">
        <f t="shared" si="198"/>
        <v>7.8542425893313927</v>
      </c>
      <c r="AO251" s="31">
        <f t="shared" si="199"/>
        <v>1.4431300868434573</v>
      </c>
      <c r="AP251" s="31" t="str">
        <f t="shared" si="180"/>
        <v>1+6.28674321041553i</v>
      </c>
      <c r="AQ251" s="31">
        <f t="shared" si="200"/>
        <v>6.3657788363801773</v>
      </c>
      <c r="AR251" s="31">
        <f t="shared" si="201"/>
        <v>1.4130529842933612</v>
      </c>
      <c r="AS251" s="58" t="str">
        <f t="shared" si="202"/>
        <v>-3.68562197607852+0.509187579594584i</v>
      </c>
      <c r="AT251" s="49">
        <f t="shared" si="203"/>
        <v>11.412327708128178</v>
      </c>
      <c r="AU251" s="61">
        <f t="shared" si="204"/>
        <v>172.13408712347032</v>
      </c>
      <c r="AV251" s="58" t="str">
        <f t="shared" si="181"/>
        <v>4.14583793877743+6.08154992951427i</v>
      </c>
      <c r="AW251" s="64">
        <f t="shared" si="205"/>
        <v>17.337846644756688</v>
      </c>
      <c r="AX251" s="61">
        <f t="shared" si="206"/>
        <v>55.717454021094341</v>
      </c>
    </row>
    <row r="252" spans="14:50" x14ac:dyDescent="0.35">
      <c r="N252" s="10">
        <v>34</v>
      </c>
      <c r="O252" s="50">
        <f t="shared" si="207"/>
        <v>2187.7616239495528</v>
      </c>
      <c r="P252" s="48" t="str">
        <f t="shared" si="172"/>
        <v>547.187404092767</v>
      </c>
      <c r="Q252" s="17" t="str">
        <f t="shared" si="173"/>
        <v>1+263.62748106415i</v>
      </c>
      <c r="R252" s="17">
        <f t="shared" si="182"/>
        <v>263.62937767295352</v>
      </c>
      <c r="S252" s="17">
        <f t="shared" si="183"/>
        <v>1.5670031137360616</v>
      </c>
      <c r="T252" s="17" t="str">
        <f t="shared" si="174"/>
        <v>1+0.00498834269104927i</v>
      </c>
      <c r="U252" s="17">
        <f t="shared" si="184"/>
        <v>1.0000124417040037</v>
      </c>
      <c r="V252" s="17">
        <f t="shared" si="185"/>
        <v>4.9883013157541274E-3</v>
      </c>
      <c r="W252" s="31" t="str">
        <f t="shared" si="175"/>
        <v>1-0.0866238076096072i</v>
      </c>
      <c r="X252" s="17">
        <f t="shared" si="186"/>
        <v>1.0037448301459819</v>
      </c>
      <c r="Y252" s="17">
        <f t="shared" si="187"/>
        <v>-8.6408111992702097E-2</v>
      </c>
      <c r="Z252" s="31" t="str">
        <f t="shared" si="176"/>
        <v>0.998417751760917+0.414466005743291i</v>
      </c>
      <c r="AA252" s="17">
        <f t="shared" si="188"/>
        <v>1.0810273247925426</v>
      </c>
      <c r="AB252" s="17">
        <f t="shared" si="189"/>
        <v>0.39347494324703053</v>
      </c>
      <c r="AC252" s="66" t="str">
        <f t="shared" si="190"/>
        <v>-0.87470983330445-1.71729780257711i</v>
      </c>
      <c r="AD252" s="64">
        <f t="shared" si="191"/>
        <v>5.6986868068093717</v>
      </c>
      <c r="AE252" s="61">
        <f t="shared" si="192"/>
        <v>-116.99213001368251</v>
      </c>
      <c r="AF252" s="31" t="str">
        <f t="shared" si="177"/>
        <v>-6627.51882264077</v>
      </c>
      <c r="AG252" s="31" t="str">
        <f t="shared" si="193"/>
        <v>13746.1116912112i</v>
      </c>
      <c r="AH252" s="31">
        <f t="shared" si="194"/>
        <v>13746.111691211199</v>
      </c>
      <c r="AI252" s="31">
        <f t="shared" si="195"/>
        <v>1.5707963267948966</v>
      </c>
      <c r="AJ252" s="31" t="str">
        <f t="shared" si="178"/>
        <v>0.977450040291904+6.71009569150628i</v>
      </c>
      <c r="AK252" s="31">
        <f t="shared" si="196"/>
        <v>6.7809138595352891</v>
      </c>
      <c r="AL252" s="31">
        <f t="shared" si="197"/>
        <v>1.4261451651061925</v>
      </c>
      <c r="AM252" s="31" t="str">
        <f t="shared" si="179"/>
        <v>1+7.97178255308412i</v>
      </c>
      <c r="AN252" s="31">
        <f t="shared" si="198"/>
        <v>8.0342589623223102</v>
      </c>
      <c r="AO252" s="31">
        <f t="shared" si="199"/>
        <v>1.4460057048099224</v>
      </c>
      <c r="AP252" s="31" t="str">
        <f t="shared" si="180"/>
        <v>1+6.43318027148683i</v>
      </c>
      <c r="AQ252" s="31">
        <f t="shared" si="200"/>
        <v>6.5104384188353519</v>
      </c>
      <c r="AR252" s="31">
        <f t="shared" si="201"/>
        <v>1.4165863625036896</v>
      </c>
      <c r="AS252" s="58" t="str">
        <f t="shared" si="202"/>
        <v>-3.68559516980712+0.498158417742618i</v>
      </c>
      <c r="AT252" s="49">
        <f t="shared" si="203"/>
        <v>11.408778706410159</v>
      </c>
      <c r="AU252" s="61">
        <f t="shared" si="204"/>
        <v>172.30234499112643</v>
      </c>
      <c r="AV252" s="58" t="str">
        <f t="shared" si="181"/>
        <v>4.07931269273436+5.89352041975572i</v>
      </c>
      <c r="AW252" s="64">
        <f t="shared" si="205"/>
        <v>17.10746551321953</v>
      </c>
      <c r="AX252" s="61">
        <f t="shared" si="206"/>
        <v>55.310214977443877</v>
      </c>
    </row>
    <row r="253" spans="14:50" x14ac:dyDescent="0.35">
      <c r="N253" s="10">
        <v>35</v>
      </c>
      <c r="O253" s="50">
        <f t="shared" si="207"/>
        <v>2238.7211385683418</v>
      </c>
      <c r="P253" s="48" t="str">
        <f t="shared" si="172"/>
        <v>547.187404092767</v>
      </c>
      <c r="Q253" s="17" t="str">
        <f t="shared" si="173"/>
        <v>1+269.768153945573i</v>
      </c>
      <c r="R253" s="17">
        <f t="shared" si="182"/>
        <v>269.77000738258948</v>
      </c>
      <c r="S253" s="17">
        <f t="shared" si="183"/>
        <v>1.5670894570066154</v>
      </c>
      <c r="T253" s="17" t="str">
        <f t="shared" si="174"/>
        <v>1+0.00510453611884565i</v>
      </c>
      <c r="U253" s="17">
        <f t="shared" si="184"/>
        <v>1.0000130280596291</v>
      </c>
      <c r="V253" s="17">
        <f t="shared" si="185"/>
        <v>5.1044917844493398E-3</v>
      </c>
      <c r="W253" s="31" t="str">
        <f t="shared" si="175"/>
        <v>1-0.0886415352915876i</v>
      </c>
      <c r="X253" s="17">
        <f t="shared" si="186"/>
        <v>1.0039209738713748</v>
      </c>
      <c r="Y253" s="17">
        <f t="shared" si="187"/>
        <v>-8.8410461999007053E-2</v>
      </c>
      <c r="Z253" s="31" t="str">
        <f t="shared" si="176"/>
        <v>0.998343182698753+0.424120159215705i</v>
      </c>
      <c r="AA253" s="17">
        <f t="shared" si="188"/>
        <v>1.0846967409807362</v>
      </c>
      <c r="AB253" s="17">
        <f t="shared" si="189"/>
        <v>0.4017215771137439</v>
      </c>
      <c r="AC253" s="66" t="str">
        <f t="shared" si="190"/>
        <v>-0.869107625626597-1.6640306726599i</v>
      </c>
      <c r="AD253" s="64">
        <f t="shared" si="191"/>
        <v>5.4707855616822378</v>
      </c>
      <c r="AE253" s="61">
        <f t="shared" si="192"/>
        <v>-117.57764341542037</v>
      </c>
      <c r="AF253" s="31" t="str">
        <f t="shared" si="177"/>
        <v>-6627.51882264077</v>
      </c>
      <c r="AG253" s="31" t="str">
        <f t="shared" si="193"/>
        <v>14066.299764725i</v>
      </c>
      <c r="AH253" s="31">
        <f t="shared" si="194"/>
        <v>14066.299764724999</v>
      </c>
      <c r="AI253" s="31">
        <f t="shared" si="195"/>
        <v>1.5707963267948966</v>
      </c>
      <c r="AJ253" s="31" t="str">
        <f t="shared" si="178"/>
        <v>0.976387293432255+6.86639389865167i</v>
      </c>
      <c r="AK253" s="31">
        <f t="shared" si="196"/>
        <v>6.9354666258455051</v>
      </c>
      <c r="AL253" s="31">
        <f t="shared" si="197"/>
        <v>1.42954531829114</v>
      </c>
      <c r="AM253" s="31" t="str">
        <f t="shared" si="179"/>
        <v>1+8.15746922255697i</v>
      </c>
      <c r="AN253" s="31">
        <f t="shared" si="198"/>
        <v>8.2185341829893375</v>
      </c>
      <c r="AO253" s="31">
        <f t="shared" si="199"/>
        <v>1.4488178718081779</v>
      </c>
      <c r="AP253" s="31" t="str">
        <f t="shared" si="180"/>
        <v>1+6.58302828989129i</v>
      </c>
      <c r="AQ253" s="31">
        <f t="shared" si="200"/>
        <v>6.6585479997901222</v>
      </c>
      <c r="AR253" s="31">
        <f t="shared" si="201"/>
        <v>1.420043065761367</v>
      </c>
      <c r="AS253" s="58" t="str">
        <f t="shared" si="202"/>
        <v>-3.68556934951119+0.487393057736026i</v>
      </c>
      <c r="AT253" s="49">
        <f t="shared" si="203"/>
        <v>11.405386318411175</v>
      </c>
      <c r="AU253" s="61">
        <f t="shared" si="204"/>
        <v>172.46671037191098</v>
      </c>
      <c r="AV253" s="58" t="str">
        <f t="shared" si="181"/>
        <v>4.01419342415008+5.70930342064597i</v>
      </c>
      <c r="AW253" s="64">
        <f t="shared" si="205"/>
        <v>16.876171880093416</v>
      </c>
      <c r="AX253" s="61">
        <f t="shared" si="206"/>
        <v>54.889066956490609</v>
      </c>
    </row>
    <row r="254" spans="14:50" x14ac:dyDescent="0.35">
      <c r="N254" s="10">
        <v>36</v>
      </c>
      <c r="O254" s="50">
        <f t="shared" si="207"/>
        <v>2290.8676527677749</v>
      </c>
      <c r="P254" s="48" t="str">
        <f t="shared" si="172"/>
        <v>547.187404092767</v>
      </c>
      <c r="Q254" s="17" t="str">
        <f t="shared" si="173"/>
        <v>1+276.05186147302i</v>
      </c>
      <c r="R254" s="17">
        <f t="shared" si="182"/>
        <v>276.05367272093923</v>
      </c>
      <c r="S254" s="17">
        <f t="shared" si="183"/>
        <v>1.5671738349177868</v>
      </c>
      <c r="T254" s="17" t="str">
        <f t="shared" si="174"/>
        <v>1+0.00522343603925875i</v>
      </c>
      <c r="U254" s="17">
        <f t="shared" si="184"/>
        <v>1.0000136420489754</v>
      </c>
      <c r="V254" s="17">
        <f t="shared" si="185"/>
        <v>5.2233885341322183E-3</v>
      </c>
      <c r="W254" s="31" t="str">
        <f t="shared" si="175"/>
        <v>1-0.0907062618888886i</v>
      </c>
      <c r="X254" s="17">
        <f t="shared" si="186"/>
        <v>1.0041053858763309</v>
      </c>
      <c r="Y254" s="17">
        <f t="shared" si="187"/>
        <v>-9.0458717037236694E-2</v>
      </c>
      <c r="Z254" s="31" t="str">
        <f t="shared" si="176"/>
        <v>0.998265099304959+0.433999186810428i</v>
      </c>
      <c r="AA254" s="17">
        <f t="shared" si="188"/>
        <v>1.0885258392167145</v>
      </c>
      <c r="AB254" s="17">
        <f t="shared" si="189"/>
        <v>0.41010280961758522</v>
      </c>
      <c r="AC254" s="66" t="str">
        <f t="shared" si="190"/>
        <v>-0.863294323091797-1.61184489029502i</v>
      </c>
      <c r="AD254" s="64">
        <f t="shared" si="191"/>
        <v>5.2417808123541807</v>
      </c>
      <c r="AE254" s="61">
        <f t="shared" si="192"/>
        <v>-118.17323125030508</v>
      </c>
      <c r="AF254" s="31" t="str">
        <f t="shared" si="177"/>
        <v>-6627.51882264077</v>
      </c>
      <c r="AG254" s="31" t="str">
        <f t="shared" si="193"/>
        <v>14393.9459765635i</v>
      </c>
      <c r="AH254" s="31">
        <f t="shared" si="194"/>
        <v>14393.9459765635</v>
      </c>
      <c r="AI254" s="31">
        <f t="shared" si="195"/>
        <v>1.5707963267948966</v>
      </c>
      <c r="AJ254" s="31" t="str">
        <f t="shared" si="178"/>
        <v>0.975274460856165+7.02633275872958i</v>
      </c>
      <c r="AK254" s="31">
        <f t="shared" si="196"/>
        <v>7.0936952507416553</v>
      </c>
      <c r="AL254" s="31">
        <f t="shared" si="197"/>
        <v>1.4328747916763278</v>
      </c>
      <c r="AM254" s="31" t="str">
        <f t="shared" si="179"/>
        <v>1+8.34748109018848i</v>
      </c>
      <c r="AN254" s="31">
        <f t="shared" si="198"/>
        <v>8.4071660237593893</v>
      </c>
      <c r="AO254" s="31">
        <f t="shared" si="199"/>
        <v>1.451567900875913</v>
      </c>
      <c r="AP254" s="31" t="str">
        <f t="shared" si="180"/>
        <v>1+6.73636671703171i</v>
      </c>
      <c r="AQ254" s="31">
        <f t="shared" si="200"/>
        <v>6.8101862343354886</v>
      </c>
      <c r="AR254" s="31">
        <f t="shared" si="201"/>
        <v>1.4234245962585659</v>
      </c>
      <c r="AS254" s="58" t="str">
        <f t="shared" si="202"/>
        <v>-3.68554446674718+0.476885812571096i</v>
      </c>
      <c r="AT254" s="49">
        <f t="shared" si="203"/>
        <v>11.402143737303144</v>
      </c>
      <c r="AU254" s="61">
        <f t="shared" si="204"/>
        <v>172.62725808384243</v>
      </c>
      <c r="AV254" s="58" t="str">
        <f t="shared" si="181"/>
        <v>3.95037557589213+5.52883320192588i</v>
      </c>
      <c r="AW254" s="64">
        <f t="shared" si="205"/>
        <v>16.643924549657321</v>
      </c>
      <c r="AX254" s="61">
        <f t="shared" si="206"/>
        <v>54.454026833537348</v>
      </c>
    </row>
    <row r="255" spans="14:50" x14ac:dyDescent="0.35">
      <c r="N255" s="10">
        <v>37</v>
      </c>
      <c r="O255" s="50">
        <f t="shared" si="207"/>
        <v>2344.2288153199238</v>
      </c>
      <c r="P255" s="48" t="str">
        <f t="shared" si="172"/>
        <v>547.187404092767</v>
      </c>
      <c r="Q255" s="17" t="str">
        <f t="shared" si="173"/>
        <v>1+282.481935351399i</v>
      </c>
      <c r="R255" s="17">
        <f t="shared" si="182"/>
        <v>282.48370537054336</v>
      </c>
      <c r="S255" s="17">
        <f t="shared" si="183"/>
        <v>1.5672562922030531</v>
      </c>
      <c r="T255" s="17" t="str">
        <f t="shared" si="174"/>
        <v>1+0.00534510549460022i</v>
      </c>
      <c r="U255" s="17">
        <f t="shared" si="184"/>
        <v>1.0000142849743441</v>
      </c>
      <c r="V255" s="17">
        <f t="shared" si="185"/>
        <v>5.3450545919793155E-3</v>
      </c>
      <c r="W255" s="31" t="str">
        <f t="shared" si="175"/>
        <v>1-0.0928190821468827i</v>
      </c>
      <c r="X255" s="17">
        <f t="shared" si="186"/>
        <v>1.0042984526576699</v>
      </c>
      <c r="Y255" s="17">
        <f t="shared" si="187"/>
        <v>-9.2553894336121018E-2</v>
      </c>
      <c r="Z255" s="31" t="str">
        <f t="shared" si="176"/>
        <v>0.99818333595419+0.444108326518658i</v>
      </c>
      <c r="AA255" s="17">
        <f t="shared" si="188"/>
        <v>1.0925210194132826</v>
      </c>
      <c r="AB255" s="17">
        <f t="shared" si="189"/>
        <v>0.41861852677097078</v>
      </c>
      <c r="AC255" s="66" t="str">
        <f t="shared" si="190"/>
        <v>-0.857267746274812-1.56072257223432i</v>
      </c>
      <c r="AD255" s="64">
        <f t="shared" si="191"/>
        <v>5.0116377299144377</v>
      </c>
      <c r="AE255" s="61">
        <f t="shared" si="192"/>
        <v>-118.77894422208993</v>
      </c>
      <c r="AF255" s="31" t="str">
        <f t="shared" si="177"/>
        <v>-6627.51882264077</v>
      </c>
      <c r="AG255" s="31" t="str">
        <f t="shared" si="193"/>
        <v>14729.2240490852i</v>
      </c>
      <c r="AH255" s="31">
        <f t="shared" si="194"/>
        <v>14729.2240490852</v>
      </c>
      <c r="AI255" s="31">
        <f t="shared" si="195"/>
        <v>1.5707963267948966</v>
      </c>
      <c r="AJ255" s="31" t="str">
        <f t="shared" si="178"/>
        <v>0.97410918209654+7.18999707344067i</v>
      </c>
      <c r="AK255" s="31">
        <f t="shared" si="196"/>
        <v>7.2556837455011918</v>
      </c>
      <c r="AL255" s="31">
        <f t="shared" si="197"/>
        <v>1.4361350759895264</v>
      </c>
      <c r="AM255" s="31" t="str">
        <f t="shared" si="179"/>
        <v>1+8.54191890278599i</v>
      </c>
      <c r="AN255" s="31">
        <f t="shared" si="198"/>
        <v>8.6002545626145643</v>
      </c>
      <c r="AO255" s="31">
        <f t="shared" si="199"/>
        <v>1.4542570836453761</v>
      </c>
      <c r="AP255" s="31" t="str">
        <f t="shared" si="180"/>
        <v>1+6.89327685497186i</v>
      </c>
      <c r="AQ255" s="31">
        <f t="shared" si="200"/>
        <v>6.9654336404340782</v>
      </c>
      <c r="AR255" s="31">
        <f t="shared" si="201"/>
        <v>1.4267324374318977</v>
      </c>
      <c r="AS255" s="58" t="str">
        <f t="shared" si="202"/>
        <v>-3.68552047452584+0.46663113079182i</v>
      </c>
      <c r="AT255" s="49">
        <f t="shared" si="203"/>
        <v>11.399044440645309</v>
      </c>
      <c r="AU255" s="61">
        <f t="shared" si="204"/>
        <v>172.78406171424447</v>
      </c>
      <c r="AV255" s="58" t="str">
        <f t="shared" si="181"/>
        <v>3.88775956978046+5.35204717718865i</v>
      </c>
      <c r="AW255" s="64">
        <f t="shared" si="205"/>
        <v>16.410682170559745</v>
      </c>
      <c r="AX255" s="61">
        <f t="shared" si="206"/>
        <v>54.005117492154554</v>
      </c>
    </row>
    <row r="256" spans="14:50" x14ac:dyDescent="0.35">
      <c r="N256" s="10">
        <v>38</v>
      </c>
      <c r="O256" s="50">
        <f t="shared" si="207"/>
        <v>2398.8329190194918</v>
      </c>
      <c r="P256" s="48" t="str">
        <f t="shared" si="172"/>
        <v>547.187404092767</v>
      </c>
      <c r="Q256" s="17" t="str">
        <f t="shared" si="173"/>
        <v>1+289.061784890991i</v>
      </c>
      <c r="R256" s="17">
        <f t="shared" si="182"/>
        <v>289.06351461982462</v>
      </c>
      <c r="S256" s="17">
        <f t="shared" si="183"/>
        <v>1.5673368725778702</v>
      </c>
      <c r="T256" s="17" t="str">
        <f t="shared" si="174"/>
        <v>1+0.00546960899562575i</v>
      </c>
      <c r="U256" s="17">
        <f t="shared" si="184"/>
        <v>1.0000149581994087</v>
      </c>
      <c r="V256" s="17">
        <f t="shared" si="185"/>
        <v>5.4695544525288275E-3</v>
      </c>
      <c r="W256" s="31" t="str">
        <f t="shared" si="175"/>
        <v>1-0.0949811163108364i</v>
      </c>
      <c r="X256" s="17">
        <f t="shared" si="186"/>
        <v>1.0045005786238517</v>
      </c>
      <c r="Y256" s="17">
        <f t="shared" si="187"/>
        <v>-9.4697031167004703E-2</v>
      </c>
      <c r="Z256" s="31" t="str">
        <f t="shared" si="176"/>
        <v>0.998097719215414+0.454452938340074i</v>
      </c>
      <c r="AA256" s="17">
        <f t="shared" si="188"/>
        <v>1.09668889402097</v>
      </c>
      <c r="AB256" s="17">
        <f t="shared" si="189"/>
        <v>0.42726846413471126</v>
      </c>
      <c r="AC256" s="66" t="str">
        <f t="shared" si="190"/>
        <v>-0.851025927152597-1.51064669502301i</v>
      </c>
      <c r="AD256" s="64">
        <f t="shared" si="191"/>
        <v>4.7803210967430783</v>
      </c>
      <c r="AE256" s="61">
        <f t="shared" si="192"/>
        <v>-119.3948254202427</v>
      </c>
      <c r="AF256" s="31" t="str">
        <f t="shared" si="177"/>
        <v>-6627.51882264077</v>
      </c>
      <c r="AG256" s="31" t="str">
        <f t="shared" si="193"/>
        <v>15072.311751162i</v>
      </c>
      <c r="AH256" s="31">
        <f t="shared" si="194"/>
        <v>15072.311751162</v>
      </c>
      <c r="AI256" s="31">
        <f t="shared" si="195"/>
        <v>1.5707963267948966</v>
      </c>
      <c r="AJ256" s="31" t="str">
        <f t="shared" si="178"/>
        <v>0.9728889854409+7.35747361977097i</v>
      </c>
      <c r="AK256" s="31">
        <f t="shared" si="196"/>
        <v>7.4215181090945253</v>
      </c>
      <c r="AL256" s="31">
        <f t="shared" si="197"/>
        <v>1.4393276428962198</v>
      </c>
      <c r="AM256" s="31" t="str">
        <f t="shared" si="179"/>
        <v>1+8.74088575385139i</v>
      </c>
      <c r="AN256" s="31">
        <f t="shared" si="198"/>
        <v>8.7979022364358084</v>
      </c>
      <c r="AO256" s="31">
        <f t="shared" si="199"/>
        <v>1.4568866902941271</v>
      </c>
      <c r="AP256" s="31" t="str">
        <f t="shared" si="180"/>
        <v>1+7.05384189954381i</v>
      </c>
      <c r="AQ256" s="31">
        <f t="shared" si="200"/>
        <v>7.1243726421180291</v>
      </c>
      <c r="AR256" s="31">
        <f t="shared" si="201"/>
        <v>1.4299680534418016</v>
      </c>
      <c r="AS256" s="58" t="str">
        <f t="shared" si="202"/>
        <v>-3.68549732725689+0.456623593623485i</v>
      </c>
      <c r="AT256" s="49">
        <f t="shared" si="203"/>
        <v>11.396082179379661</v>
      </c>
      <c r="AU256" s="61">
        <f t="shared" si="204"/>
        <v>172.93719360892334</v>
      </c>
      <c r="AV256" s="58" t="str">
        <f t="shared" si="181"/>
        <v>3.82625070252406+5.17888583981358i</v>
      </c>
      <c r="AW256" s="64">
        <f t="shared" si="205"/>
        <v>16.176403276122738</v>
      </c>
      <c r="AX256" s="61">
        <f t="shared" si="206"/>
        <v>53.542368188680655</v>
      </c>
    </row>
    <row r="257" spans="14:50" x14ac:dyDescent="0.35">
      <c r="N257" s="10">
        <v>39</v>
      </c>
      <c r="O257" s="50">
        <f t="shared" si="207"/>
        <v>2454.7089156850338</v>
      </c>
      <c r="P257" s="48" t="str">
        <f t="shared" si="172"/>
        <v>547.187404092767</v>
      </c>
      <c r="Q257" s="17" t="str">
        <f t="shared" si="173"/>
        <v>1+295.794898815117i</v>
      </c>
      <c r="R257" s="17">
        <f t="shared" si="182"/>
        <v>295.79658917074295</v>
      </c>
      <c r="S257" s="17">
        <f t="shared" si="183"/>
        <v>1.5674156187628314</v>
      </c>
      <c r="T257" s="17" t="str">
        <f t="shared" si="174"/>
        <v>1+0.00559701255573959i</v>
      </c>
      <c r="U257" s="17">
        <f t="shared" si="184"/>
        <v>1.0000156631521073</v>
      </c>
      <c r="V257" s="17">
        <f t="shared" si="185"/>
        <v>5.5969541118077093E-3</v>
      </c>
      <c r="W257" s="31" t="str">
        <f t="shared" si="175"/>
        <v>1-0.0971935107198819i</v>
      </c>
      <c r="X257" s="17">
        <f t="shared" si="186"/>
        <v>1.0047121869102891</v>
      </c>
      <c r="Y257" s="17">
        <f t="shared" si="187"/>
        <v>-9.6889185057945026E-2</v>
      </c>
      <c r="Z257" s="31" t="str">
        <f t="shared" si="176"/>
        <v>0.998008067484052+0.465038507124795i</v>
      </c>
      <c r="AA257" s="17">
        <f t="shared" si="188"/>
        <v>1.1010362918051839</v>
      </c>
      <c r="AB257" s="17">
        <f t="shared" si="189"/>
        <v>0.43605220015349905</v>
      </c>
      <c r="AC257" s="66" t="str">
        <f t="shared" si="190"/>
        <v>-0.844567135260345-1.46160107689171i</v>
      </c>
      <c r="AD257" s="64">
        <f t="shared" si="191"/>
        <v>4.5477953628136172</v>
      </c>
      <c r="AE257" s="61">
        <f t="shared" si="192"/>
        <v>-120.02090994973327</v>
      </c>
      <c r="AF257" s="31" t="str">
        <f t="shared" si="177"/>
        <v>-6627.51882264077</v>
      </c>
      <c r="AG257" s="31" t="str">
        <f t="shared" si="193"/>
        <v>15423.3909924349i</v>
      </c>
      <c r="AH257" s="31">
        <f t="shared" si="194"/>
        <v>15423.390992434901</v>
      </c>
      <c r="AI257" s="31">
        <f t="shared" si="195"/>
        <v>1.5707963267948966</v>
      </c>
      <c r="AJ257" s="31" t="str">
        <f t="shared" si="178"/>
        <v>0.971611282688543+7.52885119600215i</v>
      </c>
      <c r="AK257" s="31">
        <f t="shared" si="196"/>
        <v>7.5912863742708776</v>
      </c>
      <c r="AL257" s="31">
        <f t="shared" si="197"/>
        <v>1.44245394467807</v>
      </c>
      <c r="AM257" s="31" t="str">
        <f t="shared" si="179"/>
        <v>1+8.94448713824278i</v>
      </c>
      <c r="AN257" s="31">
        <f t="shared" si="198"/>
        <v>9.0002138955799555</v>
      </c>
      <c r="AO257" s="31">
        <f t="shared" si="199"/>
        <v>1.4594579695295944</v>
      </c>
      <c r="AP257" s="31" t="str">
        <f t="shared" si="180"/>
        <v>1+7.21814698445952i</v>
      </c>
      <c r="AQ257" s="31">
        <f t="shared" si="200"/>
        <v>7.2870876136672091</v>
      </c>
      <c r="AR257" s="31">
        <f t="shared" si="201"/>
        <v>1.4331328887184527</v>
      </c>
      <c r="AS257" s="58" t="str">
        <f t="shared" si="202"/>
        <v>-3.68547498069286+0.446857912172426i</v>
      </c>
      <c r="AT257" s="49">
        <f t="shared" si="203"/>
        <v>11.393250967169859</v>
      </c>
      <c r="AU257" s="61">
        <f t="shared" si="204"/>
        <v>173.08672486368721</v>
      </c>
      <c r="AV257" s="58" t="str">
        <f t="shared" si="181"/>
        <v>3.76575905216624+5.00929269388625i</v>
      </c>
      <c r="AW257" s="64">
        <f t="shared" si="205"/>
        <v>15.941046329983468</v>
      </c>
      <c r="AX257" s="61">
        <f t="shared" si="206"/>
        <v>53.065814913953936</v>
      </c>
    </row>
    <row r="258" spans="14:50" x14ac:dyDescent="0.35">
      <c r="N258" s="10">
        <v>40</v>
      </c>
      <c r="O258" s="50">
        <f t="shared" si="207"/>
        <v>2511.8864315095811</v>
      </c>
      <c r="P258" s="48" t="str">
        <f t="shared" si="172"/>
        <v>547.187404092767</v>
      </c>
      <c r="Q258" s="17" t="str">
        <f t="shared" si="173"/>
        <v>1+302.684847109905i</v>
      </c>
      <c r="R258" s="17">
        <f t="shared" si="182"/>
        <v>302.68649898855176</v>
      </c>
      <c r="S258" s="17">
        <f t="shared" si="183"/>
        <v>1.5674925725062978</v>
      </c>
      <c r="T258" s="17" t="str">
        <f t="shared" si="174"/>
        <v>1+0.00572738372599574i</v>
      </c>
      <c r="U258" s="17">
        <f t="shared" si="184"/>
        <v>1.0000164013276707</v>
      </c>
      <c r="V258" s="17">
        <f t="shared" si="185"/>
        <v>5.7273211022499278E-3</v>
      </c>
      <c r="W258" s="31" t="str">
        <f t="shared" si="175"/>
        <v>1-0.0994574384148199i</v>
      </c>
      <c r="X258" s="17">
        <f t="shared" si="186"/>
        <v>1.0049337202303632</v>
      </c>
      <c r="Y258" s="17">
        <f t="shared" si="187"/>
        <v>-9.9131433995719595E-2</v>
      </c>
      <c r="Z258" s="31" t="str">
        <f t="shared" si="176"/>
        <v>0.99791419059676+0.475870645481508i</v>
      </c>
      <c r="AA258" s="17">
        <f t="shared" si="188"/>
        <v>1.1055702614602898</v>
      </c>
      <c r="AB258" s="17">
        <f t="shared" si="189"/>
        <v>0.44496914963515027</v>
      </c>
      <c r="AC258" s="66" t="str">
        <f t="shared" si="190"/>
        <v>-0.837889904234368-1.41357035797625i</v>
      </c>
      <c r="AD258" s="64">
        <f t="shared" si="191"/>
        <v>4.3140247070989446</v>
      </c>
      <c r="AE258" s="61">
        <f t="shared" si="192"/>
        <v>-120.65722456829359</v>
      </c>
      <c r="AF258" s="31" t="str">
        <f t="shared" si="177"/>
        <v>-6627.51882264077</v>
      </c>
      <c r="AG258" s="31" t="str">
        <f t="shared" si="193"/>
        <v>15782.6479197648i</v>
      </c>
      <c r="AH258" s="31">
        <f t="shared" si="194"/>
        <v>15782.6479197648</v>
      </c>
      <c r="AI258" s="31">
        <f t="shared" si="195"/>
        <v>1.5707963267948966</v>
      </c>
      <c r="AJ258" s="31" t="str">
        <f t="shared" si="178"/>
        <v>0.970273363660626+7.70422066879357i</v>
      </c>
      <c r="AK258" s="31">
        <f t="shared" si="196"/>
        <v>7.7650786547011466</v>
      </c>
      <c r="AL258" s="31">
        <f t="shared" si="197"/>
        <v>1.4455154139668731</v>
      </c>
      <c r="AM258" s="31" t="str">
        <f t="shared" si="179"/>
        <v>1+9.15283100810921i</v>
      </c>
      <c r="AN258" s="31">
        <f t="shared" si="198"/>
        <v>9.2072968597197651</v>
      </c>
      <c r="AO258" s="31">
        <f t="shared" si="199"/>
        <v>1.4619721486048054</v>
      </c>
      <c r="AP258" s="31" t="str">
        <f t="shared" si="180"/>
        <v>1+7.38627922644992i</v>
      </c>
      <c r="AQ258" s="31">
        <f t="shared" si="200"/>
        <v>7.4536649247927445</v>
      </c>
      <c r="AR258" s="31">
        <f t="shared" si="201"/>
        <v>1.4362283675698897</v>
      </c>
      <c r="AS258" s="58" t="str">
        <f t="shared" si="202"/>
        <v>-3.68545339187287+0.437328924690649i</v>
      </c>
      <c r="AT258" s="49">
        <f t="shared" si="203"/>
        <v>11.3905450700817</v>
      </c>
      <c r="AU258" s="61">
        <f t="shared" si="204"/>
        <v>173.23272531803886</v>
      </c>
      <c r="AV258" s="58" t="str">
        <f t="shared" si="181"/>
        <v>3.70619939420491+4.84321417962655i</v>
      </c>
      <c r="AW258" s="64">
        <f t="shared" si="205"/>
        <v>15.704569777180639</v>
      </c>
      <c r="AX258" s="61">
        <f t="shared" si="206"/>
        <v>52.575500749745309</v>
      </c>
    </row>
    <row r="259" spans="14:50" x14ac:dyDescent="0.35">
      <c r="N259" s="10">
        <v>41</v>
      </c>
      <c r="O259" s="50">
        <f t="shared" si="207"/>
        <v>2570.3957827688669</v>
      </c>
      <c r="P259" s="48" t="str">
        <f t="shared" si="172"/>
        <v>547.187404092767</v>
      </c>
      <c r="Q259" s="17" t="str">
        <f t="shared" si="173"/>
        <v>1+309.735282917137i</v>
      </c>
      <c r="R259" s="17">
        <f t="shared" si="182"/>
        <v>309.7368971946334</v>
      </c>
      <c r="S259" s="17">
        <f t="shared" si="183"/>
        <v>1.5675677746065149</v>
      </c>
      <c r="T259" s="17" t="str">
        <f t="shared" si="174"/>
        <v>1+0.00586079163091426i</v>
      </c>
      <c r="U259" s="17">
        <f t="shared" si="184"/>
        <v>1.0000171742917923</v>
      </c>
      <c r="V259" s="17">
        <f t="shared" si="185"/>
        <v>5.860724528423897E-3</v>
      </c>
      <c r="W259" s="31" t="str">
        <f t="shared" si="175"/>
        <v>1-0.10177409976008i</v>
      </c>
      <c r="X259" s="17">
        <f t="shared" si="186"/>
        <v>1.0051656417635726</v>
      </c>
      <c r="Y259" s="17">
        <f t="shared" si="187"/>
        <v>-0.1014248766143644</v>
      </c>
      <c r="Z259" s="31" t="str">
        <f t="shared" si="176"/>
        <v>0.997815889428074+0.486955096753345i</v>
      </c>
      <c r="AA259" s="17">
        <f t="shared" si="188"/>
        <v>1.1102980750452545</v>
      </c>
      <c r="AB259" s="17">
        <f t="shared" si="189"/>
        <v>0.45401855741869174</v>
      </c>
      <c r="AC259" s="66" t="str">
        <f t="shared" si="190"/>
        <v>-0.83099305859713-1.36653997874377i</v>
      </c>
      <c r="AD259" s="64">
        <f t="shared" si="191"/>
        <v>4.0789731041628805</v>
      </c>
      <c r="AE259" s="61">
        <f t="shared" si="192"/>
        <v>-121.30378733364769</v>
      </c>
      <c r="AF259" s="31" t="str">
        <f t="shared" si="177"/>
        <v>-6627.51882264077</v>
      </c>
      <c r="AG259" s="31" t="str">
        <f t="shared" si="193"/>
        <v>16150.2730159297i</v>
      </c>
      <c r="AH259" s="31">
        <f t="shared" si="194"/>
        <v>16150.273015929701</v>
      </c>
      <c r="AI259" s="31">
        <f t="shared" si="195"/>
        <v>1.5707963267948966</v>
      </c>
      <c r="AJ259" s="31" t="str">
        <f t="shared" si="178"/>
        <v>0.968872390451515+7.88367502136101i</v>
      </c>
      <c r="AK259" s="31">
        <f t="shared" si="196"/>
        <v>7.9429871932045026</v>
      </c>
      <c r="AL259" s="31">
        <f t="shared" si="197"/>
        <v>1.448513463530279</v>
      </c>
      <c r="AM259" s="31" t="str">
        <f t="shared" si="179"/>
        <v>1+9.36602783012812i</v>
      </c>
      <c r="AN259" s="31">
        <f t="shared" si="198"/>
        <v>9.4192609749775187</v>
      </c>
      <c r="AO259" s="31">
        <f t="shared" si="199"/>
        <v>1.4644304333628173</v>
      </c>
      <c r="AP259" s="31" t="str">
        <f t="shared" si="180"/>
        <v>1+7.55832777145509i</v>
      </c>
      <c r="AQ259" s="31">
        <f t="shared" si="200"/>
        <v>7.6241929868510852</v>
      </c>
      <c r="AR259" s="31">
        <f t="shared" si="201"/>
        <v>1.4392558938482654</v>
      </c>
      <c r="AS259" s="58" t="str">
        <f t="shared" si="202"/>
        <v>-3.68543251906567+0.428031593904089i</v>
      </c>
      <c r="AT259" s="49">
        <f t="shared" si="203"/>
        <v>11.387958996598917</v>
      </c>
      <c r="AU259" s="61">
        <f t="shared" si="204"/>
        <v>173.37526355087593</v>
      </c>
      <c r="AV259" s="58" t="str">
        <f t="shared" si="181"/>
        <v>3.64749112650706+4.68059959287104i</v>
      </c>
      <c r="AW259" s="64">
        <f t="shared" si="205"/>
        <v>15.466932100761799</v>
      </c>
      <c r="AX259" s="61">
        <f t="shared" si="206"/>
        <v>52.07147621722828</v>
      </c>
    </row>
    <row r="260" spans="14:50" x14ac:dyDescent="0.35">
      <c r="N260" s="10">
        <v>42</v>
      </c>
      <c r="O260" s="50">
        <f t="shared" si="207"/>
        <v>2630.2679918953822</v>
      </c>
      <c r="P260" s="48" t="str">
        <f t="shared" si="172"/>
        <v>547.187404092767</v>
      </c>
      <c r="Q260" s="17" t="str">
        <f t="shared" si="173"/>
        <v>1+316.949944471202i</v>
      </c>
      <c r="R260" s="17">
        <f t="shared" si="182"/>
        <v>316.95152200344148</v>
      </c>
      <c r="S260" s="17">
        <f t="shared" si="183"/>
        <v>1.5676412649332272</v>
      </c>
      <c r="T260" s="17" t="str">
        <f t="shared" si="174"/>
        <v>1+0.00599730700513224i</v>
      </c>
      <c r="U260" s="17">
        <f t="shared" si="184"/>
        <v>1.0000179836839505</v>
      </c>
      <c r="V260" s="17">
        <f t="shared" si="185"/>
        <v>5.9972351035882214E-3</v>
      </c>
      <c r="W260" s="31" t="str">
        <f t="shared" si="175"/>
        <v>1-0.104144723080172i</v>
      </c>
      <c r="X260" s="17">
        <f t="shared" si="186"/>
        <v>1.0054084360822948</v>
      </c>
      <c r="Y260" s="17">
        <f t="shared" si="187"/>
        <v>-0.10377063236876435</v>
      </c>
      <c r="Z260" s="31" t="str">
        <f t="shared" si="176"/>
        <v>0.997712955468037+0.498297738063094i</v>
      </c>
      <c r="AA260" s="17">
        <f t="shared" si="188"/>
        <v>1.1152272312257987</v>
      </c>
      <c r="AB260" s="17">
        <f t="shared" si="189"/>
        <v>0.46319949227885199</v>
      </c>
      <c r="AC260" s="66" t="str">
        <f t="shared" si="190"/>
        <v>-0.823875740622022-1.32049615651287i</v>
      </c>
      <c r="AD260" s="64">
        <f t="shared" si="191"/>
        <v>3.8426043959879701</v>
      </c>
      <c r="AE260" s="61">
        <f t="shared" si="192"/>
        <v>-121.96060726335485</v>
      </c>
      <c r="AF260" s="31" t="str">
        <f t="shared" si="177"/>
        <v>-6627.51882264077</v>
      </c>
      <c r="AG260" s="31" t="str">
        <f t="shared" si="193"/>
        <v>16526.4612006218i</v>
      </c>
      <c r="AH260" s="31">
        <f t="shared" si="194"/>
        <v>16526.461200621801</v>
      </c>
      <c r="AI260" s="31">
        <f t="shared" si="195"/>
        <v>1.5707963267948966</v>
      </c>
      <c r="AJ260" s="31" t="str">
        <f t="shared" si="178"/>
        <v>0.967405391409199+8.06730940277754i</v>
      </c>
      <c r="AK260" s="31">
        <f t="shared" si="196"/>
        <v>8.1251064110859801</v>
      </c>
      <c r="AL260" s="31">
        <f t="shared" si="197"/>
        <v>1.4514494861057226</v>
      </c>
      <c r="AM260" s="31" t="str">
        <f t="shared" si="179"/>
        <v>1+9.58419064407661i</v>
      </c>
      <c r="AN260" s="31">
        <f t="shared" si="198"/>
        <v>9.6362186723841852</v>
      </c>
      <c r="AO260" s="31">
        <f t="shared" si="199"/>
        <v>1.4668340083075224</v>
      </c>
      <c r="AP260" s="31" t="str">
        <f t="shared" si="180"/>
        <v>1+7.73438384189099i</v>
      </c>
      <c r="AQ260" s="31">
        <f t="shared" si="200"/>
        <v>7.7987623001156035</v>
      </c>
      <c r="AR260" s="31">
        <f t="shared" si="201"/>
        <v>1.4422168506703341</v>
      </c>
      <c r="AS260" s="58" t="str">
        <f t="shared" si="202"/>
        <v>-3.68541232171294+0.418961004403184i</v>
      </c>
      <c r="AT260" s="49">
        <f t="shared" si="203"/>
        <v>11.385487487971435</v>
      </c>
      <c r="AU260" s="61">
        <f t="shared" si="204"/>
        <v>173.51440687804796</v>
      </c>
      <c r="AV260" s="58" t="str">
        <f t="shared" si="181"/>
        <v>3.58955820209195+4.52140099819269i</v>
      </c>
      <c r="AW260" s="64">
        <f t="shared" si="205"/>
        <v>15.228091883959404</v>
      </c>
      <c r="AX260" s="61">
        <f t="shared" si="206"/>
        <v>51.553799614693091</v>
      </c>
    </row>
    <row r="261" spans="14:50" x14ac:dyDescent="0.35">
      <c r="N261" s="10">
        <v>43</v>
      </c>
      <c r="O261" s="50">
        <f t="shared" si="207"/>
        <v>2691.5348039269184</v>
      </c>
      <c r="P261" s="48" t="str">
        <f t="shared" si="172"/>
        <v>547.187404092767</v>
      </c>
      <c r="Q261" s="17" t="str">
        <f t="shared" si="173"/>
        <v>1+324.332657081156i</v>
      </c>
      <c r="R261" s="17">
        <f t="shared" si="182"/>
        <v>324.33419870455032</v>
      </c>
      <c r="S261" s="17">
        <f t="shared" si="183"/>
        <v>1.5677130824488017</v>
      </c>
      <c r="T261" s="17" t="str">
        <f t="shared" si="174"/>
        <v>1+0.00613700223090811i</v>
      </c>
      <c r="U261" s="17">
        <f t="shared" si="184"/>
        <v>1.0000188312208835</v>
      </c>
      <c r="V261" s="17">
        <f t="shared" si="185"/>
        <v>6.1369251870939745E-3</v>
      </c>
      <c r="W261" s="31" t="str">
        <f t="shared" si="175"/>
        <v>1-0.10657056531096i</v>
      </c>
      <c r="X261" s="17">
        <f t="shared" si="186"/>
        <v>1.0056626101186708</v>
      </c>
      <c r="Y261" s="17">
        <f t="shared" si="187"/>
        <v>-0.10616984169170762</v>
      </c>
      <c r="Z261" s="31" t="str">
        <f t="shared" si="176"/>
        <v>0.997605170379917+0.509904583429315i</v>
      </c>
      <c r="AA261" s="17">
        <f t="shared" si="188"/>
        <v>1.1203654583085676</v>
      </c>
      <c r="AB261" s="17">
        <f t="shared" si="189"/>
        <v>0.47251084111670044</v>
      </c>
      <c r="AC261" s="66" t="str">
        <f t="shared" si="190"/>
        <v>-0.816537437097826-1.2754258599678i</v>
      </c>
      <c r="AD261" s="64">
        <f t="shared" si="191"/>
        <v>3.6048823690580041</v>
      </c>
      <c r="AE261" s="61">
        <f t="shared" si="192"/>
        <v>-122.62768401002374</v>
      </c>
      <c r="AF261" s="31" t="str">
        <f t="shared" si="177"/>
        <v>-6627.51882264077</v>
      </c>
      <c r="AG261" s="31" t="str">
        <f t="shared" si="193"/>
        <v>16911.4119337961i</v>
      </c>
      <c r="AH261" s="31">
        <f t="shared" si="194"/>
        <v>16911.411933796098</v>
      </c>
      <c r="AI261" s="31">
        <f t="shared" si="195"/>
        <v>1.5707963267948966</v>
      </c>
      <c r="AJ261" s="31" t="str">
        <f t="shared" si="178"/>
        <v>0.965869254832027+8.2552211784229i</v>
      </c>
      <c r="AK261" s="31">
        <f t="shared" si="196"/>
        <v>8.3115329586130944</v>
      </c>
      <c r="AL261" s="31">
        <f t="shared" si="197"/>
        <v>1.4543248542792055</v>
      </c>
      <c r="AM261" s="31" t="str">
        <f t="shared" si="179"/>
        <v>1+9.80743512276638i</v>
      </c>
      <c r="AN261" s="31">
        <f t="shared" si="198"/>
        <v>9.8582850276948069</v>
      </c>
      <c r="AO261" s="31">
        <f t="shared" si="199"/>
        <v>1.4691840366986273</v>
      </c>
      <c r="AP261" s="31" t="str">
        <f t="shared" si="180"/>
        <v>1+7.91454078501656i</v>
      </c>
      <c r="AQ261" s="31">
        <f t="shared" si="200"/>
        <v>7.9774655021310208</v>
      </c>
      <c r="AR261" s="31">
        <f t="shared" si="201"/>
        <v>1.4451126001884456</v>
      </c>
      <c r="AS261" s="58" t="str">
        <f t="shared" si="202"/>
        <v>-3.68539276037205+0.410112360094615i</v>
      </c>
      <c r="AT261" s="49">
        <f t="shared" si="203"/>
        <v>11.383125508888517</v>
      </c>
      <c r="AU261" s="61">
        <f t="shared" si="204"/>
        <v>173.65022135162209</v>
      </c>
      <c r="AV261" s="58" t="str">
        <f t="shared" si="181"/>
        <v>3.53232906881017+4.36557313528283i</v>
      </c>
      <c r="AW261" s="64">
        <f t="shared" si="205"/>
        <v>14.988007877946517</v>
      </c>
      <c r="AX261" s="61">
        <f t="shared" si="206"/>
        <v>51.022537341598408</v>
      </c>
    </row>
    <row r="262" spans="14:50" x14ac:dyDescent="0.35">
      <c r="N262" s="10">
        <v>44</v>
      </c>
      <c r="O262" s="50">
        <f t="shared" si="207"/>
        <v>2754.228703338169</v>
      </c>
      <c r="P262" s="48" t="str">
        <f t="shared" si="172"/>
        <v>547.187404092767</v>
      </c>
      <c r="Q262" s="17" t="str">
        <f t="shared" si="173"/>
        <v>1+331.887335158945i</v>
      </c>
      <c r="R262" s="17">
        <f t="shared" si="182"/>
        <v>331.88884169086782</v>
      </c>
      <c r="S262" s="17">
        <f t="shared" si="183"/>
        <v>1.5677832652288708</v>
      </c>
      <c r="T262" s="17" t="str">
        <f t="shared" si="174"/>
        <v>1+0.00627995137649964i</v>
      </c>
      <c r="U262" s="17">
        <f t="shared" si="184"/>
        <v>1.000019718700232</v>
      </c>
      <c r="V262" s="17">
        <f t="shared" si="185"/>
        <v>6.2798688226533613E-3</v>
      </c>
      <c r="W262" s="31" t="str">
        <f t="shared" si="175"/>
        <v>1-0.109052912666104i</v>
      </c>
      <c r="X262" s="17">
        <f t="shared" si="186"/>
        <v>1.0059286941731809</v>
      </c>
      <c r="Y262" s="17">
        <f t="shared" si="187"/>
        <v>-0.10862366613271117</v>
      </c>
      <c r="Z262" s="31" t="str">
        <f t="shared" si="176"/>
        <v>0.997492305537094+0.521781786955057i</v>
      </c>
      <c r="AA262" s="17">
        <f t="shared" si="188"/>
        <v>1.1257207170536214</v>
      </c>
      <c r="AB262" s="17">
        <f t="shared" si="189"/>
        <v>0.48195130348819187</v>
      </c>
      <c r="AC262" s="66" t="str">
        <f t="shared" si="190"/>
        <v>-0.808978005795798-1.23131678158111i</v>
      </c>
      <c r="AD262" s="64">
        <f t="shared" si="191"/>
        <v>3.3657708366769756</v>
      </c>
      <c r="AE262" s="61">
        <f t="shared" si="192"/>
        <v>-123.3050075547644</v>
      </c>
      <c r="AF262" s="31" t="str">
        <f t="shared" si="177"/>
        <v>-6627.51882264077</v>
      </c>
      <c r="AG262" s="31" t="str">
        <f t="shared" si="193"/>
        <v>17305.3293214267i</v>
      </c>
      <c r="AH262" s="31">
        <f t="shared" si="194"/>
        <v>17305.3293214267</v>
      </c>
      <c r="AI262" s="31">
        <f t="shared" si="195"/>
        <v>1.5707963267948966</v>
      </c>
      <c r="AJ262" s="31" t="str">
        <f t="shared" si="178"/>
        <v>0.964260722368365+8.44750998160782i</v>
      </c>
      <c r="AK262" s="31">
        <f t="shared" si="196"/>
        <v>8.5023657666596595</v>
      </c>
      <c r="AL262" s="31">
        <f t="shared" si="197"/>
        <v>1.4571409204057402</v>
      </c>
      <c r="AM262" s="31" t="str">
        <f t="shared" si="179"/>
        <v>1+10.035879633375i</v>
      </c>
      <c r="AN262" s="31">
        <f t="shared" si="198"/>
        <v>10.085577822593562</v>
      </c>
      <c r="AO262" s="31">
        <f t="shared" si="199"/>
        <v>1.4714816606687484</v>
      </c>
      <c r="AP262" s="31" t="str">
        <f t="shared" si="180"/>
        <v>1+8.09889412242768i</v>
      </c>
      <c r="AQ262" s="31">
        <f t="shared" si="200"/>
        <v>8.1603974171785048</v>
      </c>
      <c r="AR262" s="31">
        <f t="shared" si="201"/>
        <v>1.447944483408536</v>
      </c>
      <c r="AS262" s="58" t="str">
        <f t="shared" si="202"/>
        <v>-3.68537379665923+0.401480981712949i</v>
      </c>
      <c r="AT262" s="49">
        <f t="shared" si="203"/>
        <v>11.380868238472797</v>
      </c>
      <c r="AU262" s="61">
        <f t="shared" si="204"/>
        <v>173.78277176072305</v>
      </c>
      <c r="AV262" s="58" t="str">
        <f t="shared" si="181"/>
        <v>3.47573661490229+4.21307331827472i</v>
      </c>
      <c r="AW262" s="64">
        <f t="shared" si="205"/>
        <v>14.746639075149782</v>
      </c>
      <c r="AX262" s="61">
        <f t="shared" si="206"/>
        <v>50.477764205958621</v>
      </c>
    </row>
    <row r="263" spans="14:50" x14ac:dyDescent="0.35">
      <c r="N263" s="10">
        <v>45</v>
      </c>
      <c r="O263" s="50">
        <f t="shared" si="207"/>
        <v>2818.3829312644561</v>
      </c>
      <c r="P263" s="48" t="str">
        <f t="shared" si="172"/>
        <v>547.187404092767</v>
      </c>
      <c r="Q263" s="17" t="str">
        <f t="shared" si="173"/>
        <v>1+339.617984294882i</v>
      </c>
      <c r="R263" s="17">
        <f t="shared" si="182"/>
        <v>339.6194565341018</v>
      </c>
      <c r="S263" s="17">
        <f t="shared" si="183"/>
        <v>1.5678518504825061</v>
      </c>
      <c r="T263" s="17" t="str">
        <f t="shared" si="174"/>
        <v>1+0.00642623023543596i</v>
      </c>
      <c r="U263" s="17">
        <f t="shared" si="184"/>
        <v>1.0000206480043494</v>
      </c>
      <c r="V263" s="17">
        <f t="shared" si="185"/>
        <v>6.4261417774945937E-3</v>
      </c>
      <c r="W263" s="31" t="str">
        <f t="shared" si="175"/>
        <v>1-0.111593081319029i</v>
      </c>
      <c r="X263" s="17">
        <f t="shared" si="186"/>
        <v>1.006207242966515</v>
      </c>
      <c r="Y263" s="17">
        <f t="shared" si="187"/>
        <v>-0.11113328847681911</v>
      </c>
      <c r="Z263" s="31" t="str">
        <f t="shared" si="176"/>
        <v>0.997374121538102+0.533935646090839i</v>
      </c>
      <c r="AA263" s="17">
        <f t="shared" si="188"/>
        <v>1.1313012032524061</v>
      </c>
      <c r="AB263" s="17">
        <f t="shared" si="189"/>
        <v>0.49151938652392768</v>
      </c>
      <c r="AC263" s="66" t="str">
        <f t="shared" si="190"/>
        <v>-0.801197701425754-1.18815730787564i</v>
      </c>
      <c r="AD263" s="64">
        <f t="shared" si="191"/>
        <v>3.125233726462517</v>
      </c>
      <c r="AE263" s="61">
        <f t="shared" si="192"/>
        <v>-123.99255792183254</v>
      </c>
      <c r="AF263" s="31" t="str">
        <f t="shared" si="177"/>
        <v>-6627.51882264077</v>
      </c>
      <c r="AG263" s="31" t="str">
        <f t="shared" si="193"/>
        <v>17708.4222237266i</v>
      </c>
      <c r="AH263" s="31">
        <f t="shared" si="194"/>
        <v>17708.4222237266</v>
      </c>
      <c r="AI263" s="31">
        <f t="shared" si="195"/>
        <v>1.5707963267948966</v>
      </c>
      <c r="AJ263" s="31" t="str">
        <f t="shared" si="178"/>
        <v>0.962576382105199+8.64427776640101i</v>
      </c>
      <c r="AK263" s="31">
        <f t="shared" si="196"/>
        <v>8.6977060995461084</v>
      </c>
      <c r="AL263" s="31">
        <f t="shared" si="197"/>
        <v>1.4598990165684429</v>
      </c>
      <c r="AM263" s="31" t="str">
        <f t="shared" si="179"/>
        <v>1+10.2696453002058i</v>
      </c>
      <c r="AN263" s="31">
        <f t="shared" si="198"/>
        <v>10.318217607321484</v>
      </c>
      <c r="AO263" s="31">
        <f t="shared" si="199"/>
        <v>1.4737280013606935</v>
      </c>
      <c r="AP263" s="31" t="str">
        <f t="shared" si="180"/>
        <v>1+8.28754160070404i</v>
      </c>
      <c r="AQ263" s="31">
        <f t="shared" si="200"/>
        <v>8.3476551068788218</v>
      </c>
      <c r="AR263" s="31">
        <f t="shared" si="201"/>
        <v>1.4507138200517689</v>
      </c>
      <c r="AS263" s="58" t="str">
        <f t="shared" si="202"/>
        <v>-3.68535539319256+0.393062304391153i</v>
      </c>
      <c r="AT263" s="49">
        <f t="shared" si="203"/>
        <v>11.378711061587317</v>
      </c>
      <c r="AU263" s="61">
        <f t="shared" si="204"/>
        <v>173.91212163381408</v>
      </c>
      <c r="AV263" s="58" t="str">
        <f t="shared" si="181"/>
        <v>3.41971811937567+4.06386132774534i</v>
      </c>
      <c r="AW263" s="64">
        <f t="shared" si="205"/>
        <v>14.503944788049832</v>
      </c>
      <c r="AX263" s="61">
        <f t="shared" si="206"/>
        <v>49.919563711981553</v>
      </c>
    </row>
    <row r="264" spans="14:50" x14ac:dyDescent="0.35">
      <c r="N264" s="10">
        <v>46</v>
      </c>
      <c r="O264" s="50">
        <f t="shared" si="207"/>
        <v>2884.0315031266077</v>
      </c>
      <c r="P264" s="48" t="str">
        <f t="shared" si="172"/>
        <v>547.187404092767</v>
      </c>
      <c r="Q264" s="17" t="str">
        <f t="shared" si="173"/>
        <v>1+347.528703381468i</v>
      </c>
      <c r="R264" s="17">
        <f t="shared" si="182"/>
        <v>347.53014210857214</v>
      </c>
      <c r="S264" s="17">
        <f t="shared" si="183"/>
        <v>1.5679188745719348</v>
      </c>
      <c r="T264" s="17" t="str">
        <f t="shared" si="174"/>
        <v>1+0.00657591636670432i</v>
      </c>
      <c r="U264" s="17">
        <f t="shared" si="184"/>
        <v>1.0000216211042949</v>
      </c>
      <c r="V264" s="17">
        <f t="shared" si="185"/>
        <v>6.5758215824231253E-3</v>
      </c>
      <c r="W264" s="31" t="str">
        <f t="shared" si="175"/>
        <v>1-0.114192418100779i</v>
      </c>
      <c r="X264" s="17">
        <f t="shared" si="186"/>
        <v>1.0064988367363885</v>
      </c>
      <c r="Y264" s="17">
        <f t="shared" si="187"/>
        <v>-0.1136999128414444</v>
      </c>
      <c r="Z264" s="31" t="str">
        <f t="shared" si="176"/>
        <v>0.997250367698834+0.546372604973652i</v>
      </c>
      <c r="AA264" s="17">
        <f t="shared" si="188"/>
        <v>1.1371153500595945</v>
      </c>
      <c r="AB264" s="17">
        <f t="shared" si="189"/>
        <v>0.50121340029465977</v>
      </c>
      <c r="AC264" s="66" t="str">
        <f t="shared" si="190"/>
        <v>-0.793197200852698-1.14593648747704i</v>
      </c>
      <c r="AD264" s="64">
        <f t="shared" si="191"/>
        <v>2.8832351729122792</v>
      </c>
      <c r="AE264" s="61">
        <f t="shared" si="192"/>
        <v>-124.69030491747498</v>
      </c>
      <c r="AF264" s="31" t="str">
        <f t="shared" si="177"/>
        <v>-6627.51882264077</v>
      </c>
      <c r="AG264" s="31" t="str">
        <f t="shared" si="193"/>
        <v>18120.9043658882i</v>
      </c>
      <c r="AH264" s="31">
        <f t="shared" si="194"/>
        <v>18120.9043658882</v>
      </c>
      <c r="AI264" s="31">
        <f t="shared" si="195"/>
        <v>1.5707963267948966</v>
      </c>
      <c r="AJ264" s="31" t="str">
        <f t="shared" si="178"/>
        <v>0.960812661331005+8.84562886168648i</v>
      </c>
      <c r="AK264" s="31">
        <f t="shared" si="196"/>
        <v>8.8976576091056021</v>
      </c>
      <c r="AL264" s="31">
        <f t="shared" si="197"/>
        <v>1.4626004545734244</v>
      </c>
      <c r="AM264" s="31" t="str">
        <f t="shared" si="179"/>
        <v>1+10.5088560689096i</v>
      </c>
      <c r="AN264" s="31">
        <f t="shared" si="198"/>
        <v>10.556327764760724</v>
      </c>
      <c r="AO264" s="31">
        <f t="shared" si="199"/>
        <v>1.475924159083108</v>
      </c>
      <c r="AP264" s="31" t="str">
        <f t="shared" si="180"/>
        <v>1+8.48058324323567i</v>
      </c>
      <c r="AQ264" s="31">
        <f t="shared" si="200"/>
        <v>8.5393379219614935</v>
      </c>
      <c r="AR264" s="31">
        <f t="shared" si="201"/>
        <v>1.4534219084566606</v>
      </c>
      <c r="AS264" s="58" t="str">
        <f t="shared" si="202"/>
        <v>-3.685337513535+0.384851875288642i</v>
      </c>
      <c r="AT264" s="49">
        <f t="shared" si="203"/>
        <v>11.376649560449133</v>
      </c>
      <c r="AU264" s="61">
        <f t="shared" si="204"/>
        <v>174.03833324230047</v>
      </c>
      <c r="AV264" s="58" t="str">
        <f t="shared" si="181"/>
        <v>3.36421520610062+3.9178992952058i</v>
      </c>
      <c r="AW264" s="64">
        <f t="shared" si="205"/>
        <v>14.259884733361403</v>
      </c>
      <c r="AX264" s="61">
        <f t="shared" si="206"/>
        <v>49.348028324825492</v>
      </c>
    </row>
    <row r="265" spans="14:50" x14ac:dyDescent="0.35">
      <c r="N265" s="10">
        <v>47</v>
      </c>
      <c r="O265" s="50">
        <f t="shared" si="207"/>
        <v>2951.2092266663876</v>
      </c>
      <c r="P265" s="48" t="str">
        <f t="shared" si="172"/>
        <v>547.187404092767</v>
      </c>
      <c r="Q265" s="17" t="str">
        <f t="shared" si="173"/>
        <v>1+355.623686786673i</v>
      </c>
      <c r="R265" s="17">
        <f t="shared" si="182"/>
        <v>355.625092764481</v>
      </c>
      <c r="S265" s="17">
        <f t="shared" si="183"/>
        <v>1.5679843730318059</v>
      </c>
      <c r="T265" s="17" t="str">
        <f t="shared" si="174"/>
        <v>1+0.00672908913587284i</v>
      </c>
      <c r="U265" s="17">
        <f t="shared" si="184"/>
        <v>1.0000226400640131</v>
      </c>
      <c r="V265" s="17">
        <f t="shared" si="185"/>
        <v>6.7289875728098903E-3</v>
      </c>
      <c r="W265" s="31" t="str">
        <f t="shared" si="175"/>
        <v>1-0.116852301214121i</v>
      </c>
      <c r="X265" s="17">
        <f t="shared" si="186"/>
        <v>1.0068040823809941</v>
      </c>
      <c r="Y265" s="17">
        <f t="shared" si="187"/>
        <v>-0.11632476474919927</v>
      </c>
      <c r="Z265" s="31" t="str">
        <f t="shared" si="176"/>
        <v>0.997120781520806+0.559099257843719i</v>
      </c>
      <c r="AA265" s="17">
        <f t="shared" si="188"/>
        <v>1.1431718300684548</v>
      </c>
      <c r="AB265" s="17">
        <f t="shared" si="189"/>
        <v>0.5110314536777637</v>
      </c>
      <c r="AC265" s="66" t="str">
        <f t="shared" si="190"/>
        <v>-0.784977627331945-1.10464399692985i</v>
      </c>
      <c r="AD265" s="64">
        <f t="shared" si="191"/>
        <v>2.6397396148936396</v>
      </c>
      <c r="AE265" s="61">
        <f t="shared" si="192"/>
        <v>-125.39820789602332</v>
      </c>
      <c r="AF265" s="31" t="str">
        <f t="shared" si="177"/>
        <v>-6627.51882264077</v>
      </c>
      <c r="AG265" s="31" t="str">
        <f t="shared" si="193"/>
        <v>18542.9944514031i</v>
      </c>
      <c r="AH265" s="31">
        <f t="shared" si="194"/>
        <v>18542.994451403101</v>
      </c>
      <c r="AI265" s="31">
        <f t="shared" si="195"/>
        <v>1.5707963267948966</v>
      </c>
      <c r="AJ265" s="31" t="str">
        <f t="shared" si="178"/>
        <v>0.958965818957556+9.05167002648016i</v>
      </c>
      <c r="AK265" s="31">
        <f t="shared" si="196"/>
        <v>9.1023263900064748</v>
      </c>
      <c r="AL265" s="31">
        <f t="shared" si="197"/>
        <v>1.46524652597779</v>
      </c>
      <c r="AM265" s="31" t="str">
        <f t="shared" si="179"/>
        <v>1+10.7536387722022i</v>
      </c>
      <c r="AN265" s="31">
        <f t="shared" si="198"/>
        <v>10.800034576009949</v>
      </c>
      <c r="AO265" s="31">
        <f t="shared" si="199"/>
        <v>1.478071213482788</v>
      </c>
      <c r="AP265" s="31" t="str">
        <f t="shared" si="180"/>
        <v>1+8.67812140325664i</v>
      </c>
      <c r="AQ265" s="31">
        <f t="shared" si="200"/>
        <v>8.7355475552286368</v>
      </c>
      <c r="AR265" s="31">
        <f t="shared" si="201"/>
        <v>1.4560700255186907</v>
      </c>
      <c r="AS265" s="58" t="str">
        <f t="shared" si="202"/>
        <v>-3.68532012213788+0.376845351275988i</v>
      </c>
      <c r="AT265" s="49">
        <f t="shared" si="203"/>
        <v>11.374679506543391</v>
      </c>
      <c r="AU265" s="61">
        <f t="shared" si="204"/>
        <v>174.16146760533761</v>
      </c>
      <c r="AV265" s="58" t="str">
        <f t="shared" si="181"/>
        <v>3.30917380049241+3.77515157996869i</v>
      </c>
      <c r="AW265" s="64">
        <f t="shared" si="205"/>
        <v>14.01441912143703</v>
      </c>
      <c r="AX265" s="61">
        <f t="shared" si="206"/>
        <v>48.763259709314255</v>
      </c>
    </row>
    <row r="266" spans="14:50" x14ac:dyDescent="0.35">
      <c r="N266" s="10">
        <v>48</v>
      </c>
      <c r="O266" s="50">
        <f t="shared" si="207"/>
        <v>3019.9517204020176</v>
      </c>
      <c r="P266" s="48" t="str">
        <f t="shared" si="172"/>
        <v>547.187404092767</v>
      </c>
      <c r="Q266" s="17" t="str">
        <f t="shared" si="173"/>
        <v>1+363.907226577848i</v>
      </c>
      <c r="R266" s="17">
        <f t="shared" si="182"/>
        <v>363.90860055181605</v>
      </c>
      <c r="S266" s="17">
        <f t="shared" si="183"/>
        <v>1.5680483805880208</v>
      </c>
      <c r="T266" s="17" t="str">
        <f t="shared" si="174"/>
        <v>1+0.00688582975717123i</v>
      </c>
      <c r="U266" s="17">
        <f t="shared" si="184"/>
        <v>1.0000237070447104</v>
      </c>
      <c r="V266" s="17">
        <f t="shared" si="185"/>
        <v>6.8857209305279183E-3</v>
      </c>
      <c r="W266" s="31" t="str">
        <f t="shared" si="175"/>
        <v>1-0.11957414096429i</v>
      </c>
      <c r="X266" s="17">
        <f t="shared" si="186"/>
        <v>1.0071236146508273</v>
      </c>
      <c r="Y266" s="17">
        <f t="shared" si="187"/>
        <v>-0.1190090911745445</v>
      </c>
      <c r="Z266" s="31" t="str">
        <f t="shared" si="176"/>
        <v>0.996985088134361+0.572122352540848i</v>
      </c>
      <c r="AA266" s="17">
        <f t="shared" si="188"/>
        <v>1.1494795571210277</v>
      </c>
      <c r="AB266" s="17">
        <f t="shared" si="189"/>
        <v>0.52097145078014873</v>
      </c>
      <c r="AC266" s="66" t="str">
        <f t="shared" si="190"/>
        <v>-0.776540573509231-1.06427010427461i</v>
      </c>
      <c r="AD266" s="64">
        <f t="shared" si="191"/>
        <v>2.3947118978570798</v>
      </c>
      <c r="AE266" s="61">
        <f t="shared" si="192"/>
        <v>-126.11621555629175</v>
      </c>
      <c r="AF266" s="31" t="str">
        <f t="shared" si="177"/>
        <v>-6627.51882264077</v>
      </c>
      <c r="AG266" s="31" t="str">
        <f t="shared" si="193"/>
        <v>18974.9162780217i</v>
      </c>
      <c r="AH266" s="31">
        <f t="shared" si="194"/>
        <v>18974.916278021701</v>
      </c>
      <c r="AI266" s="31">
        <f t="shared" si="195"/>
        <v>1.5707963267948966</v>
      </c>
      <c r="AJ266" s="31" t="str">
        <f t="shared" si="178"/>
        <v>0.957031937584568+9.26251050653489i</v>
      </c>
      <c r="AK266" s="31">
        <f t="shared" si="196"/>
        <v>9.3118210363615823</v>
      </c>
      <c r="AL266" s="31">
        <f t="shared" si="197"/>
        <v>1.4678385021482141</v>
      </c>
      <c r="AM266" s="31" t="str">
        <f t="shared" si="179"/>
        <v>1+11.0041231971131i</v>
      </c>
      <c r="AN266" s="31">
        <f t="shared" si="198"/>
        <v>11.04946728748688</v>
      </c>
      <c r="AO266" s="31">
        <f t="shared" si="199"/>
        <v>1.4801702237320717</v>
      </c>
      <c r="AP266" s="31" t="str">
        <f t="shared" si="180"/>
        <v>1+8.88026081811414i</v>
      </c>
      <c r="AQ266" s="31">
        <f t="shared" si="200"/>
        <v>8.9363880957427764</v>
      </c>
      <c r="AR266" s="31">
        <f t="shared" si="201"/>
        <v>1.4586594266645683</v>
      </c>
      <c r="AS266" s="58" t="str">
        <f t="shared" si="202"/>
        <v>-3.68530318428427+0.369038496674972i</v>
      </c>
      <c r="AT266" s="49">
        <f t="shared" si="203"/>
        <v>11.3727968528292</v>
      </c>
      <c r="AU266" s="61">
        <f t="shared" si="204"/>
        <v>174.2815844957376</v>
      </c>
      <c r="AV266" s="58" t="str">
        <f t="shared" si="181"/>
        <v>3.25454408761712+3.63558463836681i</v>
      </c>
      <c r="AW266" s="64">
        <f t="shared" si="205"/>
        <v>13.767508750686286</v>
      </c>
      <c r="AX266" s="61">
        <f t="shared" si="206"/>
        <v>48.165368939445877</v>
      </c>
    </row>
    <row r="267" spans="14:50" x14ac:dyDescent="0.35">
      <c r="N267" s="10">
        <v>49</v>
      </c>
      <c r="O267" s="50">
        <f t="shared" si="207"/>
        <v>3090.295432513592</v>
      </c>
      <c r="P267" s="48" t="str">
        <f t="shared" si="172"/>
        <v>547.187404092767</v>
      </c>
      <c r="Q267" s="17" t="str">
        <f t="shared" si="173"/>
        <v>1+372.383714797436i</v>
      </c>
      <c r="R267" s="17">
        <f t="shared" si="182"/>
        <v>372.3850574960523</v>
      </c>
      <c r="S267" s="17">
        <f t="shared" si="183"/>
        <v>1.5681109311761339</v>
      </c>
      <c r="T267" s="17" t="str">
        <f t="shared" si="174"/>
        <v>1+0.0070462213365516i</v>
      </c>
      <c r="U267" s="17">
        <f t="shared" si="184"/>
        <v>1.0000248243094387</v>
      </c>
      <c r="V267" s="17">
        <f t="shared" si="185"/>
        <v>7.0461047268587053E-3</v>
      </c>
      <c r="W267" s="31" t="str">
        <f t="shared" si="175"/>
        <v>1-0.122359380506748i</v>
      </c>
      <c r="X267" s="17">
        <f t="shared" si="186"/>
        <v>1.0074580973906533</v>
      </c>
      <c r="Y267" s="17">
        <f t="shared" si="187"/>
        <v>-0.12175416056192406</v>
      </c>
      <c r="Z267" s="31" t="str">
        <f t="shared" si="176"/>
        <v>0.996842999715632+0.585448794082228i</v>
      </c>
      <c r="AA267" s="17">
        <f t="shared" si="188"/>
        <v>1.156047687846135</v>
      </c>
      <c r="AB267" s="17">
        <f t="shared" si="189"/>
        <v>0.53103108797268594</v>
      </c>
      <c r="AC267" s="66" t="str">
        <f t="shared" si="190"/>
        <v>-0.767888122923351-1.02480563041101i</v>
      </c>
      <c r="AD267" s="64">
        <f t="shared" si="191"/>
        <v>2.1481173805258131</v>
      </c>
      <c r="AE267" s="61">
        <f t="shared" si="192"/>
        <v>-126.84426577129737</v>
      </c>
      <c r="AF267" s="31" t="str">
        <f t="shared" si="177"/>
        <v>-6627.51882264077</v>
      </c>
      <c r="AG267" s="31" t="str">
        <f t="shared" si="193"/>
        <v>19416.8988564136i</v>
      </c>
      <c r="AH267" s="31">
        <f t="shared" si="194"/>
        <v>19416.898856413602</v>
      </c>
      <c r="AI267" s="31">
        <f t="shared" si="195"/>
        <v>1.5707963267948966</v>
      </c>
      <c r="AJ267" s="31" t="str">
        <f t="shared" si="178"/>
        <v>0.955006915190369+9.47826209226401i</v>
      </c>
      <c r="AK267" s="31">
        <f t="shared" si="196"/>
        <v>9.5262526996563732</v>
      </c>
      <c r="AL267" s="31">
        <f t="shared" si="197"/>
        <v>1.4703776343476991</v>
      </c>
      <c r="AM267" s="31" t="str">
        <f t="shared" si="179"/>
        <v>1+11.2604421537999i</v>
      </c>
      <c r="AN267" s="31">
        <f t="shared" si="198"/>
        <v>11.304758179592952</v>
      </c>
      <c r="AO267" s="31">
        <f t="shared" si="199"/>
        <v>1.4822222287298101</v>
      </c>
      <c r="AP267" s="31" t="str">
        <f t="shared" si="180"/>
        <v>1+9.08710866480155i</v>
      </c>
      <c r="AQ267" s="31">
        <f t="shared" si="200"/>
        <v>9.1419660842682742</v>
      </c>
      <c r="AR267" s="31">
        <f t="shared" si="201"/>
        <v>1.4611913458584782</v>
      </c>
      <c r="AS267" s="58" t="str">
        <f t="shared" si="202"/>
        <v>-3.68528666603273+0.361427181053141i</v>
      </c>
      <c r="AT267" s="49">
        <f t="shared" si="203"/>
        <v>11.37099772623092</v>
      </c>
      <c r="AU267" s="61">
        <f t="shared" si="204"/>
        <v>174.3987424468707</v>
      </c>
      <c r="AV267" s="58" t="str">
        <f t="shared" si="181"/>
        <v>3.20028047054117+3.49916688539659i</v>
      </c>
      <c r="AW267" s="64">
        <f t="shared" si="205"/>
        <v>13.51911510675674</v>
      </c>
      <c r="AX267" s="61">
        <f t="shared" si="206"/>
        <v>47.554476675573298</v>
      </c>
    </row>
    <row r="268" spans="14:50" x14ac:dyDescent="0.35">
      <c r="N268" s="10">
        <v>50</v>
      </c>
      <c r="O268" s="50">
        <f t="shared" si="207"/>
        <v>3162.2776601683804</v>
      </c>
      <c r="P268" s="48" t="str">
        <f t="shared" si="172"/>
        <v>547.187404092767</v>
      </c>
      <c r="Q268" s="17" t="str">
        <f t="shared" si="173"/>
        <v>1+381.057645791691i</v>
      </c>
      <c r="R268" s="17">
        <f t="shared" si="182"/>
        <v>381.05895792686181</v>
      </c>
      <c r="S268" s="17">
        <f t="shared" si="183"/>
        <v>1.5681720579593359</v>
      </c>
      <c r="T268" s="17" t="str">
        <f t="shared" si="174"/>
        <v>1+0.00721034891575237i</v>
      </c>
      <c r="U268" s="17">
        <f t="shared" si="184"/>
        <v>1.0000259942278935</v>
      </c>
      <c r="V268" s="17">
        <f t="shared" si="185"/>
        <v>7.2102239663906697E-3</v>
      </c>
      <c r="W268" s="31" t="str">
        <f t="shared" si="175"/>
        <v>1-0.12520949661237i</v>
      </c>
      <c r="X268" s="17">
        <f t="shared" si="186"/>
        <v>1.0078082248334368</v>
      </c>
      <c r="Y268" s="17">
        <f t="shared" si="187"/>
        <v>-0.12456126281293842</v>
      </c>
      <c r="Z268" s="31" t="str">
        <f t="shared" si="176"/>
        <v>0.996694214876033+0.599085648323561i</v>
      </c>
      <c r="AA268" s="17">
        <f t="shared" si="188"/>
        <v>1.162885622920248</v>
      </c>
      <c r="AB268" s="17">
        <f t="shared" si="189"/>
        <v>0.54120785159023965</v>
      </c>
      <c r="AC268" s="66" t="str">
        <f t="shared" si="190"/>
        <v>-0.759022869742492-0.986241908300685i</v>
      </c>
      <c r="AD268" s="64">
        <f t="shared" si="191"/>
        <v>1.8999220457585095</v>
      </c>
      <c r="AE268" s="61">
        <f t="shared" si="192"/>
        <v>-127.58228545426093</v>
      </c>
      <c r="AF268" s="31" t="str">
        <f t="shared" si="177"/>
        <v>-6627.51882264077</v>
      </c>
      <c r="AG268" s="31" t="str">
        <f t="shared" si="193"/>
        <v>19869.1765315922i</v>
      </c>
      <c r="AH268" s="31">
        <f t="shared" si="194"/>
        <v>19869.176531592198</v>
      </c>
      <c r="AI268" s="31">
        <f t="shared" si="195"/>
        <v>1.5707963267948966</v>
      </c>
      <c r="AJ268" s="31" t="str">
        <f t="shared" si="178"/>
        <v>0.95288645643096+9.69903917801408i</v>
      </c>
      <c r="AK268" s="31">
        <f t="shared" si="196"/>
        <v>9.7457351480276539</v>
      </c>
      <c r="AL268" s="31">
        <f t="shared" si="197"/>
        <v>1.4728651538482764</v>
      </c>
      <c r="AM268" s="31" t="str">
        <f t="shared" si="179"/>
        <v>1+11.5227315459663i</v>
      </c>
      <c r="AN268" s="31">
        <f t="shared" si="198"/>
        <v>11.566042636978601</v>
      </c>
      <c r="AO268" s="31">
        <f t="shared" si="199"/>
        <v>1.4842282473145381</v>
      </c>
      <c r="AP268" s="31" t="str">
        <f t="shared" si="180"/>
        <v>1+9.29877461678513i</v>
      </c>
      <c r="AQ268" s="31">
        <f t="shared" si="200"/>
        <v>9.3523905699969259</v>
      </c>
      <c r="AR268" s="31">
        <f t="shared" si="201"/>
        <v>1.4636669956377886</v>
      </c>
      <c r="AS268" s="58" t="str">
        <f t="shared" si="202"/>
        <v>-3.68527053416105+0.354007377071635i</v>
      </c>
      <c r="AT268" s="49">
        <f t="shared" si="203"/>
        <v>11.369278420406408</v>
      </c>
      <c r="AU268" s="61">
        <f t="shared" si="204"/>
        <v>174.51299876046781</v>
      </c>
      <c r="AV268" s="58" t="str">
        <f t="shared" si="181"/>
        <v>3.14634152773202+3.36586854896035i</v>
      </c>
      <c r="AW268" s="64">
        <f t="shared" si="205"/>
        <v>13.269200466164916</v>
      </c>
      <c r="AX268" s="61">
        <f t="shared" si="206"/>
        <v>46.930713306206819</v>
      </c>
    </row>
    <row r="269" spans="14:50" x14ac:dyDescent="0.35">
      <c r="N269" s="10">
        <v>51</v>
      </c>
      <c r="O269" s="50">
        <f t="shared" si="207"/>
        <v>3235.9365692962833</v>
      </c>
      <c r="P269" s="48" t="str">
        <f t="shared" si="172"/>
        <v>547.187404092767</v>
      </c>
      <c r="Q269" s="17" t="str">
        <f t="shared" si="173"/>
        <v>1+389.933618593639i</v>
      </c>
      <c r="R269" s="17">
        <f t="shared" si="182"/>
        <v>389.93490086106618</v>
      </c>
      <c r="S269" s="17">
        <f t="shared" si="183"/>
        <v>1.5682317933460279</v>
      </c>
      <c r="T269" s="17" t="str">
        <f t="shared" si="174"/>
        <v>1+0.00737829951738853i</v>
      </c>
      <c r="U269" s="17">
        <f t="shared" si="184"/>
        <v>1.0000272192814395</v>
      </c>
      <c r="V269" s="17">
        <f t="shared" si="185"/>
        <v>7.3781656319321081E-3</v>
      </c>
      <c r="W269" s="31" t="str">
        <f t="shared" si="175"/>
        <v>1-0.128126000450439i</v>
      </c>
      <c r="X269" s="17">
        <f t="shared" si="186"/>
        <v>1.008174722948074</v>
      </c>
      <c r="Y269" s="17">
        <f t="shared" si="187"/>
        <v>-0.12743170923992003</v>
      </c>
      <c r="Z269" s="31" t="str">
        <f t="shared" si="176"/>
        <v>0.996538418022972+0.613040145705472i</v>
      </c>
      <c r="AA269" s="17">
        <f t="shared" si="188"/>
        <v>1.1700030080484041</v>
      </c>
      <c r="AB269" s="17">
        <f t="shared" si="189"/>
        <v>0.55149901634974041</v>
      </c>
      <c r="AC269" s="66" t="str">
        <f t="shared" si="190"/>
        <v>-0.749947936462758-0.948570740094589i</v>
      </c>
      <c r="AD269" s="64">
        <f t="shared" si="191"/>
        <v>1.6500926152315607</v>
      </c>
      <c r="AE269" s="61">
        <f t="shared" si="192"/>
        <v>-128.33019046374366</v>
      </c>
      <c r="AF269" s="31" t="str">
        <f t="shared" si="177"/>
        <v>-6627.51882264077</v>
      </c>
      <c r="AG269" s="31" t="str">
        <f t="shared" si="193"/>
        <v>20331.9891071675i</v>
      </c>
      <c r="AH269" s="31">
        <f t="shared" si="194"/>
        <v>20331.989107167501</v>
      </c>
      <c r="AI269" s="31">
        <f t="shared" si="195"/>
        <v>1.5707963267948966</v>
      </c>
      <c r="AJ269" s="31" t="str">
        <f t="shared" si="178"/>
        <v>0.950666063529018+9.92495882271829i</v>
      </c>
      <c r="AK269" s="31">
        <f t="shared" si="196"/>
        <v>9.9703848269261606</v>
      </c>
      <c r="AL269" s="31">
        <f t="shared" si="197"/>
        <v>1.4753022720675322</v>
      </c>
      <c r="AM269" s="31" t="str">
        <f t="shared" si="179"/>
        <v>1+11.7911304429197i</v>
      </c>
      <c r="AN269" s="31">
        <f t="shared" si="198"/>
        <v>11.833459220445546</v>
      </c>
      <c r="AO269" s="31">
        <f t="shared" si="199"/>
        <v>1.486189278488536</v>
      </c>
      <c r="AP269" s="31" t="str">
        <f t="shared" si="180"/>
        <v>1+9.51537090215438i</v>
      </c>
      <c r="AQ269" s="31">
        <f t="shared" si="200"/>
        <v>9.5677731685887224</v>
      </c>
      <c r="AR269" s="31">
        <f t="shared" si="201"/>
        <v>1.4660875671758427</v>
      </c>
      <c r="AS269" s="58" t="str">
        <f t="shared" si="202"/>
        <v>-3.6852547561105+0.346775158385408i</v>
      </c>
      <c r="AT269" s="49">
        <f t="shared" si="203"/>
        <v>11.367635388785768</v>
      </c>
      <c r="AU269" s="61">
        <f t="shared" si="204"/>
        <v>174.62440951523374</v>
      </c>
      <c r="AV269" s="58" t="str">
        <f t="shared" si="181"/>
        <v>3.0926899683207+3.23566151699316i</v>
      </c>
      <c r="AW269" s="64">
        <f t="shared" si="205"/>
        <v>13.017728004017332</v>
      </c>
      <c r="AX269" s="61">
        <f t="shared" si="206"/>
        <v>46.294219051490053</v>
      </c>
    </row>
    <row r="270" spans="14:50" x14ac:dyDescent="0.35">
      <c r="N270" s="10">
        <v>52</v>
      </c>
      <c r="O270" s="50">
        <f t="shared" si="207"/>
        <v>3311.3112148259115</v>
      </c>
      <c r="P270" s="48" t="str">
        <f t="shared" si="172"/>
        <v>547.187404092767</v>
      </c>
      <c r="Q270" s="17" t="str">
        <f t="shared" si="173"/>
        <v>1+399.016339361548i</v>
      </c>
      <c r="R270" s="17">
        <f t="shared" si="182"/>
        <v>399.01759244109775</v>
      </c>
      <c r="S270" s="17">
        <f t="shared" si="183"/>
        <v>1.568290169006997</v>
      </c>
      <c r="T270" s="17" t="str">
        <f t="shared" si="174"/>
        <v>1+0.00755016219109218i</v>
      </c>
      <c r="U270" s="17">
        <f t="shared" si="184"/>
        <v>1.0000285020683719</v>
      </c>
      <c r="V270" s="17">
        <f t="shared" si="185"/>
        <v>7.5500187304617652E-3</v>
      </c>
      <c r="W270" s="31" t="str">
        <f t="shared" si="175"/>
        <v>1-0.131110438389895i</v>
      </c>
      <c r="X270" s="17">
        <f t="shared" si="186"/>
        <v>1.0085583508428209</v>
      </c>
      <c r="Y270" s="17">
        <f t="shared" si="187"/>
        <v>-0.13036683248317155</v>
      </c>
      <c r="Z270" s="31" t="str">
        <f t="shared" si="176"/>
        <v>0.996375278690436+0.627319685087184i</v>
      </c>
      <c r="AA270" s="17">
        <f t="shared" si="188"/>
        <v>1.1774097346647545</v>
      </c>
      <c r="AB270" s="17">
        <f t="shared" si="189"/>
        <v>0.56190164453636104</v>
      </c>
      <c r="AC270" s="66" t="str">
        <f>(IMDIV(IMPRODUCT(P270,T270,W270),IMPRODUCT(Q270,Z270)))</f>
        <v>-0.740666989297806-0.911784352302061i</v>
      </c>
      <c r="AD270" s="64">
        <f t="shared" si="191"/>
        <v>1.3985966675314476</v>
      </c>
      <c r="AE270" s="61">
        <f t="shared" si="192"/>
        <v>-129.08788555062779</v>
      </c>
      <c r="AF270" s="31" t="str">
        <f t="shared" si="177"/>
        <v>-6627.51882264077</v>
      </c>
      <c r="AG270" s="31" t="str">
        <f t="shared" si="193"/>
        <v>20805.5819724932i</v>
      </c>
      <c r="AH270" s="31">
        <f t="shared" si="194"/>
        <v>20805.581972493201</v>
      </c>
      <c r="AI270" s="31">
        <f t="shared" si="195"/>
        <v>1.5707963267948966</v>
      </c>
      <c r="AJ270" s="31" t="str">
        <f t="shared" si="178"/>
        <v>0.948341026733505+10.1561408119627i</v>
      </c>
      <c r="AK270" s="31">
        <f t="shared" si="196"/>
        <v>10.200320921196564</v>
      </c>
      <c r="AL270" s="31">
        <f t="shared" si="197"/>
        <v>1.4776901807269842</v>
      </c>
      <c r="AM270" s="31" t="str">
        <f t="shared" si="179"/>
        <v>1+12.065781153308i</v>
      </c>
      <c r="AN270" s="31">
        <f t="shared" si="198"/>
        <v>12.107149740526156</v>
      </c>
      <c r="AO270" s="31">
        <f t="shared" si="199"/>
        <v>1.4881063016515796</v>
      </c>
      <c r="AP270" s="31" t="str">
        <f t="shared" si="180"/>
        <v>1+9.7370123631268i</v>
      </c>
      <c r="AQ270" s="31">
        <f t="shared" si="200"/>
        <v>9.7882281215592908</v>
      </c>
      <c r="AR270" s="31">
        <f t="shared" si="201"/>
        <v>1.4684542303695991</v>
      </c>
      <c r="AS270" s="58" t="str">
        <f t="shared" si="202"/>
        <v>-3.68523929992991+0.339726697594789i</v>
      </c>
      <c r="AT270" s="49">
        <f t="shared" si="203"/>
        <v>11.366065237871318</v>
      </c>
      <c r="AU270" s="61">
        <f t="shared" si="204"/>
        <v>174.73302957618677</v>
      </c>
      <c r="AV270" s="58" t="str">
        <f t="shared" si="181"/>
        <v>3.03929258404722+3.10851917787308i</v>
      </c>
      <c r="AW270" s="64">
        <f t="shared" si="205"/>
        <v>12.76466190540277</v>
      </c>
      <c r="AX270" s="61">
        <f t="shared" si="206"/>
        <v>45.645144025559041</v>
      </c>
    </row>
    <row r="271" spans="14:50" x14ac:dyDescent="0.35">
      <c r="N271" s="10">
        <v>53</v>
      </c>
      <c r="O271" s="50">
        <f t="shared" si="207"/>
        <v>3388.4415613920314</v>
      </c>
      <c r="P271" s="48" t="str">
        <f t="shared" si="172"/>
        <v>547.187404092767</v>
      </c>
      <c r="Q271" s="17" t="str">
        <f t="shared" si="173"/>
        <v>1+408.310623874192i</v>
      </c>
      <c r="R271" s="17">
        <f t="shared" si="182"/>
        <v>408.31184843025545</v>
      </c>
      <c r="S271" s="17">
        <f t="shared" si="183"/>
        <v>1.5683472158921985</v>
      </c>
      <c r="T271" s="17" t="str">
        <f t="shared" si="174"/>
        <v>1+0.00772602806072774i</v>
      </c>
      <c r="U271" s="17">
        <f t="shared" si="184"/>
        <v>1.0000298453094263</v>
      </c>
      <c r="V271" s="17">
        <f t="shared" si="185"/>
        <v>7.7258743401404841E-3</v>
      </c>
      <c r="W271" s="31" t="str">
        <f t="shared" si="175"/>
        <v>1-0.134164392819237i</v>
      </c>
      <c r="X271" s="17">
        <f t="shared" si="186"/>
        <v>1.0089599022263247</v>
      </c>
      <c r="Y271" s="17">
        <f t="shared" si="187"/>
        <v>-0.1333679863889104</v>
      </c>
      <c r="Z271" s="31" t="str">
        <f t="shared" si="176"/>
        <v>0.996204450838027+0.641931837669486i</v>
      </c>
      <c r="AA271" s="17">
        <f t="shared" si="188"/>
        <v>1.1851159403548746</v>
      </c>
      <c r="AB271" s="17">
        <f t="shared" si="189"/>
        <v>0.57241258600475642</v>
      </c>
      <c r="AC271" s="66" t="str">
        <f t="shared" si="190"/>
        <v>-0.731184250993385-0.875875349152385i</v>
      </c>
      <c r="AD271" s="64">
        <f t="shared" si="191"/>
        <v>1.1454027591967386</v>
      </c>
      <c r="AE271" s="61">
        <f t="shared" si="192"/>
        <v>-129.85526434946198</v>
      </c>
      <c r="AF271" s="31" t="str">
        <f t="shared" si="177"/>
        <v>-6627.51882264077</v>
      </c>
      <c r="AG271" s="31" t="str">
        <f t="shared" si="193"/>
        <v>21290.2062327751i</v>
      </c>
      <c r="AH271" s="31">
        <f t="shared" si="194"/>
        <v>21290.206232775101</v>
      </c>
      <c r="AI271" s="31">
        <f t="shared" si="195"/>
        <v>1.5707963267948966</v>
      </c>
      <c r="AJ271" s="31" t="str">
        <f t="shared" si="178"/>
        <v>0.945906414329655+10.392707721498i</v>
      </c>
      <c r="AK271" s="31">
        <f t="shared" si="196"/>
        <v>10.435665418609114</v>
      </c>
      <c r="AL271" s="31">
        <f t="shared" si="197"/>
        <v>1.4800300520304435</v>
      </c>
      <c r="AM271" s="31" t="str">
        <f t="shared" si="179"/>
        <v>1+12.3468293005733i</v>
      </c>
      <c r="AN271" s="31">
        <f t="shared" si="198"/>
        <v>12.387259332777987</v>
      </c>
      <c r="AO271" s="31">
        <f t="shared" si="199"/>
        <v>1.4899802768432424</v>
      </c>
      <c r="AP271" s="31" t="str">
        <f t="shared" si="180"/>
        <v>1+9.96381651693873i</v>
      </c>
      <c r="AQ271" s="31">
        <f t="shared" si="200"/>
        <v>10.013872357046552</v>
      </c>
      <c r="AR271" s="31">
        <f t="shared" si="201"/>
        <v>1.4707681339500205</v>
      </c>
      <c r="AS271" s="58" t="str">
        <f t="shared" si="202"/>
        <v>-3.68522413422039+0.332858264247407i</v>
      </c>
      <c r="AT271" s="49">
        <f t="shared" si="203"/>
        <v>11.364564720792938</v>
      </c>
      <c r="AU271" s="61">
        <f t="shared" si="204"/>
        <v>174.83891260464762</v>
      </c>
      <c r="AV271" s="58" t="str">
        <f t="shared" si="181"/>
        <v>2.98612019673864+2.98441625463438i</v>
      </c>
      <c r="AW271" s="64">
        <f t="shared" si="205"/>
        <v>12.509967479989683</v>
      </c>
      <c r="AX271" s="61">
        <f t="shared" si="206"/>
        <v>44.983648255185564</v>
      </c>
    </row>
    <row r="272" spans="14:50" x14ac:dyDescent="0.35">
      <c r="N272" s="10">
        <v>54</v>
      </c>
      <c r="O272" s="50">
        <f t="shared" si="207"/>
        <v>3467.3685045253224</v>
      </c>
      <c r="P272" s="48" t="str">
        <f t="shared" si="172"/>
        <v>547.187404092767</v>
      </c>
      <c r="Q272" s="17" t="str">
        <f t="shared" si="173"/>
        <v>1+417.821400084244i</v>
      </c>
      <c r="R272" s="17">
        <f t="shared" si="182"/>
        <v>417.82259676608902</v>
      </c>
      <c r="S272" s="17">
        <f t="shared" si="183"/>
        <v>1.56840296424716</v>
      </c>
      <c r="T272" s="17" t="str">
        <f t="shared" si="174"/>
        <v>1+0.00790599037270716i</v>
      </c>
      <c r="U272" s="17">
        <f t="shared" si="184"/>
        <v>1.0000312518535475</v>
      </c>
      <c r="V272" s="17">
        <f t="shared" si="185"/>
        <v>7.9058256584083123E-3</v>
      </c>
      <c r="W272" s="31" t="str">
        <f t="shared" si="175"/>
        <v>1-0.137289482985528i</v>
      </c>
      <c r="X272" s="17">
        <f t="shared" si="186"/>
        <v>1.0093802069282087</v>
      </c>
      <c r="Y272" s="17">
        <f t="shared" si="187"/>
        <v>-0.13643654584483506</v>
      </c>
      <c r="Z272" s="31" t="str">
        <f t="shared" si="176"/>
        <v>0.996025572116967+0.656884351009091i</v>
      </c>
      <c r="AA272" s="17">
        <f t="shared" si="188"/>
        <v>1.1931320090046893</v>
      </c>
      <c r="AB272" s="17">
        <f t="shared" si="189"/>
        <v>0.58302847903848642</v>
      </c>
      <c r="AC272" s="66" t="str">
        <f t="shared" si="190"/>
        <v>-0.721504510809295-0.840836664333359i</v>
      </c>
      <c r="AD272" s="64">
        <f t="shared" si="191"/>
        <v>0.89048054819485911</v>
      </c>
      <c r="AE272" s="61">
        <f t="shared" si="192"/>
        <v>-130.63220941646608</v>
      </c>
      <c r="AF272" s="31" t="str">
        <f t="shared" si="177"/>
        <v>-6627.51882264077</v>
      </c>
      <c r="AG272" s="31" t="str">
        <f t="shared" si="193"/>
        <v>21786.1188422108i</v>
      </c>
      <c r="AH272" s="31">
        <f t="shared" si="194"/>
        <v>21786.118842210799</v>
      </c>
      <c r="AI272" s="31">
        <f t="shared" si="195"/>
        <v>1.5707963267948966</v>
      </c>
      <c r="AJ272" s="31" t="str">
        <f t="shared" si="178"/>
        <v>0.943357062178145+10.634784982231i</v>
      </c>
      <c r="AK272" s="31">
        <f t="shared" si="196"/>
        <v>10.676543174878626</v>
      </c>
      <c r="AL272" s="31">
        <f t="shared" si="197"/>
        <v>1.4823230388606266</v>
      </c>
      <c r="AM272" s="31" t="str">
        <f t="shared" si="179"/>
        <v>1+12.6344239001633i</v>
      </c>
      <c r="AN272" s="31">
        <f t="shared" si="198"/>
        <v>12.673936534834693</v>
      </c>
      <c r="AO272" s="31">
        <f t="shared" si="199"/>
        <v>1.4918121449926998</v>
      </c>
      <c r="AP272" s="31" t="str">
        <f t="shared" si="180"/>
        <v>1+10.1959036181546i</v>
      </c>
      <c r="AQ272" s="31">
        <f t="shared" si="200"/>
        <v>10.244825551989553</v>
      </c>
      <c r="AR272" s="31">
        <f t="shared" si="201"/>
        <v>1.4730304056132382</v>
      </c>
      <c r="AS272" s="58" t="str">
        <f t="shared" si="202"/>
        <v>-3.68520922807959+0.326166222889565i</v>
      </c>
      <c r="AT272" s="49">
        <f t="shared" si="203"/>
        <v>11.363130731108589</v>
      </c>
      <c r="AU272" s="61">
        <f t="shared" si="204"/>
        <v>174.94211106880186</v>
      </c>
      <c r="AV272" s="58" t="str">
        <f t="shared" si="181"/>
        <v>2.93314760020814+2.8633286336205i</v>
      </c>
      <c r="AW272" s="64">
        <f t="shared" si="205"/>
        <v>12.253611279303447</v>
      </c>
      <c r="AX272" s="61">
        <f t="shared" si="206"/>
        <v>44.309901652335732</v>
      </c>
    </row>
    <row r="273" spans="14:50" x14ac:dyDescent="0.35">
      <c r="N273" s="10">
        <v>55</v>
      </c>
      <c r="O273" s="50">
        <f t="shared" si="207"/>
        <v>3548.1338923357539</v>
      </c>
      <c r="P273" s="48" t="str">
        <f t="shared" si="172"/>
        <v>547.187404092767</v>
      </c>
      <c r="Q273" s="17" t="str">
        <f t="shared" si="173"/>
        <v>1+427.553710731138i</v>
      </c>
      <c r="R273" s="17">
        <f t="shared" si="182"/>
        <v>427.55488017325399</v>
      </c>
      <c r="S273" s="17">
        <f t="shared" si="183"/>
        <v>1.5684574436290106</v>
      </c>
      <c r="T273" s="17" t="str">
        <f t="shared" si="174"/>
        <v>1+0.00809014454543031i</v>
      </c>
      <c r="U273" s="17">
        <f t="shared" si="184"/>
        <v>1.0000327246839305</v>
      </c>
      <c r="V273" s="17">
        <f t="shared" si="185"/>
        <v>8.089968051191174E-3</v>
      </c>
      <c r="W273" s="31" t="str">
        <f t="shared" si="175"/>
        <v>1-0.140487365852938i</v>
      </c>
      <c r="X273" s="17">
        <f t="shared" si="186"/>
        <v>1.0098201324811746</v>
      </c>
      <c r="Y273" s="17">
        <f t="shared" si="187"/>
        <v>-0.13957390657003152</v>
      </c>
      <c r="Z273" s="31" t="str">
        <f t="shared" si="176"/>
        <v>0.995838263101507+0.672185153126491i</v>
      </c>
      <c r="AA273" s="17">
        <f t="shared" si="188"/>
        <v>1.2014685706836905</v>
      </c>
      <c r="AB273" s="17">
        <f t="shared" si="189"/>
        <v>0.59374575210610681</v>
      </c>
      <c r="AC273" s="66" t="str">
        <f t="shared" si="190"/>
        <v>-0.711633131424829-0.806661511325709i</v>
      </c>
      <c r="AD273" s="64">
        <f t="shared" si="191"/>
        <v>0.63380091927161264</v>
      </c>
      <c r="AE273" s="61">
        <f t="shared" si="192"/>
        <v>-131.41859231620845</v>
      </c>
      <c r="AF273" s="31" t="str">
        <f t="shared" si="177"/>
        <v>-6627.51882264077</v>
      </c>
      <c r="AG273" s="31" t="str">
        <f t="shared" si="193"/>
        <v>22293.5827402299i</v>
      </c>
      <c r="AH273" s="31">
        <f t="shared" si="194"/>
        <v>22293.5827402299</v>
      </c>
      <c r="AI273" s="31">
        <f t="shared" si="195"/>
        <v>1.5707963267948966</v>
      </c>
      <c r="AJ273" s="31" t="str">
        <f t="shared" si="178"/>
        <v>0.940687562761264+10.8825009467295i</v>
      </c>
      <c r="AK273" s="31">
        <f t="shared" si="196"/>
        <v>10.923081980206055</v>
      </c>
      <c r="AL273" s="31">
        <f t="shared" si="197"/>
        <v>1.4845702749923835</v>
      </c>
      <c r="AM273" s="31" t="str">
        <f t="shared" si="179"/>
        <v>1+12.9287174385415i</v>
      </c>
      <c r="AN273" s="31">
        <f t="shared" si="198"/>
        <v>12.967333365254675</v>
      </c>
      <c r="AO273" s="31">
        <f t="shared" si="199"/>
        <v>1.4936028281750664</v>
      </c>
      <c r="AP273" s="31" t="str">
        <f t="shared" si="180"/>
        <v>1+10.4333967224276i</v>
      </c>
      <c r="AQ273" s="31">
        <f t="shared" si="200"/>
        <v>10.481210195753304</v>
      </c>
      <c r="AR273" s="31">
        <f t="shared" si="201"/>
        <v>1.4752421521706389</v>
      </c>
      <c r="AS273" s="58" t="str">
        <f t="shared" si="202"/>
        <v>-3.68519455104671+0.319647031166133i</v>
      </c>
      <c r="AT273" s="49">
        <f t="shared" si="203"/>
        <v>11.361760296845194</v>
      </c>
      <c r="AU273" s="61">
        <f t="shared" si="204"/>
        <v>175.04267625476916</v>
      </c>
      <c r="AV273" s="58" t="str">
        <f t="shared" si="181"/>
        <v>2.88035349552234+2.7452331883372i</v>
      </c>
      <c r="AW273" s="64">
        <f t="shared" si="205"/>
        <v>11.995561216116808</v>
      </c>
      <c r="AX273" s="61">
        <f t="shared" si="206"/>
        <v>43.624083938560666</v>
      </c>
    </row>
    <row r="274" spans="14:50" x14ac:dyDescent="0.35">
      <c r="N274" s="10">
        <v>56</v>
      </c>
      <c r="O274" s="50">
        <f t="shared" si="207"/>
        <v>3630.7805477010188</v>
      </c>
      <c r="P274" s="48" t="str">
        <f t="shared" si="172"/>
        <v>547.187404092767</v>
      </c>
      <c r="Q274" s="17" t="str">
        <f t="shared" si="173"/>
        <v>1+437.512716014807i</v>
      </c>
      <c r="R274" s="17">
        <f t="shared" si="182"/>
        <v>437.51385883724089</v>
      </c>
      <c r="S274" s="17">
        <f t="shared" si="183"/>
        <v>1.5685106829221451</v>
      </c>
      <c r="T274" s="17" t="str">
        <f t="shared" si="174"/>
        <v>1+0.00827858821987723i</v>
      </c>
      <c r="U274" s="17">
        <f t="shared" si="184"/>
        <v>1.000034266924346</v>
      </c>
      <c r="V274" s="17">
        <f t="shared" si="185"/>
        <v>8.2783991032427204E-3</v>
      </c>
      <c r="W274" s="31" t="str">
        <f t="shared" si="175"/>
        <v>1-0.143759736981294i</v>
      </c>
      <c r="X274" s="17">
        <f t="shared" si="186"/>
        <v>1.0102805857666131</v>
      </c>
      <c r="Y274" s="17">
        <f t="shared" si="187"/>
        <v>-0.14278148485578063</v>
      </c>
      <c r="Z274" s="31" t="str">
        <f t="shared" si="176"/>
        <v>0.995642126484111+0.687842356709506i</v>
      </c>
      <c r="AA274" s="17">
        <f t="shared" si="188"/>
        <v>1.2101365012730958</v>
      </c>
      <c r="AB274" s="17">
        <f t="shared" si="189"/>
        <v>0.60456062654708043</v>
      </c>
      <c r="AC274" s="66" t="str">
        <f t="shared" si="190"/>
        <v>-0.701576052541671-0.773343332585148i</v>
      </c>
      <c r="AD274" s="64">
        <f t="shared" si="191"/>
        <v>0.37533611056195926</v>
      </c>
      <c r="AE274" s="61">
        <f t="shared" si="192"/>
        <v>-132.21427375866048</v>
      </c>
      <c r="AF274" s="31" t="str">
        <f t="shared" si="177"/>
        <v>-6627.51882264077</v>
      </c>
      <c r="AG274" s="31" t="str">
        <f t="shared" si="193"/>
        <v>22812.8669909085i</v>
      </c>
      <c r="AH274" s="31">
        <f t="shared" si="194"/>
        <v>22812.8669909085</v>
      </c>
      <c r="AI274" s="31">
        <f t="shared" si="195"/>
        <v>1.5707963267948966</v>
      </c>
      <c r="AJ274" s="31" t="str">
        <f t="shared" si="178"/>
        <v>0.937892253712842+11.135986957277i</v>
      </c>
      <c r="AK274" s="31">
        <f t="shared" si="196"/>
        <v>11.175412627380611</v>
      </c>
      <c r="AL274" s="31">
        <f t="shared" si="197"/>
        <v>1.4867728753210268</v>
      </c>
      <c r="AM274" s="31" t="str">
        <f t="shared" si="179"/>
        <v>1+13.2298659540376i</v>
      </c>
      <c r="AN274" s="31">
        <f t="shared" si="198"/>
        <v>13.267605404209277</v>
      </c>
      <c r="AO274" s="31">
        <f t="shared" si="199"/>
        <v>1.4953532298733485</v>
      </c>
      <c r="AP274" s="31" t="str">
        <f t="shared" si="180"/>
        <v>1+10.6764217517452i</v>
      </c>
      <c r="AQ274" s="31">
        <f t="shared" si="200"/>
        <v>10.723151655233551</v>
      </c>
      <c r="AR274" s="31">
        <f t="shared" si="201"/>
        <v>1.4774044597161375</v>
      </c>
      <c r="AS274" s="58" t="str">
        <f t="shared" si="202"/>
        <v>-3.685180073047+0.313297237967972i</v>
      </c>
      <c r="AT274" s="49">
        <f t="shared" si="203"/>
        <v>11.360450574769352</v>
      </c>
      <c r="AU274" s="61">
        <f t="shared" si="204"/>
        <v>175.14065827811424</v>
      </c>
      <c r="AV274" s="58" t="str">
        <f t="shared" si="181"/>
        <v>2.82772041865341+2.63010759938077i</v>
      </c>
      <c r="AW274" s="64">
        <f t="shared" si="205"/>
        <v>11.735786685331309</v>
      </c>
      <c r="AX274" s="61">
        <f t="shared" si="206"/>
        <v>42.926384519453833</v>
      </c>
    </row>
    <row r="275" spans="14:50" x14ac:dyDescent="0.35">
      <c r="N275" s="10">
        <v>57</v>
      </c>
      <c r="O275" s="50">
        <f t="shared" si="207"/>
        <v>3715.352290971724</v>
      </c>
      <c r="P275" s="48" t="str">
        <f t="shared" ref="P275:P338" si="208">COMPLEX(Adc,0)</f>
        <v>547.187404092767</v>
      </c>
      <c r="Q275" s="17" t="str">
        <f t="shared" ref="Q275:Q338" si="209">IMSUM(COMPLEX(1,0),IMDIV(COMPLEX(0,2*PI()*O275),COMPLEX(wp_lf,0)))</f>
        <v>1+447.703696331672i</v>
      </c>
      <c r="R275" s="17">
        <f t="shared" si="182"/>
        <v>447.70481314035698</v>
      </c>
      <c r="S275" s="17">
        <f t="shared" si="183"/>
        <v>1.5685627103535338</v>
      </c>
      <c r="T275" s="17" t="str">
        <f t="shared" ref="T275:T338" si="210">IMSUM(COMPLEX(1,0),IMDIV(COMPLEX(0,2*PI()*O275),COMPLEX(wz_esr,0)))</f>
        <v>1+0.00847142131137837i</v>
      </c>
      <c r="U275" s="17">
        <f t="shared" si="184"/>
        <v>1.000035881845764</v>
      </c>
      <c r="V275" s="17">
        <f t="shared" si="185"/>
        <v>8.4712186696462455E-3</v>
      </c>
      <c r="W275" s="31" t="str">
        <f t="shared" ref="W275:W338" si="211">IMSUB(COMPLEX(1,0),IMDIV(COMPLEX(0,2*PI()*O275),COMPLEX(wz_rhp,0)))</f>
        <v>1-0.147108331425083i</v>
      </c>
      <c r="X275" s="17">
        <f t="shared" si="186"/>
        <v>1.0107625147257253</v>
      </c>
      <c r="Y275" s="17">
        <f t="shared" si="187"/>
        <v>-0.14606071725361161</v>
      </c>
      <c r="Z275" s="31" t="str">
        <f t="shared" ref="Z275:Z338" si="212">IMSUM(COMPLEX(1,0),IMDIV(COMPLEX(0,2*PI()*O275),COMPLEX(Q*(wsl/2),0)),IMDIV(IMPOWER(COMPLEX(0,2*PI()*O275),2),IMPOWER(COMPLEX(wsl/2,0),2)))</f>
        <v>0.995436746232718+0.703864263414716i</v>
      </c>
      <c r="AA275" s="17">
        <f t="shared" si="188"/>
        <v>1.2191469218526214</v>
      </c>
      <c r="AB275" s="17">
        <f t="shared" si="189"/>
        <v>0.61546912021452049</v>
      </c>
      <c r="AC275" s="66" t="str">
        <f t="shared" si="190"/>
        <v>-0.691339790981026-0.740875747856271i</v>
      </c>
      <c r="AD275" s="64">
        <f t="shared" si="191"/>
        <v>0.11505984081011059</v>
      </c>
      <c r="AE275" s="61">
        <f t="shared" si="192"/>
        <v>-133.01910378796322</v>
      </c>
      <c r="AF275" s="31" t="str">
        <f t="shared" ref="AF275:AF338" si="213">COMPLEX(Adc_ea_iso,0)</f>
        <v>-6627.51882264077</v>
      </c>
      <c r="AG275" s="31" t="str">
        <f t="shared" si="193"/>
        <v>23344.2469256296i</v>
      </c>
      <c r="AH275" s="31">
        <f t="shared" si="194"/>
        <v>23344.246925629599</v>
      </c>
      <c r="AI275" s="31">
        <f t="shared" si="195"/>
        <v>1.5707963267948966</v>
      </c>
      <c r="AJ275" s="31" t="str">
        <f t="shared" ref="AJ275:AJ338" si="214">IMSUM(IMPRODUCT(COMPLEX(wpA_ea_iso,0),IMPOWER(COMPLEX(0,2*PI()*O275),2)),COMPLEX(0,wpB_ea_iso*2*PI()*O275),COMPLEX(1,0))</f>
        <v>0.934965205807614+11.3953774155114i</v>
      </c>
      <c r="AK275" s="31">
        <f t="shared" si="196"/>
        <v>11.433668981478259</v>
      </c>
      <c r="AL275" s="31">
        <f t="shared" si="197"/>
        <v>1.4889319361043227</v>
      </c>
      <c r="AM275" s="31" t="str">
        <f t="shared" ref="AM275:AM338" si="215">IMSUM(COMPLEX(1,0),IMDIV(COMPLEX(0,2*PI()*O275),COMPLEX(wz1_ea_iso,0)))</f>
        <v>1+13.5380291195804i</v>
      </c>
      <c r="AN275" s="31">
        <f t="shared" si="198"/>
        <v>13.574911876053077</v>
      </c>
      <c r="AO275" s="31">
        <f t="shared" si="199"/>
        <v>1.497064235245172</v>
      </c>
      <c r="AP275" s="31" t="str">
        <f t="shared" ref="AP275:AP338" si="216">IMSUM(COMPLEX(1,0),IMDIV(COMPLEX(0,2*PI()*O275),COMPLEX(wz2_ea_iso,0)))</f>
        <v>1+10.9251075611946i</v>
      </c>
      <c r="AQ275" s="31">
        <f t="shared" si="200"/>
        <v>10.970778241477284</v>
      </c>
      <c r="AR275" s="31">
        <f t="shared" si="201"/>
        <v>1.4795183938090108</v>
      </c>
      <c r="AS275" s="58" t="str">
        <f t="shared" si="202"/>
        <v>-3.68516576433669+0.30711348162615i</v>
      </c>
      <c r="AT275" s="49">
        <f t="shared" si="203"/>
        <v>11.359198844882679</v>
      </c>
      <c r="AU275" s="61">
        <f t="shared" si="204"/>
        <v>175.2361060957393</v>
      </c>
      <c r="AV275" s="58" t="str">
        <f t="shared" ref="AV275:AV338" si="217">IMPRODUCT(AC275,AS275)</f>
        <v>2.77523465962348+2.51793017143239i</v>
      </c>
      <c r="AW275" s="64">
        <f t="shared" si="205"/>
        <v>11.474258685692787</v>
      </c>
      <c r="AX275" s="61">
        <f t="shared" si="206"/>
        <v>42.217002307776013</v>
      </c>
    </row>
    <row r="276" spans="14:50" x14ac:dyDescent="0.35">
      <c r="N276" s="10">
        <v>58</v>
      </c>
      <c r="O276" s="50">
        <f t="shared" si="207"/>
        <v>3801.8939632056172</v>
      </c>
      <c r="P276" s="48" t="str">
        <f t="shared" si="208"/>
        <v>547.187404092767</v>
      </c>
      <c r="Q276" s="17" t="str">
        <f t="shared" si="209"/>
        <v>1+458.13205507439i</v>
      </c>
      <c r="R276" s="17">
        <f t="shared" ref="R276:R339" si="218">IMABS(Q276)</f>
        <v>458.13314646146688</v>
      </c>
      <c r="S276" s="17">
        <f t="shared" ref="S276:S339" si="219">IMARGUMENT(Q276)</f>
        <v>1.5686135535076822</v>
      </c>
      <c r="T276" s="17" t="str">
        <f t="shared" si="210"/>
        <v>1+0.00866874606259132i</v>
      </c>
      <c r="U276" s="17">
        <f t="shared" ref="U276:U339" si="220">IMABS(T276)</f>
        <v>1.0000375728732884</v>
      </c>
      <c r="V276" s="17">
        <f t="shared" ref="V276:V339" si="221">IMARGUMENT(T276)</f>
        <v>8.6685289285039057E-3</v>
      </c>
      <c r="W276" s="31" t="str">
        <f t="shared" si="211"/>
        <v>1-0.150534924653402i</v>
      </c>
      <c r="X276" s="17">
        <f t="shared" ref="X276:X339" si="222">IMABS(W276)</f>
        <v>1.0112669101381719</v>
      </c>
      <c r="Y276" s="17">
        <f t="shared" ref="Y276:Y339" si="223">IMARGUMENT(W276)</f>
        <v>-0.14941306020679293</v>
      </c>
      <c r="Z276" s="31" t="str">
        <f t="shared" si="212"/>
        <v>0.995221686708278+0.720259368269134i</v>
      </c>
      <c r="AA276" s="17">
        <f t="shared" ref="AA276:AA339" si="224">IMABS(Z276)</f>
        <v>1.2285111978626495</v>
      </c>
      <c r="AB276" s="17">
        <f t="shared" ref="AB276:AB339" si="225">IMARGUMENT(Z276)</f>
        <v>0.62646705209509157</v>
      </c>
      <c r="AC276" s="66" t="str">
        <f t="shared" ref="AC276:AC339" si="226">(IMDIV(IMPRODUCT(P276,T276,W276),IMPRODUCT(Q276,Z276)))</f>
        <v>-0.68093143709899-0.709252501932033i</v>
      </c>
      <c r="AD276" s="64">
        <f t="shared" ref="AD276:AD339" si="227">20*LOG(IMABS(AC276))</f>
        <v>-0.14705256349454646</v>
      </c>
      <c r="AE276" s="61">
        <f t="shared" ref="AE276:AE339" si="228">(180/PI())*IMARGUMENT(AC276)</f>
        <v>-133.83292202385275</v>
      </c>
      <c r="AF276" s="31" t="str">
        <f t="shared" si="213"/>
        <v>-6627.51882264077</v>
      </c>
      <c r="AG276" s="31" t="str">
        <f t="shared" ref="AG276:AG339" si="229">COMPLEX(0,1*2*PI()*O276)</f>
        <v>23888.0042890683i</v>
      </c>
      <c r="AH276" s="31">
        <f t="shared" ref="AH276:AH339" si="230">IMABS(AG276)</f>
        <v>23888.0042890683</v>
      </c>
      <c r="AI276" s="31">
        <f t="shared" ref="AI276:AI339" si="231">IMARGUMENT(AG276)</f>
        <v>1.5707963267948966</v>
      </c>
      <c r="AJ276" s="31" t="str">
        <f t="shared" si="214"/>
        <v>0.931900210384538+11.6608098536872i</v>
      </c>
      <c r="AK276" s="31">
        <f t="shared" ref="AK276:AK339" si="232">IMABS(AJ276)</f>
        <v>11.697988051197662</v>
      </c>
      <c r="AL276" s="31">
        <f t="shared" ref="AL276:AL339" si="233">IMARGUMENT(AJ276)</f>
        <v>1.4910485352168419</v>
      </c>
      <c r="AM276" s="31" t="str">
        <f t="shared" si="215"/>
        <v>1+13.8533703273594i</v>
      </c>
      <c r="AN276" s="31">
        <f t="shared" ref="AN276:AN339" si="234">IMABS(AM276)</f>
        <v>13.889415733822711</v>
      </c>
      <c r="AO276" s="31">
        <f t="shared" ref="AO276:AO339" si="235">IMARGUMENT(AM276)</f>
        <v>1.4987367113935137</v>
      </c>
      <c r="AP276" s="31" t="str">
        <f t="shared" si="216"/>
        <v>1+11.1795860072839i</v>
      </c>
      <c r="AQ276" s="31">
        <f t="shared" ref="AQ276:AQ339" si="236">IMABS(AP276)</f>
        <v>11.224221277855227</v>
      </c>
      <c r="AR276" s="31">
        <f t="shared" ref="AR276:AR339" si="237">IMARGUMENT(AP276)</f>
        <v>1.4815849996707799</v>
      </c>
      <c r="AS276" s="58" t="str">
        <f t="shared" ref="AS276:AS339" si="238">IMDIV(IMPRODUCT(AF276,AM276,AP276),IMPRODUCT(AG276,AJ276))</f>
        <v>-3.68515159544786+0.301092488151924i</v>
      </c>
      <c r="AT276" s="49">
        <f t="shared" ref="AT276:AT339" si="239">20*LOG(IMABS(AS276))</f>
        <v>11.358002505133189</v>
      </c>
      <c r="AU276" s="61">
        <f t="shared" ref="AU276:AU339" si="240">(180/PI())*IMARGUMENT(AS276)</f>
        <v>175.32906751810347</v>
      </c>
      <c r="AV276" s="58" t="str">
        <f t="shared" si="217"/>
        <v>2.72288617235064+2.40867964841322i</v>
      </c>
      <c r="AW276" s="64">
        <f t="shared" ref="AW276:AW339" si="241">20*LOG(IMABS(AV276))</f>
        <v>11.210949941638646</v>
      </c>
      <c r="AX276" s="61">
        <f t="shared" ref="AX276:AX339" si="242">(180/PI())*IMARGUMENT(AV276)</f>
        <v>41.49614549425074</v>
      </c>
    </row>
    <row r="277" spans="14:50" x14ac:dyDescent="0.35">
      <c r="N277" s="10">
        <v>59</v>
      </c>
      <c r="O277" s="50">
        <f t="shared" si="207"/>
        <v>3890.451449942811</v>
      </c>
      <c r="P277" s="48" t="str">
        <f t="shared" si="208"/>
        <v>547.187404092767</v>
      </c>
      <c r="Q277" s="17" t="str">
        <f t="shared" si="209"/>
        <v>1+468.803321496804i</v>
      </c>
      <c r="R277" s="17">
        <f t="shared" si="218"/>
        <v>468.80438804093529</v>
      </c>
      <c r="S277" s="17">
        <f t="shared" si="219"/>
        <v>1.5686632393412512</v>
      </c>
      <c r="T277" s="17" t="str">
        <f t="shared" si="210"/>
        <v>1+0.00887066709771108i</v>
      </c>
      <c r="U277" s="17">
        <f t="shared" si="220"/>
        <v>1.0000393435934201</v>
      </c>
      <c r="V277" s="17">
        <f t="shared" si="221"/>
        <v>8.8704344348389547E-3</v>
      </c>
      <c r="W277" s="31" t="str">
        <f t="shared" si="211"/>
        <v>1-0.154041333491338i</v>
      </c>
      <c r="X277" s="17">
        <f t="shared" si="222"/>
        <v>1.0117948074702645</v>
      </c>
      <c r="Y277" s="17">
        <f t="shared" si="223"/>
        <v>-0.15283998962123904</v>
      </c>
      <c r="Z277" s="31" t="str">
        <f t="shared" si="212"/>
        <v>0.994996491740707+0.737036364174368i</v>
      </c>
      <c r="AA277" s="17">
        <f t="shared" si="224"/>
        <v>1.2382409380616062</v>
      </c>
      <c r="AB277" s="17">
        <f t="shared" si="225"/>
        <v>0.63755004791884495</v>
      </c>
      <c r="AC277" s="66" t="str">
        <f t="shared" si="226"/>
        <v>-0.670358647376126-0.678467412200296i</v>
      </c>
      <c r="AD277" s="64">
        <f t="shared" si="227"/>
        <v>-0.41102404178859864</v>
      </c>
      <c r="AE277" s="61">
        <f t="shared" si="228"/>
        <v>-134.65555795624351</v>
      </c>
      <c r="AF277" s="31" t="str">
        <f t="shared" si="213"/>
        <v>-6627.51882264077</v>
      </c>
      <c r="AG277" s="31" t="str">
        <f t="shared" si="229"/>
        <v>24444.4273885762i</v>
      </c>
      <c r="AH277" s="31">
        <f t="shared" si="230"/>
        <v>24444.427388576201</v>
      </c>
      <c r="AI277" s="31">
        <f t="shared" si="231"/>
        <v>1.5707963267948966</v>
      </c>
      <c r="AJ277" s="31" t="str">
        <f t="shared" si="214"/>
        <v>0.92869076617739+11.9324250075965i</v>
      </c>
      <c r="AK277" s="31">
        <f t="shared" si="232"/>
        <v>11.968510061870587</v>
      </c>
      <c r="AL277" s="31">
        <f t="shared" si="233"/>
        <v>1.493123732415409</v>
      </c>
      <c r="AM277" s="31" t="str">
        <f t="shared" si="215"/>
        <v>1+14.176056775457i</v>
      </c>
      <c r="AN277" s="31">
        <f t="shared" si="234"/>
        <v>14.211283745706448</v>
      </c>
      <c r="AO277" s="31">
        <f t="shared" si="235"/>
        <v>1.5003715076407009</v>
      </c>
      <c r="AP277" s="31" t="str">
        <f t="shared" si="216"/>
        <v>1+11.4399920178536i</v>
      </c>
      <c r="AQ277" s="31">
        <f t="shared" si="236"/>
        <v>11.483615169821482</v>
      </c>
      <c r="AR277" s="31">
        <f t="shared" si="237"/>
        <v>1.4836053023946998</v>
      </c>
      <c r="AS277" s="58" t="str">
        <f t="shared" si="238"/>
        <v>-3.68513753713299+0.295231069521753i</v>
      </c>
      <c r="AT277" s="49">
        <f t="shared" si="239"/>
        <v>11.356859066334941</v>
      </c>
      <c r="AU277" s="61">
        <f t="shared" si="240"/>
        <v>175.41958922171528</v>
      </c>
      <c r="AV277" s="58" t="str">
        <f t="shared" si="217"/>
        <v>2.67066847452701+2.30233502799278i</v>
      </c>
      <c r="AW277" s="64">
        <f t="shared" si="241"/>
        <v>10.945835024546341</v>
      </c>
      <c r="AX277" s="61">
        <f t="shared" si="242"/>
        <v>40.764031265471708</v>
      </c>
    </row>
    <row r="278" spans="14:50" x14ac:dyDescent="0.35">
      <c r="N278" s="10">
        <v>60</v>
      </c>
      <c r="O278" s="50">
        <f t="shared" si="207"/>
        <v>3981.0717055349769</v>
      </c>
      <c r="P278" s="48" t="str">
        <f t="shared" si="208"/>
        <v>547.187404092767</v>
      </c>
      <c r="Q278" s="17" t="str">
        <f t="shared" si="209"/>
        <v>1+479.72315364562i</v>
      </c>
      <c r="R278" s="17">
        <f t="shared" si="218"/>
        <v>479.72419591229618</v>
      </c>
      <c r="S278" s="17">
        <f t="shared" si="219"/>
        <v>1.5687117941973459</v>
      </c>
      <c r="T278" s="17" t="str">
        <f t="shared" si="210"/>
        <v>1+0.00907729147794318i</v>
      </c>
      <c r="U278" s="17">
        <f t="shared" si="220"/>
        <v>1.0000411977616599</v>
      </c>
      <c r="V278" s="17">
        <f t="shared" si="221"/>
        <v>9.0770421757387695E-3</v>
      </c>
      <c r="W278" s="31" t="str">
        <f t="shared" si="211"/>
        <v>1-0.157629417083268i</v>
      </c>
      <c r="X278" s="17">
        <f t="shared" si="222"/>
        <v>1.0123472887947154</v>
      </c>
      <c r="Y278" s="17">
        <f t="shared" si="223"/>
        <v>-0.1563430003716095</v>
      </c>
      <c r="Z278" s="31" t="str">
        <f t="shared" si="212"/>
        <v>0.994760683661286+0.754204146515715i</v>
      </c>
      <c r="AA278" s="17">
        <f t="shared" si="224"/>
        <v>1.2483479933014541</v>
      </c>
      <c r="AB278" s="17">
        <f t="shared" si="225"/>
        <v>0.64871354676388371</v>
      </c>
      <c r="AC278" s="66" t="str">
        <f t="shared" si="226"/>
        <v>-0.659629633073237-0.648514316342442i</v>
      </c>
      <c r="AD278" s="64">
        <f t="shared" si="227"/>
        <v>-0.67687567466431586</v>
      </c>
      <c r="AE278" s="61">
        <f t="shared" si="228"/>
        <v>-135.48683129300937</v>
      </c>
      <c r="AF278" s="31" t="str">
        <f t="shared" si="213"/>
        <v>-6627.51882264077</v>
      </c>
      <c r="AG278" s="31" t="str">
        <f t="shared" si="229"/>
        <v>25013.8112470457i</v>
      </c>
      <c r="AH278" s="31">
        <f t="shared" si="230"/>
        <v>25013.811247045702</v>
      </c>
      <c r="AI278" s="31">
        <f t="shared" si="231"/>
        <v>1.5707963267948966</v>
      </c>
      <c r="AJ278" s="31" t="str">
        <f t="shared" si="214"/>
        <v>0.925330065524708+12.2103668911891i</v>
      </c>
      <c r="AK278" s="31">
        <f t="shared" si="232"/>
        <v>12.245378530188887</v>
      </c>
      <c r="AL278" s="31">
        <f t="shared" si="233"/>
        <v>1.4951585696145169</v>
      </c>
      <c r="AM278" s="31" t="str">
        <f t="shared" si="215"/>
        <v>1+14.5062595564992i</v>
      </c>
      <c r="AN278" s="31">
        <f t="shared" si="234"/>
        <v>14.540686583532581</v>
      </c>
      <c r="AO278" s="31">
        <f t="shared" si="235"/>
        <v>1.5019694558050176</v>
      </c>
      <c r="AP278" s="31" t="str">
        <f t="shared" si="216"/>
        <v>1+11.7064636636174i</v>
      </c>
      <c r="AQ278" s="31">
        <f t="shared" si="236"/>
        <v>11.749097476299807</v>
      </c>
      <c r="AR278" s="31">
        <f t="shared" si="237"/>
        <v>1.4855803071665508</v>
      </c>
      <c r="AS278" s="58" t="str">
        <f t="shared" si="238"/>
        <v>-3.68512356030957+0.289526122006461i</v>
      </c>
      <c r="AT278" s="49">
        <f t="shared" si="239"/>
        <v>11.355766147289692</v>
      </c>
      <c r="AU278" s="61">
        <f t="shared" si="240"/>
        <v>175.50771676185144</v>
      </c>
      <c r="AV278" s="58" t="str">
        <f t="shared" si="217"/>
        <v>2.61857853699284+2.19887537672735i</v>
      </c>
      <c r="AW278" s="64">
        <f t="shared" si="241"/>
        <v>10.67889047262538</v>
      </c>
      <c r="AX278" s="61">
        <f t="shared" si="242"/>
        <v>40.020885468842103</v>
      </c>
    </row>
    <row r="279" spans="14:50" x14ac:dyDescent="0.35">
      <c r="N279" s="10">
        <v>61</v>
      </c>
      <c r="O279" s="50">
        <f t="shared" si="207"/>
        <v>4073.8027780411317</v>
      </c>
      <c r="P279" s="48" t="str">
        <f t="shared" si="208"/>
        <v>547.187404092767</v>
      </c>
      <c r="Q279" s="17" t="str">
        <f t="shared" si="209"/>
        <v>1+490.897341360387i</v>
      </c>
      <c r="R279" s="17">
        <f t="shared" si="218"/>
        <v>490.8983599022269</v>
      </c>
      <c r="S279" s="17">
        <f t="shared" si="219"/>
        <v>1.5687592438194771</v>
      </c>
      <c r="T279" s="17" t="str">
        <f t="shared" si="210"/>
        <v>1+0.00928872875826908i</v>
      </c>
      <c r="U279" s="17">
        <f t="shared" si="220"/>
        <v>1.0000431393104723</v>
      </c>
      <c r="V279" s="17">
        <f t="shared" si="221"/>
        <v>9.2884616267665792E-3</v>
      </c>
      <c r="W279" s="31" t="str">
        <f t="shared" si="211"/>
        <v>1-0.161301077878608i</v>
      </c>
      <c r="X279" s="17">
        <f t="shared" si="222"/>
        <v>1.0129254847839504</v>
      </c>
      <c r="Y279" s="17">
        <f t="shared" si="223"/>
        <v>-0.1599236057382058</v>
      </c>
      <c r="Z279" s="31" t="str">
        <f t="shared" si="212"/>
        <v>0.994513762289463+0.771771817878619i</v>
      </c>
      <c r="AA279" s="17">
        <f t="shared" si="224"/>
        <v>1.258844455147184</v>
      </c>
      <c r="AB279" s="17">
        <f t="shared" si="225"/>
        <v>0.65995280865221895</v>
      </c>
      <c r="AC279" s="66" t="str">
        <f t="shared" si="226"/>
        <v>-0.648753144885175-0.619387020568947i</v>
      </c>
      <c r="AD279" s="64">
        <f t="shared" si="227"/>
        <v>-0.94462656142785395</v>
      </c>
      <c r="AE279" s="61">
        <f t="shared" si="228"/>
        <v>-136.32655236049783</v>
      </c>
      <c r="AF279" s="31" t="str">
        <f t="shared" si="213"/>
        <v>-6627.51882264077</v>
      </c>
      <c r="AG279" s="31" t="str">
        <f t="shared" si="229"/>
        <v>25596.4577593354i</v>
      </c>
      <c r="AH279" s="31">
        <f t="shared" si="230"/>
        <v>25596.457759335401</v>
      </c>
      <c r="AI279" s="31">
        <f t="shared" si="231"/>
        <v>1.5707963267948966</v>
      </c>
      <c r="AJ279" s="31" t="str">
        <f t="shared" si="214"/>
        <v>0.921810979929832+12.4947828729308i</v>
      </c>
      <c r="AK279" s="31">
        <f t="shared" si="232"/>
        <v>12.528740340688845</v>
      </c>
      <c r="AL279" s="31">
        <f t="shared" si="233"/>
        <v>1.4971540711706293</v>
      </c>
      <c r="AM279" s="31" t="str">
        <f t="shared" si="215"/>
        <v>1+14.8441537483714i</v>
      </c>
      <c r="AN279" s="31">
        <f t="shared" si="234"/>
        <v>14.877798913323458</v>
      </c>
      <c r="AO279" s="31">
        <f t="shared" si="235"/>
        <v>1.5035313704792996</v>
      </c>
      <c r="AP279" s="31" t="str">
        <f t="shared" si="216"/>
        <v>1+11.979142231369i</v>
      </c>
      <c r="AQ279" s="31">
        <f t="shared" si="236"/>
        <v>12.020808982733577</v>
      </c>
      <c r="AR279" s="31">
        <f t="shared" si="237"/>
        <v>1.4875109994954792</v>
      </c>
      <c r="AS279" s="58" t="str">
        <f t="shared" si="238"/>
        <v>-3.68510963600436+0.283974624543726i</v>
      </c>
      <c r="AT279" s="49">
        <f t="shared" si="239"/>
        <v>11.354721470102664</v>
      </c>
      <c r="AU279" s="61">
        <f t="shared" si="240"/>
        <v>175.59349458545623</v>
      </c>
      <c r="AV279" s="58" t="str">
        <f t="shared" si="217"/>
        <v>2.56661666221781+2.09827964717433i</v>
      </c>
      <c r="AW279" s="64">
        <f t="shared" si="241"/>
        <v>10.4100949086748</v>
      </c>
      <c r="AX279" s="61">
        <f t="shared" si="242"/>
        <v>39.266942224958449</v>
      </c>
    </row>
    <row r="280" spans="14:50" x14ac:dyDescent="0.35">
      <c r="N280" s="10">
        <v>62</v>
      </c>
      <c r="O280" s="50">
        <f t="shared" si="207"/>
        <v>4168.6938347033583</v>
      </c>
      <c r="P280" s="48" t="str">
        <f t="shared" si="208"/>
        <v>547.187404092767</v>
      </c>
      <c r="Q280" s="17" t="str">
        <f t="shared" si="209"/>
        <v>1+502.331809343338i</v>
      </c>
      <c r="R280" s="17">
        <f t="shared" si="218"/>
        <v>502.33280470038159</v>
      </c>
      <c r="S280" s="17">
        <f t="shared" si="219"/>
        <v>1.5688056133652077</v>
      </c>
      <c r="T280" s="17" t="str">
        <f t="shared" si="210"/>
        <v>1+0.00950509104553347i</v>
      </c>
      <c r="U280" s="17">
        <f t="shared" si="220"/>
        <v>1.0000451723576209</v>
      </c>
      <c r="V280" s="17">
        <f t="shared" si="221"/>
        <v>9.5048048096698003E-3</v>
      </c>
      <c r="W280" s="31" t="str">
        <f t="shared" si="211"/>
        <v>1-0.165058262640513i</v>
      </c>
      <c r="X280" s="17">
        <f t="shared" si="222"/>
        <v>1.0135305767789666</v>
      </c>
      <c r="Y280" s="17">
        <f t="shared" si="223"/>
        <v>-0.16358333677003242</v>
      </c>
      <c r="Z280" s="31" t="str">
        <f t="shared" si="212"/>
        <v>0.994255203871903+0.789748692874971i</v>
      </c>
      <c r="AA280" s="17">
        <f t="shared" si="224"/>
        <v>1.26974265436902</v>
      </c>
      <c r="AB280" s="17">
        <f t="shared" si="225"/>
        <v>0.67126292312431646</v>
      </c>
      <c r="AC280" s="66" t="str">
        <f t="shared" si="226"/>
        <v>-0.637738453567874-0.591079248791807i</v>
      </c>
      <c r="AD280" s="64">
        <f t="shared" si="227"/>
        <v>-1.2142937007664081</v>
      </c>
      <c r="AE280" s="61">
        <f t="shared" si="228"/>
        <v>-137.1745225557971</v>
      </c>
      <c r="AF280" s="31" t="str">
        <f t="shared" si="213"/>
        <v>-6627.51882264077</v>
      </c>
      <c r="AG280" s="31" t="str">
        <f t="shared" si="229"/>
        <v>26192.6758523383i</v>
      </c>
      <c r="AH280" s="31">
        <f t="shared" si="230"/>
        <v>26192.6758523383</v>
      </c>
      <c r="AI280" s="31">
        <f t="shared" si="231"/>
        <v>1.5707963267948966</v>
      </c>
      <c r="AJ280" s="31" t="str">
        <f t="shared" si="214"/>
        <v>0.918126044940402+12.7858237539397i</v>
      </c>
      <c r="AK280" s="31">
        <f t="shared" si="232"/>
        <v>12.818745824034682</v>
      </c>
      <c r="AL280" s="31">
        <f t="shared" si="233"/>
        <v>1.4991112441743724</v>
      </c>
      <c r="AM280" s="31" t="str">
        <f t="shared" si="215"/>
        <v>1+15.1899185070466i</v>
      </c>
      <c r="AN280" s="31">
        <f t="shared" si="234"/>
        <v>15.22279948796268</v>
      </c>
      <c r="AO280" s="31">
        <f t="shared" si="235"/>
        <v>1.505058049310946</v>
      </c>
      <c r="AP280" s="31" t="str">
        <f t="shared" si="216"/>
        <v>1+12.2581722988943i</v>
      </c>
      <c r="AQ280" s="31">
        <f t="shared" si="236"/>
        <v>12.298893775839337</v>
      </c>
      <c r="AR280" s="31">
        <f t="shared" si="237"/>
        <v>1.4893983454537401</v>
      </c>
      <c r="AS280" s="58" t="str">
        <f t="shared" si="238"/>
        <v>-3.68509573529764+0.27857363715317i</v>
      </c>
      <c r="AT280" s="49">
        <f t="shared" si="239"/>
        <v>11.353722855686371</v>
      </c>
      <c r="AU280" s="61">
        <f t="shared" si="240"/>
        <v>175.67696604417949</v>
      </c>
      <c r="AV280" s="58" t="str">
        <f t="shared" si="217"/>
        <v>2.51478635165998+2.00052649838278i</v>
      </c>
      <c r="AW280" s="64">
        <f t="shared" si="241"/>
        <v>10.139429154919959</v>
      </c>
      <c r="AX280" s="61">
        <f t="shared" si="242"/>
        <v>38.502443488382383</v>
      </c>
    </row>
    <row r="281" spans="14:50" x14ac:dyDescent="0.35">
      <c r="N281" s="10">
        <v>63</v>
      </c>
      <c r="O281" s="50">
        <f t="shared" si="207"/>
        <v>4265.7951880159299</v>
      </c>
      <c r="P281" s="48" t="str">
        <f t="shared" si="208"/>
        <v>547.187404092767</v>
      </c>
      <c r="Q281" s="17" t="str">
        <f t="shared" si="209"/>
        <v>1+514.03262030075i</v>
      </c>
      <c r="R281" s="17">
        <f t="shared" si="218"/>
        <v>514.03359300074442</v>
      </c>
      <c r="S281" s="17">
        <f t="shared" si="219"/>
        <v>1.5688509274194866</v>
      </c>
      <c r="T281" s="17" t="str">
        <f t="shared" si="210"/>
        <v>1+0.00972649305788495i</v>
      </c>
      <c r="U281" s="17">
        <f t="shared" si="220"/>
        <v>1.0000473012149</v>
      </c>
      <c r="V281" s="17">
        <f t="shared" si="221"/>
        <v>9.7261863514146746E-3</v>
      </c>
      <c r="W281" s="31" t="str">
        <f t="shared" si="211"/>
        <v>1-0.168902963478073i</v>
      </c>
      <c r="X281" s="17">
        <f t="shared" si="222"/>
        <v>1.0141637989356924</v>
      </c>
      <c r="Y281" s="17">
        <f t="shared" si="223"/>
        <v>-0.16732374156921923</v>
      </c>
      <c r="Z281" s="31" t="str">
        <f t="shared" si="212"/>
        <v>0.993984459971537+0.808144303081843i</v>
      </c>
      <c r="AA281" s="17">
        <f t="shared" si="224"/>
        <v>1.2810551593387949</v>
      </c>
      <c r="AB281" s="17">
        <f t="shared" si="225"/>
        <v>0.6826388187707253</v>
      </c>
      <c r="AC281" s="66" t="str">
        <f t="shared" si="226"/>
        <v>-0.626595326559654-0.563584593143267i</v>
      </c>
      <c r="AD281" s="64">
        <f t="shared" si="227"/>
        <v>-1.4858918753087382</v>
      </c>
      <c r="AE281" s="61">
        <f t="shared" si="228"/>
        <v>-138.03053484924021</v>
      </c>
      <c r="AF281" s="31" t="str">
        <f t="shared" si="213"/>
        <v>-6627.51882264077</v>
      </c>
      <c r="AG281" s="31" t="str">
        <f t="shared" si="229"/>
        <v>26802.7816487791i</v>
      </c>
      <c r="AH281" s="31">
        <f t="shared" si="230"/>
        <v>26802.781648779099</v>
      </c>
      <c r="AI281" s="31">
        <f t="shared" si="231"/>
        <v>1.5707963267948966</v>
      </c>
      <c r="AJ281" s="31" t="str">
        <f t="shared" si="214"/>
        <v>0.914267444315258+13.0836438479433i</v>
      </c>
      <c r="AK281" s="31">
        <f t="shared" si="232"/>
        <v>13.115548837145905</v>
      </c>
      <c r="AL281" s="31">
        <f t="shared" si="233"/>
        <v>1.501031078749707</v>
      </c>
      <c r="AM281" s="31" t="str">
        <f t="shared" si="215"/>
        <v>1+15.5437371615765i</v>
      </c>
      <c r="AN281" s="31">
        <f t="shared" si="234"/>
        <v>15.575871242026054</v>
      </c>
      <c r="AO281" s="31">
        <f t="shared" si="235"/>
        <v>1.5065502732828271</v>
      </c>
      <c r="AP281" s="31" t="str">
        <f t="shared" si="216"/>
        <v>1+12.5437018116286i</v>
      </c>
      <c r="AQ281" s="31">
        <f t="shared" si="236"/>
        <v>12.58349932010387</v>
      </c>
      <c r="AR281" s="31">
        <f t="shared" si="237"/>
        <v>1.4912432919242644</v>
      </c>
      <c r="AS281" s="58" t="str">
        <f t="shared" si="238"/>
        <v>-3.68508182926686+0.273320299393176i</v>
      </c>
      <c r="AT281" s="49">
        <f t="shared" si="239"/>
        <v>11.352768219444513</v>
      </c>
      <c r="AU281" s="61">
        <f t="shared" si="240"/>
        <v>175.75817340751516</v>
      </c>
      <c r="AV281" s="58" t="str">
        <f t="shared" si="217"/>
        <v>2.46309416193981+1.90559412119336i</v>
      </c>
      <c r="AW281" s="64">
        <f t="shared" si="241"/>
        <v>9.8668763441357665</v>
      </c>
      <c r="AX281" s="61">
        <f t="shared" si="242"/>
        <v>37.727638558275018</v>
      </c>
    </row>
    <row r="282" spans="14:50" x14ac:dyDescent="0.35">
      <c r="N282" s="10">
        <v>64</v>
      </c>
      <c r="O282" s="50">
        <f t="shared" si="207"/>
        <v>4365.1583224016631</v>
      </c>
      <c r="P282" s="48" t="str">
        <f t="shared" si="208"/>
        <v>547.187404092767</v>
      </c>
      <c r="Q282" s="17" t="str">
        <f t="shared" si="209"/>
        <v>1+526.00597815747i</v>
      </c>
      <c r="R282" s="17">
        <f t="shared" si="218"/>
        <v>526.00692871615001</v>
      </c>
      <c r="S282" s="17">
        <f t="shared" si="219"/>
        <v>1.5688952100076803</v>
      </c>
      <c r="T282" s="17" t="str">
        <f t="shared" si="210"/>
        <v>1+0.00995305218560105i</v>
      </c>
      <c r="U282" s="17">
        <f t="shared" si="220"/>
        <v>1.0000495303972745</v>
      </c>
      <c r="V282" s="17">
        <f t="shared" si="221"/>
        <v>9.9527235445762037E-3</v>
      </c>
      <c r="W282" s="31" t="str">
        <f t="shared" si="211"/>
        <v>1-0.172837218902564i</v>
      </c>
      <c r="X282" s="17">
        <f t="shared" si="222"/>
        <v>1.0148264404507663</v>
      </c>
      <c r="Y282" s="17">
        <f t="shared" si="223"/>
        <v>-0.17114638449180164</v>
      </c>
      <c r="Z282" s="31" t="str">
        <f t="shared" si="212"/>
        <v>0.993700956304254+0.826968402095262i</v>
      </c>
      <c r="AA282" s="17">
        <f t="shared" si="224"/>
        <v>1.292794774364431</v>
      </c>
      <c r="AB282" s="17">
        <f t="shared" si="225"/>
        <v>0.69407527368986277</v>
      </c>
      <c r="AC282" s="66" t="str">
        <f t="shared" si="226"/>
        <v>-0.615334000665904-0.536896466254257i</v>
      </c>
      <c r="AD282" s="64">
        <f t="shared" si="227"/>
        <v>-1.7594335408559727</v>
      </c>
      <c r="AE282" s="61">
        <f t="shared" si="228"/>
        <v>-138.89437433508644</v>
      </c>
      <c r="AF282" s="31" t="str">
        <f t="shared" si="213"/>
        <v>-6627.51882264077</v>
      </c>
      <c r="AG282" s="31" t="str">
        <f t="shared" si="229"/>
        <v>27427.0986348268i</v>
      </c>
      <c r="AH282" s="31">
        <f t="shared" si="230"/>
        <v>27427.098634826802</v>
      </c>
      <c r="AI282" s="31">
        <f t="shared" si="231"/>
        <v>1.5707963267948966</v>
      </c>
      <c r="AJ282" s="31" t="str">
        <f t="shared" si="214"/>
        <v>0.910226993445144+13.3884010630975i</v>
      </c>
      <c r="AK282" s="31">
        <f t="shared" si="232"/>
        <v>13.419306845211732</v>
      </c>
      <c r="AL282" s="31">
        <f t="shared" si="233"/>
        <v>1.502914548359213</v>
      </c>
      <c r="AM282" s="31" t="str">
        <f t="shared" si="215"/>
        <v>1+15.9057973112951i</v>
      </c>
      <c r="AN282" s="31">
        <f t="shared" si="234"/>
        <v>15.937201388826161</v>
      </c>
      <c r="AO282" s="31">
        <f t="shared" si="235"/>
        <v>1.5080088069946016</v>
      </c>
      <c r="AP282" s="31" t="str">
        <f t="shared" si="216"/>
        <v>1+12.8358821610989i</v>
      </c>
      <c r="AQ282" s="31">
        <f t="shared" si="236"/>
        <v>12.874776536065275</v>
      </c>
      <c r="AR282" s="31">
        <f t="shared" si="237"/>
        <v>1.493046766855048</v>
      </c>
      <c r="AS282" s="58" t="str">
        <f t="shared" si="238"/>
        <v>-3.68506788892973+0.268211828858777i</v>
      </c>
      <c r="AT282" s="49">
        <f t="shared" si="239"/>
        <v>11.351855567129537</v>
      </c>
      <c r="AU282" s="61">
        <f t="shared" si="240"/>
        <v>175.83715787600312</v>
      </c>
      <c r="AV282" s="58" t="str">
        <f t="shared" si="217"/>
        <v>2.41154954994246+1.81346006979582i</v>
      </c>
      <c r="AW282" s="64">
        <f t="shared" si="241"/>
        <v>9.592422026273578</v>
      </c>
      <c r="AX282" s="61">
        <f t="shared" si="242"/>
        <v>36.9427835409167</v>
      </c>
    </row>
    <row r="283" spans="14:50" x14ac:dyDescent="0.35">
      <c r="N283" s="10">
        <v>65</v>
      </c>
      <c r="O283" s="50">
        <f t="shared" si="207"/>
        <v>4466.8359215096343</v>
      </c>
      <c r="P283" s="48" t="str">
        <f t="shared" si="208"/>
        <v>547.187404092767</v>
      </c>
      <c r="Q283" s="17" t="str">
        <f t="shared" si="209"/>
        <v>1+538.258231346322i</v>
      </c>
      <c r="R283" s="17">
        <f t="shared" si="218"/>
        <v>538.25916026768243</v>
      </c>
      <c r="S283" s="17">
        <f t="shared" si="219"/>
        <v>1.5689384846083079</v>
      </c>
      <c r="T283" s="17" t="str">
        <f t="shared" si="210"/>
        <v>1+0.0101848885533302i</v>
      </c>
      <c r="U283" s="17">
        <f t="shared" si="220"/>
        <v>1.0000518646324519</v>
      </c>
      <c r="V283" s="17">
        <f t="shared" si="221"/>
        <v>1.0184536409113938E-2</v>
      </c>
      <c r="W283" s="31" t="str">
        <f t="shared" si="211"/>
        <v>1-0.176863114908288i</v>
      </c>
      <c r="X283" s="17">
        <f t="shared" si="222"/>
        <v>1.0155198478685989</v>
      </c>
      <c r="Y283" s="17">
        <f t="shared" si="223"/>
        <v>-0.17505284525962306</v>
      </c>
      <c r="Z283" s="31" t="str">
        <f t="shared" si="212"/>
        <v>0.993404091520764+0.846230970701694i</v>
      </c>
      <c r="AA283" s="17">
        <f t="shared" si="224"/>
        <v>1.3049745379987021</v>
      </c>
      <c r="AB283" s="17">
        <f t="shared" si="225"/>
        <v>0.70556692683173472</v>
      </c>
      <c r="AC283" s="66" t="str">
        <f t="shared" si="226"/>
        <v>-0.603965150925306-0.511008055703497i</v>
      </c>
      <c r="AD283" s="64">
        <f t="shared" si="227"/>
        <v>-2.0349287210453606</v>
      </c>
      <c r="AE283" s="61">
        <f t="shared" si="228"/>
        <v>-139.76581882777475</v>
      </c>
      <c r="AF283" s="31" t="str">
        <f t="shared" si="213"/>
        <v>-6627.51882264077</v>
      </c>
      <c r="AG283" s="31" t="str">
        <f t="shared" si="229"/>
        <v>28065.9578316113i</v>
      </c>
      <c r="AH283" s="31">
        <f t="shared" si="230"/>
        <v>28065.9578316113</v>
      </c>
      <c r="AI283" s="31">
        <f t="shared" si="231"/>
        <v>1.5707963267948966</v>
      </c>
      <c r="AJ283" s="31" t="str">
        <f t="shared" si="214"/>
        <v>0.90599612199205+13.7002569857119i</v>
      </c>
      <c r="AK283" s="31">
        <f t="shared" si="232"/>
        <v>13.730181005639087</v>
      </c>
      <c r="AL283" s="31">
        <f t="shared" si="233"/>
        <v>1.5047626101147071</v>
      </c>
      <c r="AM283" s="31" t="str">
        <f t="shared" si="215"/>
        <v>1+16.2762909252864i</v>
      </c>
      <c r="AN283" s="31">
        <f t="shared" si="234"/>
        <v>16.306981519722171</v>
      </c>
      <c r="AO283" s="31">
        <f t="shared" si="235"/>
        <v>1.509434398944004</v>
      </c>
      <c r="AP283" s="31" t="str">
        <f t="shared" si="216"/>
        <v>1+13.1348682651941i</v>
      </c>
      <c r="AQ283" s="31">
        <f t="shared" si="236"/>
        <v>13.172879880421105</v>
      </c>
      <c r="AR283" s="31">
        <f t="shared" si="237"/>
        <v>1.4948096795194439</v>
      </c>
      <c r="AS283" s="58" t="str">
        <f t="shared" si="238"/>
        <v>-3.68505388518732+0.263245519719799i</v>
      </c>
      <c r="AT283" s="49">
        <f t="shared" si="239"/>
        <v>11.350982990868832</v>
      </c>
      <c r="AU283" s="61">
        <f t="shared" si="240"/>
        <v>175.9139595944624</v>
      </c>
      <c r="AV283" s="58" t="str">
        <f t="shared" si="217"/>
        <v>2.36016470713972+1.72410110098421i</v>
      </c>
      <c r="AW283" s="64">
        <f t="shared" si="241"/>
        <v>9.3160542698234785</v>
      </c>
      <c r="AX283" s="61">
        <f t="shared" si="242"/>
        <v>36.148140766687568</v>
      </c>
    </row>
    <row r="284" spans="14:50" x14ac:dyDescent="0.35">
      <c r="N284" s="10">
        <v>66</v>
      </c>
      <c r="O284" s="50">
        <f t="shared" ref="O284:O318" si="243">10^(3+(N284/100))</f>
        <v>4570.8818961487532</v>
      </c>
      <c r="P284" s="48" t="str">
        <f t="shared" si="208"/>
        <v>547.187404092767</v>
      </c>
      <c r="Q284" s="17" t="str">
        <f t="shared" si="209"/>
        <v>1+550.795876174125i</v>
      </c>
      <c r="R284" s="17">
        <f t="shared" si="218"/>
        <v>550.79678395068902</v>
      </c>
      <c r="S284" s="17">
        <f t="shared" si="219"/>
        <v>1.5689807741654869</v>
      </c>
      <c r="T284" s="17" t="str">
        <f t="shared" si="210"/>
        <v>1+0.0104221250837833i</v>
      </c>
      <c r="U284" s="17">
        <f t="shared" si="220"/>
        <v>1.0000543088709042</v>
      </c>
      <c r="V284" s="17">
        <f t="shared" si="221"/>
        <v>1.0421747755564047E-2</v>
      </c>
      <c r="W284" s="31" t="str">
        <f t="shared" si="211"/>
        <v>1-0.180982786078597i</v>
      </c>
      <c r="X284" s="17">
        <f t="shared" si="222"/>
        <v>1.0162454274715194</v>
      </c>
      <c r="Y284" s="17">
        <f t="shared" si="223"/>
        <v>-0.17904471797797597</v>
      </c>
      <c r="Z284" s="31" t="str">
        <f t="shared" si="212"/>
        <v>0.993093235931061+0.865942222169984i</v>
      </c>
      <c r="AA284" s="17">
        <f t="shared" si="224"/>
        <v>1.3176077213604647</v>
      </c>
      <c r="AB284" s="17">
        <f t="shared" si="225"/>
        <v>0.71710829017818867</v>
      </c>
      <c r="AC284" s="66" t="str">
        <f t="shared" si="226"/>
        <v>-0.592499855825343-0.485912281039495i</v>
      </c>
      <c r="AD284" s="64">
        <f t="shared" si="227"/>
        <v>-2.3123849081835637</v>
      </c>
      <c r="AE284" s="61">
        <f t="shared" si="228"/>
        <v>-140.64463950060824</v>
      </c>
      <c r="AF284" s="31" t="str">
        <f t="shared" si="213"/>
        <v>-6627.51882264077</v>
      </c>
      <c r="AG284" s="31" t="str">
        <f t="shared" si="229"/>
        <v>28719.697970735i</v>
      </c>
      <c r="AH284" s="31">
        <f t="shared" si="230"/>
        <v>28719.697970735</v>
      </c>
      <c r="AI284" s="31">
        <f t="shared" si="231"/>
        <v>1.5707963267948966</v>
      </c>
      <c r="AJ284" s="31" t="str">
        <f t="shared" si="214"/>
        <v>0.901565855710381+14.0193769659244i</v>
      </c>
      <c r="AK284" s="31">
        <f t="shared" si="232"/>
        <v>14.048336253979487</v>
      </c>
      <c r="AL284" s="31">
        <f t="shared" si="233"/>
        <v>1.5065762050924527</v>
      </c>
      <c r="AM284" s="31" t="str">
        <f t="shared" si="215"/>
        <v>1+16.6554144441684i</v>
      </c>
      <c r="AN284" s="31">
        <f t="shared" si="234"/>
        <v>16.685407705747362</v>
      </c>
      <c r="AO284" s="31">
        <f t="shared" si="235"/>
        <v>1.5108277818076892</v>
      </c>
      <c r="AP284" s="31" t="str">
        <f t="shared" si="216"/>
        <v>1+13.440818650304i</v>
      </c>
      <c r="AQ284" s="31">
        <f t="shared" si="236"/>
        <v>13.477967428004854</v>
      </c>
      <c r="AR284" s="31">
        <f t="shared" si="237"/>
        <v>1.4965329207814806</v>
      </c>
      <c r="AS284" s="58" t="str">
        <f t="shared" si="238"/>
        <v>-3.68503978876584+0.25841874129858i</v>
      </c>
      <c r="AT284" s="49">
        <f t="shared" si="239"/>
        <v>11.350148665350376</v>
      </c>
      <c r="AU284" s="61">
        <f t="shared" si="240"/>
        <v>175.98861766522396</v>
      </c>
      <c r="AV284" s="58" t="str">
        <f t="shared" si="217"/>
        <v>2.30895438360216+1.63749302251853i</v>
      </c>
      <c r="AW284" s="64">
        <f t="shared" si="241"/>
        <v>9.0377637571668075</v>
      </c>
      <c r="AX284" s="61">
        <f t="shared" si="242"/>
        <v>35.343978164615663</v>
      </c>
    </row>
    <row r="285" spans="14:50" x14ac:dyDescent="0.35">
      <c r="N285" s="10">
        <v>67</v>
      </c>
      <c r="O285" s="50">
        <f t="shared" si="243"/>
        <v>4677.3514128719844</v>
      </c>
      <c r="P285" s="48" t="str">
        <f t="shared" si="208"/>
        <v>547.187404092767</v>
      </c>
      <c r="Q285" s="17" t="str">
        <f t="shared" si="209"/>
        <v>1+563.625560266119i</v>
      </c>
      <c r="R285" s="17">
        <f t="shared" si="218"/>
        <v>563.62644737919857</v>
      </c>
      <c r="S285" s="17">
        <f t="shared" si="219"/>
        <v>1.569022101101095</v>
      </c>
      <c r="T285" s="17" t="str">
        <f t="shared" si="210"/>
        <v>1+0.0106648875629089i</v>
      </c>
      <c r="U285" s="17">
        <f t="shared" si="220"/>
        <v>1.0000568682963631</v>
      </c>
      <c r="V285" s="17">
        <f t="shared" si="221"/>
        <v>1.0664483249679287E-2</v>
      </c>
      <c r="W285" s="31" t="str">
        <f t="shared" si="211"/>
        <v>1-0.185198416717675i</v>
      </c>
      <c r="X285" s="17">
        <f t="shared" si="222"/>
        <v>1.0170046477547356</v>
      </c>
      <c r="Y285" s="17">
        <f t="shared" si="223"/>
        <v>-0.18312361005337716</v>
      </c>
      <c r="Z285" s="31" t="str">
        <f t="shared" si="212"/>
        <v>0.992767730168762+0.886112607666568i</v>
      </c>
      <c r="AA285" s="17">
        <f t="shared" si="224"/>
        <v>1.3307078265081635</v>
      </c>
      <c r="AB285" s="17">
        <f t="shared" si="225"/>
        <v>0.72869376170141509</v>
      </c>
      <c r="AC285" s="66" t="str">
        <f t="shared" si="226"/>
        <v>-0.580949559083578-0.46160175376214i</v>
      </c>
      <c r="AD285" s="64">
        <f t="shared" si="227"/>
        <v>-2.5918069709533578</v>
      </c>
      <c r="AE285" s="61">
        <f t="shared" si="228"/>
        <v>-141.53060156320771</v>
      </c>
      <c r="AF285" s="31" t="str">
        <f t="shared" si="213"/>
        <v>-6627.51882264077</v>
      </c>
      <c r="AG285" s="31" t="str">
        <f t="shared" si="229"/>
        <v>29388.6656738729i</v>
      </c>
      <c r="AH285" s="31">
        <f t="shared" si="230"/>
        <v>29388.6656738729</v>
      </c>
      <c r="AI285" s="31">
        <f t="shared" si="231"/>
        <v>1.5707963267948966</v>
      </c>
      <c r="AJ285" s="31" t="str">
        <f t="shared" si="214"/>
        <v>0.896926797411379+14.3459302053727i</v>
      </c>
      <c r="AK285" s="31">
        <f t="shared" si="232"/>
        <v>14.373941391884809</v>
      </c>
      <c r="AL285" s="31">
        <f t="shared" si="233"/>
        <v>1.5083562586523021</v>
      </c>
      <c r="AM285" s="31" t="str">
        <f t="shared" si="215"/>
        <v>1+17.0433688842491i</v>
      </c>
      <c r="AN285" s="31">
        <f t="shared" si="234"/>
        <v>17.072680601610003</v>
      </c>
      <c r="AO285" s="31">
        <f t="shared" si="235"/>
        <v>1.5121896727212729</v>
      </c>
      <c r="AP285" s="31" t="str">
        <f t="shared" si="216"/>
        <v>1+13.7538955353725i</v>
      </c>
      <c r="AQ285" s="31">
        <f t="shared" si="236"/>
        <v>13.790200955676447</v>
      </c>
      <c r="AR285" s="31">
        <f t="shared" si="237"/>
        <v>1.498217363365421</v>
      </c>
      <c r="AS285" s="58" t="str">
        <f t="shared" si="238"/>
        <v>-3.6850255701584+0.253728936686554i</v>
      </c>
      <c r="AT285" s="49">
        <f t="shared" si="239"/>
        <v>11.349350844164857</v>
      </c>
      <c r="AU285" s="61">
        <f t="shared" si="240"/>
        <v>176.06117016133479</v>
      </c>
      <c r="AV285" s="58" t="str">
        <f t="shared" si="217"/>
        <v>2.25793570234995+1.55361055194865i</v>
      </c>
      <c r="AW285" s="64">
        <f t="shared" si="241"/>
        <v>8.7575438732115032</v>
      </c>
      <c r="AX285" s="61">
        <f t="shared" si="242"/>
        <v>34.530568598127118</v>
      </c>
    </row>
    <row r="286" spans="14:50" x14ac:dyDescent="0.35">
      <c r="N286" s="10">
        <v>68</v>
      </c>
      <c r="O286" s="50">
        <f t="shared" si="243"/>
        <v>4786.3009232263848</v>
      </c>
      <c r="P286" s="48" t="str">
        <f t="shared" si="208"/>
        <v>547.187404092767</v>
      </c>
      <c r="Q286" s="17" t="str">
        <f t="shared" si="209"/>
        <v>1+576.754086090634i</v>
      </c>
      <c r="R286" s="17">
        <f t="shared" si="218"/>
        <v>576.75495301058527</v>
      </c>
      <c r="S286" s="17">
        <f t="shared" si="219"/>
        <v>1.5690624873266554</v>
      </c>
      <c r="T286" s="17" t="str">
        <f t="shared" si="210"/>
        <v>1+0.0109133047065868i</v>
      </c>
      <c r="U286" s="17">
        <f t="shared" si="220"/>
        <v>1.0000595483368071</v>
      </c>
      <c r="V286" s="17">
        <f t="shared" si="221"/>
        <v>1.0912871478549137E-2</v>
      </c>
      <c r="W286" s="31" t="str">
        <f t="shared" si="211"/>
        <v>1-0.189512242008688i</v>
      </c>
      <c r="X286" s="17">
        <f t="shared" si="222"/>
        <v>1.017799041987739</v>
      </c>
      <c r="Y286" s="17">
        <f t="shared" si="223"/>
        <v>-0.18729114100571598</v>
      </c>
      <c r="Z286" s="31" t="str">
        <f t="shared" si="212"/>
        <v>0.992426883792503+0.906752821796825i</v>
      </c>
      <c r="AA286" s="17">
        <f t="shared" si="224"/>
        <v>1.3442885849067541</v>
      </c>
      <c r="AB286" s="17">
        <f t="shared" si="225"/>
        <v>0.74031763903390102</v>
      </c>
      <c r="AC286" s="66" t="str">
        <f t="shared" si="226"/>
        <v>-0.569326028258492-0.438068740628714i</v>
      </c>
      <c r="AD286" s="64">
        <f t="shared" si="227"/>
        <v>-2.8731970696535187</v>
      </c>
      <c r="AE286" s="61">
        <f t="shared" si="228"/>
        <v>-142.42346497357619</v>
      </c>
      <c r="AF286" s="31" t="str">
        <f t="shared" si="213"/>
        <v>-6627.51882264077</v>
      </c>
      <c r="AG286" s="31" t="str">
        <f t="shared" si="229"/>
        <v>30073.2156365561i</v>
      </c>
      <c r="AH286" s="31">
        <f t="shared" si="230"/>
        <v>30073.215636556099</v>
      </c>
      <c r="AI286" s="31">
        <f t="shared" si="231"/>
        <v>1.5707963267948966</v>
      </c>
      <c r="AJ286" s="31" t="str">
        <f t="shared" si="214"/>
        <v>0.892069107030421+14.6800898469067i</v>
      </c>
      <c r="AK286" s="31">
        <f t="shared" si="232"/>
        <v>14.70716917713845</v>
      </c>
      <c r="AL286" s="31">
        <f t="shared" si="233"/>
        <v>1.5101036807601373</v>
      </c>
      <c r="AM286" s="31" t="str">
        <f t="shared" si="215"/>
        <v>1+17.440359944108i</v>
      </c>
      <c r="AN286" s="31">
        <f t="shared" si="234"/>
        <v>17.469005552121356</v>
      </c>
      <c r="AO286" s="31">
        <f t="shared" si="235"/>
        <v>1.5135207735582201</v>
      </c>
      <c r="AP286" s="31" t="str">
        <f t="shared" si="216"/>
        <v>1+14.0742649179082i</v>
      </c>
      <c r="AQ286" s="31">
        <f t="shared" si="236"/>
        <v>14.109746028170086</v>
      </c>
      <c r="AR286" s="31">
        <f t="shared" si="237"/>
        <v>1.4998638621288147</v>
      </c>
      <c r="AS286" s="58" t="str">
        <f t="shared" si="238"/>
        <v>-3.68501119956565+0.249173621398991i</v>
      </c>
      <c r="AT286" s="49">
        <f t="shared" si="239"/>
        <v>11.348587856295886</v>
      </c>
      <c r="AU286" s="61">
        <f t="shared" si="240"/>
        <v>176.13165413970736</v>
      </c>
      <c r="AV286" s="58" t="str">
        <f t="shared" si="217"/>
        <v>2.20712796486092+1.47242718717856i</v>
      </c>
      <c r="AW286" s="64">
        <f t="shared" si="241"/>
        <v>8.4753907866423557</v>
      </c>
      <c r="AX286" s="61">
        <f t="shared" si="242"/>
        <v>33.708189166131262</v>
      </c>
    </row>
    <row r="287" spans="14:50" x14ac:dyDescent="0.35">
      <c r="N287" s="10">
        <v>69</v>
      </c>
      <c r="O287" s="50">
        <f t="shared" si="243"/>
        <v>4897.7881936844633</v>
      </c>
      <c r="P287" s="48" t="str">
        <f t="shared" si="208"/>
        <v>547.187404092767</v>
      </c>
      <c r="Q287" s="17" t="str">
        <f t="shared" si="209"/>
        <v>1+590.188414565838i</v>
      </c>
      <c r="R287" s="17">
        <f t="shared" si="218"/>
        <v>590.1892617523107</v>
      </c>
      <c r="S287" s="17">
        <f t="shared" si="219"/>
        <v>1.5691019542549522</v>
      </c>
      <c r="T287" s="17" t="str">
        <f t="shared" si="210"/>
        <v>1+0.0111675082288749i</v>
      </c>
      <c r="U287" s="17">
        <f t="shared" si="220"/>
        <v>1.0000623546759682</v>
      </c>
      <c r="V287" s="17">
        <f t="shared" si="221"/>
        <v>1.1167044018232193E-2</v>
      </c>
      <c r="W287" s="31" t="str">
        <f t="shared" si="211"/>
        <v>1-0.193926549198905i</v>
      </c>
      <c r="X287" s="17">
        <f t="shared" si="222"/>
        <v>1.0186302108636851</v>
      </c>
      <c r="Y287" s="17">
        <f t="shared" si="223"/>
        <v>-0.19154894116882495</v>
      </c>
      <c r="Z287" s="31" t="str">
        <f t="shared" si="212"/>
        <v>0.992069973821423+0.927873808275492i</v>
      </c>
      <c r="AA287" s="17">
        <f t="shared" si="224"/>
        <v>1.3583639560300853</v>
      </c>
      <c r="AB287" s="17">
        <f t="shared" si="225"/>
        <v>0.75197413377512246</v>
      </c>
      <c r="AC287" s="66" t="str">
        <f t="shared" si="226"/>
        <v>-0.557641310498339-0.415305130620789i</v>
      </c>
      <c r="AD287" s="64">
        <f t="shared" si="227"/>
        <v>-3.1565545795798871</v>
      </c>
      <c r="AE287" s="61">
        <f t="shared" si="228"/>
        <v>-143.32298518015068</v>
      </c>
      <c r="AF287" s="31" t="str">
        <f t="shared" si="213"/>
        <v>-6627.51882264077</v>
      </c>
      <c r="AG287" s="31" t="str">
        <f t="shared" si="229"/>
        <v>30773.7108162359i</v>
      </c>
      <c r="AH287" s="31">
        <f t="shared" si="230"/>
        <v>30773.7108162359</v>
      </c>
      <c r="AI287" s="31">
        <f t="shared" si="231"/>
        <v>1.5707963267948966</v>
      </c>
      <c r="AJ287" s="31" t="str">
        <f t="shared" si="214"/>
        <v>0.886982480754927+15.0220330663915i</v>
      </c>
      <c r="AK287" s="31">
        <f t="shared" si="232"/>
        <v>15.048196415814282</v>
      </c>
      <c r="AL287" s="31">
        <f t="shared" si="233"/>
        <v>1.5118193663130495</v>
      </c>
      <c r="AM287" s="31" t="str">
        <f t="shared" si="215"/>
        <v>1+17.8465981136597i</v>
      </c>
      <c r="AN287" s="31">
        <f t="shared" si="234"/>
        <v>17.8745927011074</v>
      </c>
      <c r="AO287" s="31">
        <f t="shared" si="235"/>
        <v>1.5148217712072718</v>
      </c>
      <c r="AP287" s="31" t="str">
        <f t="shared" si="216"/>
        <v>1+14.4020966619984i</v>
      </c>
      <c r="AQ287" s="31">
        <f t="shared" si="236"/>
        <v>14.436772085945856</v>
      </c>
      <c r="AR287" s="31">
        <f t="shared" si="237"/>
        <v>1.5014732543383558</v>
      </c>
      <c r="AS287" s="58" t="str">
        <f t="shared" si="238"/>
        <v>-3.68499664683536+0.24475038206726i</v>
      </c>
      <c r="AT287" s="49">
        <f t="shared" si="239"/>
        <v>11.347858102752879</v>
      </c>
      <c r="AU287" s="61">
        <f t="shared" si="240"/>
        <v>176.20010565418897</v>
      </c>
      <c r="AV287" s="58" t="str">
        <f t="shared" si="217"/>
        <v>2.15655244871719+1.39391508995017i</v>
      </c>
      <c r="AW287" s="64">
        <f t="shared" si="241"/>
        <v>8.1913035231729978</v>
      </c>
      <c r="AX287" s="61">
        <f t="shared" si="242"/>
        <v>32.877120474038207</v>
      </c>
    </row>
    <row r="288" spans="14:50" x14ac:dyDescent="0.35">
      <c r="N288" s="10">
        <v>70</v>
      </c>
      <c r="O288" s="50">
        <f t="shared" si="243"/>
        <v>5011.8723362727324</v>
      </c>
      <c r="P288" s="48" t="str">
        <f t="shared" si="208"/>
        <v>547.187404092767</v>
      </c>
      <c r="Q288" s="17" t="str">
        <f t="shared" si="209"/>
        <v>1+603.935668750511i</v>
      </c>
      <c r="R288" s="17">
        <f t="shared" si="218"/>
        <v>603.93649665269197</v>
      </c>
      <c r="S288" s="17">
        <f t="shared" si="219"/>
        <v>1.5691405228113811</v>
      </c>
      <c r="T288" s="17" t="str">
        <f t="shared" si="210"/>
        <v>1+0.0114276329118453i</v>
      </c>
      <c r="U288" s="17">
        <f t="shared" si="220"/>
        <v>1.0000652932653786</v>
      </c>
      <c r="V288" s="17">
        <f t="shared" si="221"/>
        <v>1.142713550293389E-2</v>
      </c>
      <c r="W288" s="31" t="str">
        <f t="shared" si="211"/>
        <v>1-0.198443678812428i</v>
      </c>
      <c r="X288" s="17">
        <f t="shared" si="222"/>
        <v>1.019499825238146</v>
      </c>
      <c r="Y288" s="17">
        <f t="shared" si="223"/>
        <v>-0.19589865027338688</v>
      </c>
      <c r="Z288" s="31" t="str">
        <f t="shared" si="212"/>
        <v>0.991696243201621+0.949486765729168i</v>
      </c>
      <c r="AA288" s="17">
        <f t="shared" si="224"/>
        <v>1.3729481261413501</v>
      </c>
      <c r="AB288" s="17">
        <f t="shared" si="225"/>
        <v>0.76365738635306624</v>
      </c>
      <c r="AC288" s="66" t="str">
        <f t="shared" si="226"/>
        <v>-0.545907685777633-0.393302405874038i</v>
      </c>
      <c r="AD288" s="64">
        <f t="shared" si="227"/>
        <v>-3.4418760230962335</v>
      </c>
      <c r="AE288" s="61">
        <f t="shared" si="228"/>
        <v>-144.22891388879788</v>
      </c>
      <c r="AF288" s="31" t="str">
        <f t="shared" si="213"/>
        <v>-6627.51882264077</v>
      </c>
      <c r="AG288" s="31" t="str">
        <f t="shared" si="229"/>
        <v>31490.5226247287i</v>
      </c>
      <c r="AH288" s="31">
        <f t="shared" si="230"/>
        <v>31490.522624728699</v>
      </c>
      <c r="AI288" s="31">
        <f t="shared" si="231"/>
        <v>1.5707963267948966</v>
      </c>
      <c r="AJ288" s="31" t="str">
        <f t="shared" si="214"/>
        <v>0.881656129168592+15.3719411666482i</v>
      </c>
      <c r="AK288" s="31">
        <f t="shared" si="232"/>
        <v>15.397204056613466</v>
      </c>
      <c r="AL288" s="31">
        <f t="shared" si="233"/>
        <v>1.5135041954667263</v>
      </c>
      <c r="AM288" s="31" t="str">
        <f t="shared" si="215"/>
        <v>1+18.2622987857589i</v>
      </c>
      <c r="AN288" s="31">
        <f t="shared" si="234"/>
        <v>18.289657102863657</v>
      </c>
      <c r="AO288" s="31">
        <f t="shared" si="235"/>
        <v>1.5160933378481352</v>
      </c>
      <c r="AP288" s="31" t="str">
        <f t="shared" si="216"/>
        <v>1+14.737564588373i</v>
      </c>
      <c r="AQ288" s="31">
        <f t="shared" si="236"/>
        <v>14.771452535091663</v>
      </c>
      <c r="AR288" s="31">
        <f t="shared" si="237"/>
        <v>1.5030463599479178</v>
      </c>
      <c r="AS288" s="58" t="str">
        <f t="shared" si="238"/>
        <v>-3.6849818814013+0.240456875167915i</v>
      </c>
      <c r="AT288" s="49">
        <f t="shared" si="239"/>
        <v>11.347160053341961</v>
      </c>
      <c r="AU288" s="61">
        <f t="shared" si="240"/>
        <v>176.26655976853004</v>
      </c>
      <c r="AV288" s="58" t="str">
        <f t="shared" si="217"/>
        <v>2.10623219852079+1.31804498330513i</v>
      </c>
      <c r="AW288" s="64">
        <f t="shared" si="241"/>
        <v>7.905284030245733</v>
      </c>
      <c r="AX288" s="61">
        <f t="shared" si="242"/>
        <v>32.037645879732054</v>
      </c>
    </row>
    <row r="289" spans="14:50" x14ac:dyDescent="0.35">
      <c r="N289" s="10">
        <v>71</v>
      </c>
      <c r="O289" s="50">
        <f t="shared" si="243"/>
        <v>5128.6138399136489</v>
      </c>
      <c r="P289" s="48" t="str">
        <f t="shared" si="208"/>
        <v>547.187404092767</v>
      </c>
      <c r="Q289" s="17" t="str">
        <f t="shared" si="209"/>
        <v>1+618.003137620787i</v>
      </c>
      <c r="R289" s="17">
        <f t="shared" si="218"/>
        <v>618.00394667763851</v>
      </c>
      <c r="S289" s="17">
        <f t="shared" si="219"/>
        <v>1.569178213445042</v>
      </c>
      <c r="T289" s="17" t="str">
        <f t="shared" si="210"/>
        <v>1+0.0116938166770482i</v>
      </c>
      <c r="U289" s="17">
        <f t="shared" si="220"/>
        <v>1.0000683703369868</v>
      </c>
      <c r="V289" s="17">
        <f t="shared" si="221"/>
        <v>1.1693283695764969E-2</v>
      </c>
      <c r="W289" s="31" t="str">
        <f t="shared" si="211"/>
        <v>1-0.20306602589117i</v>
      </c>
      <c r="X289" s="17">
        <f t="shared" si="222"/>
        <v>1.0204096289585047</v>
      </c>
      <c r="Y289" s="17">
        <f t="shared" si="223"/>
        <v>-0.20034191590594147</v>
      </c>
      <c r="Z289" s="31" t="str">
        <f t="shared" si="212"/>
        <v>0.991304899200346+0.971603153633972i</v>
      </c>
      <c r="AA289" s="17">
        <f t="shared" si="224"/>
        <v>1.3880555072943184</v>
      </c>
      <c r="AB289" s="17">
        <f t="shared" si="225"/>
        <v>0.7753614813522588</v>
      </c>
      <c r="AC289" s="66" t="str">
        <f t="shared" si="226"/>
        <v>-0.53413761800762-0.372051616833114i</v>
      </c>
      <c r="AD289" s="64">
        <f t="shared" si="227"/>
        <v>-3.7291550108761395</v>
      </c>
      <c r="AE289" s="61">
        <f t="shared" si="228"/>
        <v>-145.14099984933424</v>
      </c>
      <c r="AF289" s="31" t="str">
        <f t="shared" si="213"/>
        <v>-6627.51882264077</v>
      </c>
      <c r="AG289" s="31" t="str">
        <f t="shared" si="229"/>
        <v>32224.0311251433i</v>
      </c>
      <c r="AH289" s="31">
        <f t="shared" si="230"/>
        <v>32224.031125143301</v>
      </c>
      <c r="AI289" s="31">
        <f t="shared" si="231"/>
        <v>1.5707963267948966</v>
      </c>
      <c r="AJ289" s="31" t="str">
        <f t="shared" si="214"/>
        <v>0.876078754365586+15.7299996735831i</v>
      </c>
      <c r="AK289" s="31">
        <f t="shared" si="232"/>
        <v>15.754377287432696</v>
      </c>
      <c r="AL289" s="31">
        <f t="shared" si="233"/>
        <v>1.5151590339645731</v>
      </c>
      <c r="AM289" s="31" t="str">
        <f t="shared" si="215"/>
        <v>1+18.6876823704044i</v>
      </c>
      <c r="AN289" s="31">
        <f t="shared" si="234"/>
        <v>18.714418836210847</v>
      </c>
      <c r="AO289" s="31">
        <f t="shared" si="235"/>
        <v>1.517336131225175</v>
      </c>
      <c r="AP289" s="31" t="str">
        <f t="shared" si="216"/>
        <v>1+15.080846566567i</v>
      </c>
      <c r="AQ289" s="31">
        <f t="shared" si="236"/>
        <v>15.113964839324446</v>
      </c>
      <c r="AR289" s="31">
        <f t="shared" si="237"/>
        <v>1.504583981878183</v>
      </c>
      <c r="AS289" s="58" t="str">
        <f t="shared" si="238"/>
        <v>-3.68496687222105+0.236290825788009i</v>
      </c>
      <c r="AT289" s="49">
        <f t="shared" si="239"/>
        <v>11.346492243568768</v>
      </c>
      <c r="AU289" s="61">
        <f t="shared" si="240"/>
        <v>176.33105056922983</v>
      </c>
      <c r="AV289" s="58" t="str">
        <f t="shared" si="217"/>
        <v>2.0561918113424+1.24478606394284i</v>
      </c>
      <c r="AW289" s="64">
        <f t="shared" si="241"/>
        <v>7.6173372326926145</v>
      </c>
      <c r="AX289" s="61">
        <f t="shared" si="242"/>
        <v>31.190050719895513</v>
      </c>
    </row>
    <row r="290" spans="14:50" x14ac:dyDescent="0.35">
      <c r="N290" s="10">
        <v>72</v>
      </c>
      <c r="O290" s="50">
        <f t="shared" si="243"/>
        <v>5248.0746024977261</v>
      </c>
      <c r="P290" s="48" t="str">
        <f t="shared" si="208"/>
        <v>547.187404092767</v>
      </c>
      <c r="Q290" s="17" t="str">
        <f t="shared" si="209"/>
        <v>1+632.398279934871i</v>
      </c>
      <c r="R290" s="17">
        <f t="shared" si="218"/>
        <v>632.39907057536334</v>
      </c>
      <c r="S290" s="17">
        <f t="shared" si="219"/>
        <v>1.5692150461395793</v>
      </c>
      <c r="T290" s="17" t="str">
        <f t="shared" si="210"/>
        <v>1+0.0119662006586393i</v>
      </c>
      <c r="U290" s="17">
        <f t="shared" si="220"/>
        <v>1.0000715924163643</v>
      </c>
      <c r="V290" s="17">
        <f t="shared" si="221"/>
        <v>1.1965629561113038E-2</v>
      </c>
      <c r="W290" s="31" t="str">
        <f t="shared" si="211"/>
        <v>1-0.207796041264737i</v>
      </c>
      <c r="X290" s="17">
        <f t="shared" si="222"/>
        <v>1.0213614417850794</v>
      </c>
      <c r="Y290" s="17">
        <f t="shared" si="223"/>
        <v>-0.20488039183763718</v>
      </c>
      <c r="Z290" s="31" t="str">
        <f t="shared" si="212"/>
        <v>0.990895111724502+0.994234698391527i</v>
      </c>
      <c r="AA290" s="17">
        <f t="shared" si="224"/>
        <v>1.4037007365977991</v>
      </c>
      <c r="AB290" s="17">
        <f t="shared" si="225"/>
        <v>0.78708046321457614</v>
      </c>
      <c r="AC290" s="66" t="str">
        <f t="shared" si="226"/>
        <v>-0.522343704438689-0.351543361848891i</v>
      </c>
      <c r="AD290" s="64">
        <f t="shared" si="227"/>
        <v>-4.0183821927230863</v>
      </c>
      <c r="AE290" s="61">
        <f t="shared" si="228"/>
        <v>-146.05898965583614</v>
      </c>
      <c r="AF290" s="31" t="str">
        <f t="shared" si="213"/>
        <v>-6627.51882264077</v>
      </c>
      <c r="AG290" s="31" t="str">
        <f t="shared" si="229"/>
        <v>32974.6252333961i</v>
      </c>
      <c r="AH290" s="31">
        <f t="shared" si="230"/>
        <v>32974.625233396102</v>
      </c>
      <c r="AI290" s="31">
        <f t="shared" si="231"/>
        <v>1.5707963267948966</v>
      </c>
      <c r="AJ290" s="31" t="str">
        <f t="shared" si="214"/>
        <v>0.870238525986176+16.0963984345561i</v>
      </c>
      <c r="AK290" s="31">
        <f t="shared" si="232"/>
        <v>16.119905634217922</v>
      </c>
      <c r="AL290" s="31">
        <f t="shared" si="233"/>
        <v>1.5167847334681268</v>
      </c>
      <c r="AM290" s="31" t="str">
        <f t="shared" si="215"/>
        <v>1+19.1229744116034i</v>
      </c>
      <c r="AN290" s="31">
        <f t="shared" si="234"/>
        <v>19.149103121212715</v>
      </c>
      <c r="AO290" s="31">
        <f t="shared" si="235"/>
        <v>1.5185507949188801</v>
      </c>
      <c r="AP290" s="31" t="str">
        <f t="shared" si="216"/>
        <v>1+15.4321246092294i</v>
      </c>
      <c r="AQ290" s="31">
        <f t="shared" si="236"/>
        <v>15.46449061413869</v>
      </c>
      <c r="AR290" s="31">
        <f t="shared" si="237"/>
        <v>1.5060869062973241</v>
      </c>
      <c r="AS290" s="58" t="str">
        <f t="shared" si="238"/>
        <v>-3.68495158771222+0.232250026425985i</v>
      </c>
      <c r="AT290" s="49">
        <f t="shared" si="239"/>
        <v>11.345853271666876</v>
      </c>
      <c r="AU290" s="61">
        <f t="shared" si="240"/>
        <v>176.39361117824066</v>
      </c>
      <c r="AV290" s="58" t="str">
        <f t="shared" si="217"/>
        <v>2.00645721808211+1.17410593023543i</v>
      </c>
      <c r="AW290" s="64">
        <f t="shared" si="241"/>
        <v>7.3274710789437734</v>
      </c>
      <c r="AX290" s="61">
        <f t="shared" si="242"/>
        <v>30.334621522404593</v>
      </c>
    </row>
    <row r="291" spans="14:50" x14ac:dyDescent="0.35">
      <c r="N291" s="10">
        <v>73</v>
      </c>
      <c r="O291" s="50">
        <f t="shared" si="243"/>
        <v>5370.3179637025269</v>
      </c>
      <c r="P291" s="48" t="str">
        <f t="shared" si="208"/>
        <v>547.187404092767</v>
      </c>
      <c r="Q291" s="17" t="str">
        <f t="shared" si="209"/>
        <v>1+647.128728187755i</v>
      </c>
      <c r="R291" s="17">
        <f t="shared" si="218"/>
        <v>647.12950083109433</v>
      </c>
      <c r="S291" s="17">
        <f t="shared" si="219"/>
        <v>1.5692510404237749</v>
      </c>
      <c r="T291" s="17" t="str">
        <f t="shared" si="210"/>
        <v>1+0.0122449292782109i</v>
      </c>
      <c r="U291" s="17">
        <f t="shared" si="220"/>
        <v>1.0000749663365385</v>
      </c>
      <c r="V291" s="17">
        <f t="shared" si="221"/>
        <v>1.2244317338663784E-2</v>
      </c>
      <c r="W291" s="31" t="str">
        <f t="shared" si="211"/>
        <v>1-0.212636232849887i</v>
      </c>
      <c r="X291" s="17">
        <f t="shared" si="222"/>
        <v>1.0223571624048962</v>
      </c>
      <c r="Y291" s="17">
        <f t="shared" si="223"/>
        <v>-0.20951573621628108</v>
      </c>
      <c r="Z291" s="31" t="str">
        <f t="shared" si="212"/>
        <v>0.990466011559912+1.01739339954642i</v>
      </c>
      <c r="AA291" s="17">
        <f t="shared" si="224"/>
        <v>1.4198986757850087</v>
      </c>
      <c r="AB291" s="17">
        <f t="shared" si="225"/>
        <v>0.79880835221466506</v>
      </c>
      <c r="AC291" s="66" t="str">
        <f t="shared" si="226"/>
        <v>-0.510538623798142-0.331767771386437i</v>
      </c>
      <c r="AD291" s="64">
        <f t="shared" si="227"/>
        <v>-4.3095452182980125</v>
      </c>
      <c r="AE291" s="61">
        <f t="shared" si="228"/>
        <v>-146.98262855474053</v>
      </c>
      <c r="AF291" s="31" t="str">
        <f t="shared" si="213"/>
        <v>-6627.51882264077</v>
      </c>
      <c r="AG291" s="31" t="str">
        <f t="shared" si="229"/>
        <v>33742.7029244183i</v>
      </c>
      <c r="AH291" s="31">
        <f t="shared" si="230"/>
        <v>33742.7029244183</v>
      </c>
      <c r="AI291" s="31">
        <f t="shared" si="231"/>
        <v>1.5707963267948966</v>
      </c>
      <c r="AJ291" s="31" t="str">
        <f t="shared" si="214"/>
        <v>0.86412305612296+16.4713317190402i</v>
      </c>
      <c r="AK291" s="31">
        <f t="shared" si="232"/>
        <v>16.493983062158851</v>
      </c>
      <c r="AL291" s="31">
        <f t="shared" si="233"/>
        <v>1.518382131888363</v>
      </c>
      <c r="AM291" s="31" t="str">
        <f t="shared" si="215"/>
        <v>1+19.5684057069579i</v>
      </c>
      <c r="AN291" s="31">
        <f t="shared" si="234"/>
        <v>19.593940438617814</v>
      </c>
      <c r="AO291" s="31">
        <f t="shared" si="235"/>
        <v>1.5197379586148927</v>
      </c>
      <c r="AP291" s="31" t="str">
        <f t="shared" si="216"/>
        <v>1+15.7915849686277i</v>
      </c>
      <c r="AQ291" s="31">
        <f t="shared" si="236"/>
        <v>15.823215723151481</v>
      </c>
      <c r="AR291" s="31">
        <f t="shared" si="237"/>
        <v>1.5075559029022374</v>
      </c>
      <c r="AS291" s="58" t="str">
        <f t="shared" si="238"/>
        <v>-3.68493599568766+0.228332335827547i</v>
      </c>
      <c r="AT291" s="49">
        <f t="shared" si="239"/>
        <v>11.345241795748231</v>
      </c>
      <c r="AU291" s="61">
        <f t="shared" si="240"/>
        <v>176.45427376551351</v>
      </c>
      <c r="AV291" s="58" t="str">
        <f t="shared" si="217"/>
        <v>1.95705546221558+1.10597052648895i</v>
      </c>
      <c r="AW291" s="64">
        <f t="shared" si="241"/>
        <v>7.0356965774502314</v>
      </c>
      <c r="AX291" s="61">
        <f t="shared" si="242"/>
        <v>29.471645210773072</v>
      </c>
    </row>
    <row r="292" spans="14:50" x14ac:dyDescent="0.35">
      <c r="N292" s="10">
        <v>74</v>
      </c>
      <c r="O292" s="50">
        <f t="shared" si="243"/>
        <v>5495.4087385762541</v>
      </c>
      <c r="P292" s="48" t="str">
        <f t="shared" si="208"/>
        <v>547.187404092767</v>
      </c>
      <c r="Q292" s="17" t="str">
        <f t="shared" si="209"/>
        <v>1+662.202292658087i</v>
      </c>
      <c r="R292" s="17">
        <f t="shared" si="218"/>
        <v>662.20304771393694</v>
      </c>
      <c r="S292" s="17">
        <f t="shared" si="219"/>
        <v>1.5692862153819016</v>
      </c>
      <c r="T292" s="17" t="str">
        <f t="shared" si="210"/>
        <v>1+0.0125301503213666i</v>
      </c>
      <c r="U292" s="17">
        <f t="shared" si="220"/>
        <v>1.0000784992524716</v>
      </c>
      <c r="V292" s="17">
        <f t="shared" si="221"/>
        <v>1.2529494619107941E-2</v>
      </c>
      <c r="W292" s="31" t="str">
        <f t="shared" si="211"/>
        <v>1-0.217589166980269i</v>
      </c>
      <c r="X292" s="17">
        <f t="shared" si="222"/>
        <v>1.0233987715388206</v>
      </c>
      <c r="Y292" s="17">
        <f t="shared" si="223"/>
        <v>-0.21424960961518488</v>
      </c>
      <c r="Z292" s="31" t="str">
        <f t="shared" si="212"/>
        <v>0.990016688527597+1.04109153614854i</v>
      </c>
      <c r="AA292" s="17">
        <f t="shared" si="224"/>
        <v>1.4366644111285265</v>
      </c>
      <c r="AB292" s="17">
        <f t="shared" si="225"/>
        <v>0.81053916060865361</v>
      </c>
      <c r="AC292" s="66" t="str">
        <f t="shared" si="226"/>
        <v>-0.498735083625907-0.312714496959745i</v>
      </c>
      <c r="AD292" s="64">
        <f t="shared" si="227"/>
        <v>-4.6026287080006378</v>
      </c>
      <c r="AE292" s="61">
        <f t="shared" si="228"/>
        <v>-147.91166125456186</v>
      </c>
      <c r="AF292" s="31" t="str">
        <f t="shared" si="213"/>
        <v>-6627.51882264077</v>
      </c>
      <c r="AG292" s="31" t="str">
        <f t="shared" si="229"/>
        <v>34528.6714431686i</v>
      </c>
      <c r="AH292" s="31">
        <f t="shared" si="230"/>
        <v>34528.671443168598</v>
      </c>
      <c r="AI292" s="31">
        <f t="shared" si="231"/>
        <v>1.5707963267948966</v>
      </c>
      <c r="AJ292" s="31" t="str">
        <f t="shared" si="214"/>
        <v>0.857719373044441+16.8549983216256i</v>
      </c>
      <c r="AK292" s="31">
        <f t="shared" si="232"/>
        <v>16.876808079281389</v>
      </c>
      <c r="AL292" s="31">
        <f t="shared" si="233"/>
        <v>1.5199520537175344</v>
      </c>
      <c r="AM292" s="31" t="str">
        <f t="shared" si="215"/>
        <v>1+20.0242124300368i</v>
      </c>
      <c r="AN292" s="31">
        <f t="shared" si="234"/>
        <v>20.04916665208907</v>
      </c>
      <c r="AO292" s="31">
        <f t="shared" si="235"/>
        <v>1.5208982383704177</v>
      </c>
      <c r="AP292" s="31" t="str">
        <f t="shared" si="216"/>
        <v>1+16.1594182354029i</v>
      </c>
      <c r="AQ292" s="31">
        <f t="shared" si="236"/>
        <v>16.19033037669929</v>
      </c>
      <c r="AR292" s="31">
        <f t="shared" si="237"/>
        <v>1.5089917251998917</v>
      </c>
      <c r="AS292" s="58" t="str">
        <f t="shared" si="238"/>
        <v>-3.68492006328933+0.224535677855915i</v>
      </c>
      <c r="AT292" s="49">
        <f t="shared" si="239"/>
        <v>11.344656531070152</v>
      </c>
      <c r="AU292" s="61">
        <f t="shared" si="240"/>
        <v>176.51306956136898</v>
      </c>
      <c r="AV292" s="58" t="str">
        <f t="shared" si="217"/>
        <v>1.90801447746961+1.04034410385593i</v>
      </c>
      <c r="AW292" s="64">
        <f t="shared" si="241"/>
        <v>6.7420278230695079</v>
      </c>
      <c r="AX292" s="61">
        <f t="shared" si="242"/>
        <v>28.601408306807308</v>
      </c>
    </row>
    <row r="293" spans="14:50" x14ac:dyDescent="0.35">
      <c r="N293" s="10">
        <v>75</v>
      </c>
      <c r="O293" s="50">
        <f t="shared" si="243"/>
        <v>5623.4132519034993</v>
      </c>
      <c r="P293" s="48" t="str">
        <f t="shared" si="208"/>
        <v>547.187404092767</v>
      </c>
      <c r="Q293" s="17" t="str">
        <f t="shared" si="209"/>
        <v>1+677.626965549269i</v>
      </c>
      <c r="R293" s="17">
        <f t="shared" si="218"/>
        <v>677.62770341796852</v>
      </c>
      <c r="S293" s="17">
        <f t="shared" si="219"/>
        <v>1.5693205896638396</v>
      </c>
      <c r="T293" s="17" t="str">
        <f t="shared" si="210"/>
        <v>1+0.0128220150160789i</v>
      </c>
      <c r="U293" s="17">
        <f t="shared" si="220"/>
        <v>1.0000821986562267</v>
      </c>
      <c r="V293" s="17">
        <f t="shared" si="221"/>
        <v>1.2821312421569118E-2</v>
      </c>
      <c r="W293" s="31" t="str">
        <f t="shared" si="211"/>
        <v>1-0.222657469767116i</v>
      </c>
      <c r="X293" s="17">
        <f t="shared" si="222"/>
        <v>1.0244883351425209</v>
      </c>
      <c r="Y293" s="17">
        <f t="shared" si="223"/>
        <v>-0.219083672932228</v>
      </c>
      <c r="Z293" s="31" t="str">
        <f t="shared" si="212"/>
        <v>0.989546189553162+1.06534167326361i</v>
      </c>
      <c r="AA293" s="17">
        <f t="shared" si="224"/>
        <v>1.4540132537399</v>
      </c>
      <c r="AB293" s="17">
        <f t="shared" si="225"/>
        <v>0.82226690885268583</v>
      </c>
      <c r="AC293" s="66" t="str">
        <f t="shared" si="226"/>
        <v>-0.486945767282766-0.294372704854915i</v>
      </c>
      <c r="AD293" s="64">
        <f t="shared" si="227"/>
        <v>-4.897614234164986</v>
      </c>
      <c r="AE293" s="61">
        <f t="shared" si="228"/>
        <v>-148.84583273091354</v>
      </c>
      <c r="AF293" s="31" t="str">
        <f t="shared" si="213"/>
        <v>-6627.51882264077</v>
      </c>
      <c r="AG293" s="31" t="str">
        <f t="shared" si="229"/>
        <v>35332.947520559i</v>
      </c>
      <c r="AH293" s="31">
        <f t="shared" si="230"/>
        <v>35332.947520558999</v>
      </c>
      <c r="AI293" s="31">
        <f t="shared" si="231"/>
        <v>1.5707963267948966</v>
      </c>
      <c r="AJ293" s="31" t="str">
        <f t="shared" si="214"/>
        <v>0.851013893680254+17.2476016674233i</v>
      </c>
      <c r="AK293" s="31">
        <f t="shared" si="232"/>
        <v>17.268583842496753</v>
      </c>
      <c r="AL293" s="31">
        <f t="shared" si="233"/>
        <v>1.5214953103612088</v>
      </c>
      <c r="AM293" s="31" t="str">
        <f t="shared" si="215"/>
        <v>1+20.4906362555978i</v>
      </c>
      <c r="AN293" s="31">
        <f t="shared" si="234"/>
        <v>20.515023133285009</v>
      </c>
      <c r="AO293" s="31">
        <f t="shared" si="235"/>
        <v>1.5220322368778394</v>
      </c>
      <c r="AP293" s="31" t="str">
        <f t="shared" si="216"/>
        <v>1+16.5358194396216i</v>
      </c>
      <c r="AQ293" s="31">
        <f t="shared" si="236"/>
        <v>16.566029232733101</v>
      </c>
      <c r="AR293" s="31">
        <f t="shared" si="237"/>
        <v>1.5103951107883478</v>
      </c>
      <c r="AS293" s="58" t="str">
        <f t="shared" si="238"/>
        <v>-3.68490375692006+0.220858040395914i</v>
      </c>
      <c r="AT293" s="49">
        <f t="shared" si="239"/>
        <v>11.344096247412445</v>
      </c>
      <c r="AU293" s="61">
        <f t="shared" si="240"/>
        <v>176.57002886867832</v>
      </c>
      <c r="AV293" s="58" t="str">
        <f t="shared" si="217"/>
        <v>1.85936286601689+0.97718919811344i</v>
      </c>
      <c r="AW293" s="64">
        <f t="shared" si="241"/>
        <v>6.4464820132474721</v>
      </c>
      <c r="AX293" s="61">
        <f t="shared" si="242"/>
        <v>27.724196137764764</v>
      </c>
    </row>
    <row r="294" spans="14:50" x14ac:dyDescent="0.35">
      <c r="N294" s="10">
        <v>76</v>
      </c>
      <c r="O294" s="50">
        <f t="shared" si="243"/>
        <v>5754.399373371567</v>
      </c>
      <c r="P294" s="48" t="str">
        <f t="shared" si="208"/>
        <v>547.187404092767</v>
      </c>
      <c r="Q294" s="17" t="str">
        <f t="shared" si="209"/>
        <v>1+693.410925227038i</v>
      </c>
      <c r="R294" s="17">
        <f t="shared" si="218"/>
        <v>693.4116462998129</v>
      </c>
      <c r="S294" s="17">
        <f t="shared" si="219"/>
        <v>1.569354181494963</v>
      </c>
      <c r="T294" s="17" t="str">
        <f t="shared" si="210"/>
        <v>1+0.0131206781128721i</v>
      </c>
      <c r="U294" s="17">
        <f t="shared" si="220"/>
        <v>1.0000860723928424</v>
      </c>
      <c r="V294" s="17">
        <f t="shared" si="221"/>
        <v>1.3119925272790496E-2</v>
      </c>
      <c r="W294" s="31" t="str">
        <f t="shared" si="211"/>
        <v>1-0.227843828491653i</v>
      </c>
      <c r="X294" s="17">
        <f t="shared" si="222"/>
        <v>1.025628007701493</v>
      </c>
      <c r="Y294" s="17">
        <f t="shared" si="223"/>
        <v>-0.22401958513262671</v>
      </c>
      <c r="Z294" s="31" t="str">
        <f t="shared" si="212"/>
        <v>0.989053516645204+1.0901566686353i</v>
      </c>
      <c r="AA294" s="17">
        <f t="shared" si="224"/>
        <v>1.4719607402910786</v>
      </c>
      <c r="AB294" s="17">
        <f t="shared" si="225"/>
        <v>0.83398564178699042</v>
      </c>
      <c r="AC294" s="66" t="str">
        <f t="shared" si="226"/>
        <v>-0.475183281110522-0.276731074647622i</v>
      </c>
      <c r="AD294" s="64">
        <f t="shared" si="227"/>
        <v>-5.1944803126433303</v>
      </c>
      <c r="AE294" s="61">
        <f t="shared" si="228"/>
        <v>-149.78488902048628</v>
      </c>
      <c r="AF294" s="31" t="str">
        <f t="shared" si="213"/>
        <v>-6627.51882264077</v>
      </c>
      <c r="AG294" s="31" t="str">
        <f t="shared" si="229"/>
        <v>36155.9575944116i</v>
      </c>
      <c r="AH294" s="31">
        <f t="shared" si="230"/>
        <v>36155.9575944116</v>
      </c>
      <c r="AI294" s="31">
        <f t="shared" si="231"/>
        <v>1.5707963267948966</v>
      </c>
      <c r="AJ294" s="31" t="str">
        <f t="shared" si="214"/>
        <v>0.843992394809649+17.6493499199241i</v>
      </c>
      <c r="AK294" s="31">
        <f t="shared" si="232"/>
        <v>17.669518266167337</v>
      </c>
      <c r="AL294" s="31">
        <f t="shared" si="233"/>
        <v>1.5230127004702141</v>
      </c>
      <c r="AM294" s="31" t="str">
        <f t="shared" si="215"/>
        <v>1+20.9679244877271i</v>
      </c>
      <c r="AN294" s="31">
        <f t="shared" si="234"/>
        <v>20.991756889860973</v>
      </c>
      <c r="AO294" s="31">
        <f t="shared" si="235"/>
        <v>1.5231405437254029</v>
      </c>
      <c r="AP294" s="31" t="str">
        <f t="shared" si="216"/>
        <v>1+16.9209881541846i</v>
      </c>
      <c r="AQ294" s="31">
        <f t="shared" si="236"/>
        <v>16.950511500071482</v>
      </c>
      <c r="AR294" s="31">
        <f t="shared" si="237"/>
        <v>1.5117667816370921</v>
      </c>
      <c r="AS294" s="58" t="str">
        <f t="shared" si="238"/>
        <v>-3.68488704217412+0.217297474291272i</v>
      </c>
      <c r="AT294" s="49">
        <f t="shared" si="239"/>
        <v>11.343559766562441</v>
      </c>
      <c r="AU294" s="61">
        <f t="shared" si="240"/>
        <v>176.62518107484243</v>
      </c>
      <c r="AV294" s="58" t="str">
        <f t="shared" si="217"/>
        <v>1.81112967880078+0.916466624325186i</v>
      </c>
      <c r="AW294" s="64">
        <f t="shared" si="241"/>
        <v>6.1490794539191054</v>
      </c>
      <c r="AX294" s="61">
        <f t="shared" si="242"/>
        <v>26.840292054356205</v>
      </c>
    </row>
    <row r="295" spans="14:50" x14ac:dyDescent="0.35">
      <c r="N295" s="10">
        <v>77</v>
      </c>
      <c r="O295" s="50">
        <f t="shared" si="243"/>
        <v>5888.4365535558973</v>
      </c>
      <c r="P295" s="48" t="str">
        <f t="shared" si="208"/>
        <v>547.187404092767</v>
      </c>
      <c r="Q295" s="17" t="str">
        <f t="shared" si="209"/>
        <v>1+709.562540555744i</v>
      </c>
      <c r="R295" s="17">
        <f t="shared" si="218"/>
        <v>709.56324521491513</v>
      </c>
      <c r="S295" s="17">
        <f t="shared" si="219"/>
        <v>1.5693870086858015</v>
      </c>
      <c r="T295" s="17" t="str">
        <f t="shared" si="210"/>
        <v>1+0.0134262979668736i</v>
      </c>
      <c r="U295" s="17">
        <f t="shared" si="220"/>
        <v>1.0000901286769583</v>
      </c>
      <c r="V295" s="17">
        <f t="shared" si="221"/>
        <v>1.3425491288118728E-2</v>
      </c>
      <c r="W295" s="31" t="str">
        <f t="shared" si="211"/>
        <v>1-0.233150993029927i</v>
      </c>
      <c r="X295" s="17">
        <f t="shared" si="222"/>
        <v>1.0268200356200892</v>
      </c>
      <c r="Y295" s="17">
        <f t="shared" si="223"/>
        <v>-0.22905900082887484</v>
      </c>
      <c r="Z295" s="31" t="str">
        <f t="shared" si="212"/>
        <v>0.988537624778429+1.11554967950264i</v>
      </c>
      <c r="AA295" s="17">
        <f t="shared" si="224"/>
        <v>1.4905226341927924</v>
      </c>
      <c r="AB295" s="17">
        <f t="shared" si="225"/>
        <v>0.84568944468175888</v>
      </c>
      <c r="AC295" s="66" t="str">
        <f t="shared" si="226"/>
        <v>-0.463460102220985-0.259777802464793i</v>
      </c>
      <c r="AD295" s="64">
        <f t="shared" si="227"/>
        <v>-5.4932024047659036</v>
      </c>
      <c r="AE295" s="61">
        <f t="shared" si="228"/>
        <v>-150.72857799766385</v>
      </c>
      <c r="AF295" s="31" t="str">
        <f t="shared" si="213"/>
        <v>-6627.51882264077</v>
      </c>
      <c r="AG295" s="31" t="str">
        <f t="shared" si="229"/>
        <v>36998.1380355616i</v>
      </c>
      <c r="AH295" s="31">
        <f t="shared" si="230"/>
        <v>36998.138035561598</v>
      </c>
      <c r="AI295" s="31">
        <f t="shared" si="231"/>
        <v>1.5707963267948966</v>
      </c>
      <c r="AJ295" s="31" t="str">
        <f t="shared" si="214"/>
        <v>0.836639982892129+18.0604560913692i</v>
      </c>
      <c r="AK295" s="31">
        <f t="shared" si="232"/>
        <v>18.079824133249986</v>
      </c>
      <c r="AL295" s="31">
        <f t="shared" si="233"/>
        <v>1.5245050102722137</v>
      </c>
      <c r="AM295" s="31" t="str">
        <f t="shared" si="215"/>
        <v>1+21.4563301909633i</v>
      </c>
      <c r="AN295" s="31">
        <f t="shared" si="234"/>
        <v>21.479620696456522</v>
      </c>
      <c r="AO295" s="31">
        <f t="shared" si="235"/>
        <v>1.5242237356548225</v>
      </c>
      <c r="AP295" s="31" t="str">
        <f t="shared" si="216"/>
        <v>1+17.3151286006428i</v>
      </c>
      <c r="AQ295" s="31">
        <f t="shared" si="236"/>
        <v>17.34398104406247</v>
      </c>
      <c r="AR295" s="31">
        <f t="shared" si="237"/>
        <v>1.5131074443663182</v>
      </c>
      <c r="AS295" s="58" t="str">
        <f t="shared" si="238"/>
        <v>-3.68486988376583+0.213852092314661i</v>
      </c>
      <c r="AT295" s="49">
        <f t="shared" si="239"/>
        <v>11.34304595990185</v>
      </c>
      <c r="AU295" s="61">
        <f t="shared" si="240"/>
        <v>176.67855466355536</v>
      </c>
      <c r="AV295" s="58" t="str">
        <f t="shared" si="217"/>
        <v>1.76334419959514+0.85813548820906i</v>
      </c>
      <c r="AW295" s="64">
        <f t="shared" si="241"/>
        <v>5.8498435551359416</v>
      </c>
      <c r="AX295" s="61">
        <f t="shared" si="242"/>
        <v>25.949976665891512</v>
      </c>
    </row>
    <row r="296" spans="14:50" x14ac:dyDescent="0.35">
      <c r="N296" s="10">
        <v>78</v>
      </c>
      <c r="O296" s="50">
        <f t="shared" si="243"/>
        <v>6025.595860743585</v>
      </c>
      <c r="P296" s="48" t="str">
        <f t="shared" si="208"/>
        <v>547.187404092767</v>
      </c>
      <c r="Q296" s="17" t="str">
        <f t="shared" si="209"/>
        <v>1+726.090375335621i</v>
      </c>
      <c r="R296" s="17">
        <f t="shared" si="218"/>
        <v>726.0910639548066</v>
      </c>
      <c r="S296" s="17">
        <f t="shared" si="219"/>
        <v>1.5694190886414834</v>
      </c>
      <c r="T296" s="17" t="str">
        <f t="shared" si="210"/>
        <v>1+0.013739036621775i</v>
      </c>
      <c r="U296" s="17">
        <f t="shared" si="220"/>
        <v>1.0000943761102221</v>
      </c>
      <c r="V296" s="17">
        <f t="shared" si="221"/>
        <v>1.3738172254321383E-2</v>
      </c>
      <c r="W296" s="31" t="str">
        <f t="shared" si="211"/>
        <v>1-0.238581777310823i</v>
      </c>
      <c r="X296" s="17">
        <f t="shared" si="222"/>
        <v>1.0280667607041827</v>
      </c>
      <c r="Y296" s="17">
        <f t="shared" si="223"/>
        <v>-0.23420356769145081</v>
      </c>
      <c r="Z296" s="31" t="str">
        <f t="shared" si="212"/>
        <v>0.987997419677021+1.14153416957609i</v>
      </c>
      <c r="AA296" s="17">
        <f t="shared" si="224"/>
        <v>1.5097149272621722</v>
      </c>
      <c r="AB296" s="17">
        <f t="shared" si="225"/>
        <v>0.857372459042544</v>
      </c>
      <c r="AC296" s="66" t="str">
        <f t="shared" si="226"/>
        <v>-0.451788527380731-0.243500608885513i</v>
      </c>
      <c r="AD296" s="64">
        <f t="shared" si="227"/>
        <v>-5.7937529295784804</v>
      </c>
      <c r="AE296" s="61">
        <f t="shared" si="228"/>
        <v>-151.67665012754605</v>
      </c>
      <c r="AF296" s="31" t="str">
        <f t="shared" si="213"/>
        <v>-6627.51882264077</v>
      </c>
      <c r="AG296" s="31" t="str">
        <f t="shared" si="229"/>
        <v>37859.9353792262i</v>
      </c>
      <c r="AH296" s="31">
        <f t="shared" si="230"/>
        <v>37859.935379226197</v>
      </c>
      <c r="AI296" s="31">
        <f t="shared" si="231"/>
        <v>1.5707963267948966</v>
      </c>
      <c r="AJ296" s="31" t="str">
        <f t="shared" si="214"/>
        <v>0.828941062476265+18.4811381556924i</v>
      </c>
      <c r="AK296" s="31">
        <f t="shared" si="232"/>
        <v>18.499719209081221</v>
      </c>
      <c r="AL296" s="31">
        <f t="shared" si="233"/>
        <v>1.5259730139026788</v>
      </c>
      <c r="AM296" s="31" t="str">
        <f t="shared" si="215"/>
        <v>1+21.9561123244747i</v>
      </c>
      <c r="AN296" s="31">
        <f t="shared" si="234"/>
        <v>21.978873228738316</v>
      </c>
      <c r="AO296" s="31">
        <f t="shared" si="235"/>
        <v>1.5252823768157004</v>
      </c>
      <c r="AP296" s="31" t="str">
        <f t="shared" si="216"/>
        <v>1+17.7184497574778i</v>
      </c>
      <c r="AQ296" s="31">
        <f t="shared" si="236"/>
        <v>17.746646494711758</v>
      </c>
      <c r="AR296" s="31">
        <f t="shared" si="237"/>
        <v>1.5144177905248428</v>
      </c>
      <c r="AS296" s="58" t="str">
        <f t="shared" si="238"/>
        <v>-3.6848522454559+0.210520068169899i</v>
      </c>
      <c r="AT296" s="49">
        <f t="shared" si="239"/>
        <v>11.342553746090697</v>
      </c>
      <c r="AU296" s="61">
        <f t="shared" si="240"/>
        <v>176.73017722634162</v>
      </c>
      <c r="AV296" s="58" t="str">
        <f t="shared" si="217"/>
        <v>1.71603573437209+0.802153213839092i</v>
      </c>
      <c r="AW296" s="64">
        <f t="shared" si="241"/>
        <v>5.5488008165122142</v>
      </c>
      <c r="AX296" s="61">
        <f t="shared" si="242"/>
        <v>25.053527098795566</v>
      </c>
    </row>
    <row r="297" spans="14:50" x14ac:dyDescent="0.35">
      <c r="N297" s="10">
        <v>79</v>
      </c>
      <c r="O297" s="50">
        <f t="shared" si="243"/>
        <v>6165.9500186148289</v>
      </c>
      <c r="P297" s="48" t="str">
        <f t="shared" si="208"/>
        <v>547.187404092767</v>
      </c>
      <c r="Q297" s="17" t="str">
        <f t="shared" si="209"/>
        <v>1+743.003192843444i</v>
      </c>
      <c r="R297" s="17">
        <f t="shared" si="218"/>
        <v>743.0038657877576</v>
      </c>
      <c r="S297" s="17">
        <f t="shared" si="219"/>
        <v>1.5694504383709615</v>
      </c>
      <c r="T297" s="17" t="str">
        <f t="shared" si="210"/>
        <v>1+0.0140590598957511i</v>
      </c>
      <c r="U297" s="17">
        <f t="shared" si="220"/>
        <v>1.0000988236995143</v>
      </c>
      <c r="V297" s="17">
        <f t="shared" si="221"/>
        <v>1.4058133714280562E-2</v>
      </c>
      <c r="W297" s="31" t="str">
        <f t="shared" si="211"/>
        <v>1-0.244139060808053i</v>
      </c>
      <c r="X297" s="17">
        <f t="shared" si="222"/>
        <v>1.0293706237367755</v>
      </c>
      <c r="Y297" s="17">
        <f t="shared" si="223"/>
        <v>-0.23945492368403629</v>
      </c>
      <c r="Z297" s="31" t="str">
        <f t="shared" si="212"/>
        <v>0.987431755493535+1.16812391617625i</v>
      </c>
      <c r="AA297" s="17">
        <f t="shared" si="224"/>
        <v>1.5295538419094579</v>
      </c>
      <c r="AB297" s="17">
        <f t="shared" si="225"/>
        <v>0.86902889807605233</v>
      </c>
      <c r="AC297" s="66" t="str">
        <f t="shared" si="226"/>
        <v>-0.440180623441674-0.227886751322953i</v>
      </c>
      <c r="AD297" s="64">
        <f t="shared" si="227"/>
        <v>-6.096101286178655</v>
      </c>
      <c r="AE297" s="61">
        <f t="shared" si="228"/>
        <v>-152.62885918933901</v>
      </c>
      <c r="AF297" s="31" t="str">
        <f t="shared" si="213"/>
        <v>-6627.51882264077</v>
      </c>
      <c r="AG297" s="31" t="str">
        <f t="shared" si="229"/>
        <v>38741.8065617644i</v>
      </c>
      <c r="AH297" s="31">
        <f t="shared" si="230"/>
        <v>38741.806561764402</v>
      </c>
      <c r="AI297" s="31">
        <f t="shared" si="231"/>
        <v>1.5707963267948966</v>
      </c>
      <c r="AJ297" s="31" t="str">
        <f t="shared" si="214"/>
        <v>0.820879303119641+18.9116191640925i</v>
      </c>
      <c r="AK297" s="31">
        <f t="shared" si="232"/>
        <v>18.929426357868348</v>
      </c>
      <c r="AL297" s="31">
        <f t="shared" si="233"/>
        <v>1.5274174737350403</v>
      </c>
      <c r="AM297" s="31" t="str">
        <f t="shared" si="215"/>
        <v>1+22.467535879364i</v>
      </c>
      <c r="AN297" s="31">
        <f t="shared" si="234"/>
        <v>22.489779200572617</v>
      </c>
      <c r="AO297" s="31">
        <f t="shared" si="235"/>
        <v>1.5263170190166617</v>
      </c>
      <c r="AP297" s="31" t="str">
        <f t="shared" si="216"/>
        <v>1+18.1311654709057i</v>
      </c>
      <c r="AQ297" s="31">
        <f t="shared" si="236"/>
        <v>18.158721357335793</v>
      </c>
      <c r="AR297" s="31">
        <f t="shared" si="237"/>
        <v>1.5156984968663696</v>
      </c>
      <c r="AS297" s="58" t="str">
        <f t="shared" si="238"/>
        <v>-3.6848340899761+0.207299635525787i</v>
      </c>
      <c r="AT297" s="49">
        <f t="shared" si="239"/>
        <v>11.342082088845755</v>
      </c>
      <c r="AU297" s="61">
        <f t="shared" si="240"/>
        <v>176.78007547385744</v>
      </c>
      <c r="AV297" s="58" t="str">
        <f t="shared" si="217"/>
        <v>1.66923340749522+0.748475587123751i</v>
      </c>
      <c r="AW297" s="64">
        <f t="shared" si="241"/>
        <v>5.2459808026671091</v>
      </c>
      <c r="AX297" s="61">
        <f t="shared" si="242"/>
        <v>24.151216284518405</v>
      </c>
    </row>
    <row r="298" spans="14:50" x14ac:dyDescent="0.35">
      <c r="N298" s="10">
        <v>80</v>
      </c>
      <c r="O298" s="50">
        <f t="shared" si="243"/>
        <v>6309.5734448019384</v>
      </c>
      <c r="P298" s="48" t="str">
        <f t="shared" si="208"/>
        <v>547.187404092767</v>
      </c>
      <c r="Q298" s="17" t="str">
        <f t="shared" si="209"/>
        <v>1+760.309960478921i</v>
      </c>
      <c r="R298" s="17">
        <f t="shared" si="218"/>
        <v>760.3106181051653</v>
      </c>
      <c r="S298" s="17">
        <f t="shared" si="219"/>
        <v>1.5694810744960308</v>
      </c>
      <c r="T298" s="17" t="str">
        <f t="shared" si="210"/>
        <v>1+0.0143865374693774i</v>
      </c>
      <c r="U298" s="17">
        <f t="shared" si="220"/>
        <v>1.000103480876033</v>
      </c>
      <c r="V298" s="17">
        <f t="shared" si="221"/>
        <v>1.4385545053597437E-2</v>
      </c>
      <c r="W298" s="31" t="str">
        <f t="shared" si="211"/>
        <v>1-0.249825790066885i</v>
      </c>
      <c r="X298" s="17">
        <f t="shared" si="222"/>
        <v>1.0307341681454745</v>
      </c>
      <c r="Y298" s="17">
        <f t="shared" si="223"/>
        <v>-0.24481469411715939</v>
      </c>
      <c r="Z298" s="31" t="str">
        <f t="shared" si="212"/>
        <v>0.986839432378397+1.1953330175387i</v>
      </c>
      <c r="AA298" s="17">
        <f t="shared" si="224"/>
        <v>1.5500558338702162</v>
      </c>
      <c r="AB298" s="17">
        <f t="shared" si="225"/>
        <v>0.88065306172096425</v>
      </c>
      <c r="AC298" s="66" t="str">
        <f t="shared" si="226"/>
        <v>-0.428648179743857-0.212923040679232i</v>
      </c>
      <c r="AD298" s="64">
        <f t="shared" si="227"/>
        <v>-6.4002138858918443</v>
      </c>
      <c r="AE298" s="61">
        <f t="shared" si="228"/>
        <v>-153.58496296429828</v>
      </c>
      <c r="AF298" s="31" t="str">
        <f t="shared" si="213"/>
        <v>-6627.51882264077</v>
      </c>
      <c r="AG298" s="31" t="str">
        <f t="shared" si="229"/>
        <v>39644.21916295i</v>
      </c>
      <c r="AH298" s="31">
        <f t="shared" si="230"/>
        <v>39644.219162950001</v>
      </c>
      <c r="AI298" s="31">
        <f t="shared" si="231"/>
        <v>1.5707963267948966</v>
      </c>
      <c r="AJ298" s="31" t="str">
        <f t="shared" si="214"/>
        <v>0.812437604749805+19.3521273632982i</v>
      </c>
      <c r="AK298" s="31">
        <f t="shared" si="232"/>
        <v>19.369173661953848</v>
      </c>
      <c r="AL298" s="31">
        <f t="shared" si="233"/>
        <v>1.5288391407098294</v>
      </c>
      <c r="AM298" s="31" t="str">
        <f t="shared" si="215"/>
        <v>1+22.9908720191696i</v>
      </c>
      <c r="AN298" s="31">
        <f t="shared" si="234"/>
        <v>23.012609504396401</v>
      </c>
      <c r="AO298" s="31">
        <f t="shared" si="235"/>
        <v>1.5273282019731065</v>
      </c>
      <c r="AP298" s="31" t="str">
        <f t="shared" si="216"/>
        <v>1+18.5534945682606i</v>
      </c>
      <c r="AQ298" s="31">
        <f t="shared" si="236"/>
        <v>18.580424125796362</v>
      </c>
      <c r="AR298" s="31">
        <f t="shared" si="237"/>
        <v>1.5169502256238301</v>
      </c>
      <c r="AS298" s="58" t="str">
        <f t="shared" si="238"/>
        <v>-3.68481537895132+0.204189087081123i</v>
      </c>
      <c r="AT298" s="49">
        <f t="shared" si="239"/>
        <v>11.34162999480753</v>
      </c>
      <c r="AU298" s="61">
        <f t="shared" si="240"/>
        <v>176.82827524694639</v>
      </c>
      <c r="AV298" s="58" t="str">
        <f t="shared" si="217"/>
        <v>1.62296596617448+0.697056814327028i</v>
      </c>
      <c r="AW298" s="64">
        <f t="shared" si="241"/>
        <v>4.9414161089156687</v>
      </c>
      <c r="AX298" s="61">
        <f t="shared" si="242"/>
        <v>23.243312282648148</v>
      </c>
    </row>
    <row r="299" spans="14:50" x14ac:dyDescent="0.35">
      <c r="N299" s="10">
        <v>81</v>
      </c>
      <c r="O299" s="50">
        <f t="shared" si="243"/>
        <v>6456.5422903465615</v>
      </c>
      <c r="P299" s="48" t="str">
        <f t="shared" si="208"/>
        <v>547.187404092767</v>
      </c>
      <c r="Q299" s="17" t="str">
        <f t="shared" si="209"/>
        <v>1+778.019854519338i</v>
      </c>
      <c r="R299" s="17">
        <f t="shared" si="218"/>
        <v>778.02049717619389</v>
      </c>
      <c r="S299" s="17">
        <f t="shared" si="219"/>
        <v>1.5695110132601402</v>
      </c>
      <c r="T299" s="17" t="str">
        <f t="shared" si="210"/>
        <v>1+0.0147216429755985i</v>
      </c>
      <c r="U299" s="17">
        <f t="shared" si="220"/>
        <v>1.0001083575152749</v>
      </c>
      <c r="V299" s="17">
        <f t="shared" si="221"/>
        <v>1.4720579589153935E-2</v>
      </c>
      <c r="W299" s="31" t="str">
        <f t="shared" si="211"/>
        <v>1-0.255644980266447i</v>
      </c>
      <c r="X299" s="17">
        <f t="shared" si="222"/>
        <v>1.0321600437603813</v>
      </c>
      <c r="Y299" s="17">
        <f t="shared" si="223"/>
        <v>-0.25028448851449558</v>
      </c>
      <c r="Z299" s="31" t="str">
        <f t="shared" si="212"/>
        <v>0.986219193934865+1.22317590028916i</v>
      </c>
      <c r="AA299" s="17">
        <f t="shared" si="224"/>
        <v>1.5712375955067177</v>
      </c>
      <c r="AB299" s="17">
        <f t="shared" si="225"/>
        <v>0.89223935115379782</v>
      </c>
      <c r="AC299" s="66" t="str">
        <f t="shared" si="226"/>
        <v>-0.417202662887014-0.198595862018647i</v>
      </c>
      <c r="AD299" s="64">
        <f t="shared" si="227"/>
        <v>-6.7060541939585114</v>
      </c>
      <c r="AE299" s="61">
        <f t="shared" si="228"/>
        <v>-154.5447238827372</v>
      </c>
      <c r="AF299" s="31" t="str">
        <f t="shared" si="213"/>
        <v>-6627.51882264077</v>
      </c>
      <c r="AG299" s="31" t="str">
        <f t="shared" si="229"/>
        <v>40567.6516538892i</v>
      </c>
      <c r="AH299" s="31">
        <f t="shared" si="230"/>
        <v>40567.651653889203</v>
      </c>
      <c r="AI299" s="31">
        <f t="shared" si="231"/>
        <v>1.5707963267948966</v>
      </c>
      <c r="AJ299" s="31" t="str">
        <f t="shared" si="214"/>
        <v>0.803598061392713+19.8028963165877i</v>
      </c>
      <c r="AK299" s="31">
        <f t="shared" si="232"/>
        <v>19.819194543921224</v>
      </c>
      <c r="AL299" s="31">
        <f t="shared" si="233"/>
        <v>1.530238754662641</v>
      </c>
      <c r="AM299" s="31" t="str">
        <f t="shared" si="215"/>
        <v>1+23.52639822364i</v>
      </c>
      <c r="AN299" s="31">
        <f t="shared" si="234"/>
        <v>23.547641354863792</v>
      </c>
      <c r="AO299" s="31">
        <f t="shared" si="235"/>
        <v>1.5283164535515095</v>
      </c>
      <c r="AP299" s="31" t="str">
        <f t="shared" si="216"/>
        <v>1+18.9856609740201i</v>
      </c>
      <c r="AQ299" s="31">
        <f t="shared" si="236"/>
        <v>19.011978398379004</v>
      </c>
      <c r="AR299" s="31">
        <f t="shared" si="237"/>
        <v>1.5181736247815714</v>
      </c>
      <c r="AS299" s="58" t="str">
        <f t="shared" si="238"/>
        <v>-3.68479607281923+0.201186773660361i</v>
      </c>
      <c r="AT299" s="49">
        <f t="shared" si="239"/>
        <v>11.341196511492688</v>
      </c>
      <c r="AU299" s="61">
        <f t="shared" si="240"/>
        <v>176.87480152744075</v>
      </c>
      <c r="AV299" s="58" t="str">
        <f t="shared" si="217"/>
        <v>1.57726159451762+0.647849594735711i</v>
      </c>
      <c r="AW299" s="64">
        <f t="shared" si="241"/>
        <v>4.6351423175341564</v>
      </c>
      <c r="AX299" s="61">
        <f t="shared" si="242"/>
        <v>22.330077644703607</v>
      </c>
    </row>
    <row r="300" spans="14:50" x14ac:dyDescent="0.35">
      <c r="N300" s="10">
        <v>82</v>
      </c>
      <c r="O300" s="50">
        <f t="shared" si="243"/>
        <v>6606.9344800759654</v>
      </c>
      <c r="P300" s="48" t="str">
        <f t="shared" si="208"/>
        <v>547.187404092767</v>
      </c>
      <c r="Q300" s="17" t="str">
        <f t="shared" si="209"/>
        <v>1+796.14226498493i</v>
      </c>
      <c r="R300" s="17">
        <f t="shared" si="218"/>
        <v>796.14289301314147</v>
      </c>
      <c r="S300" s="17">
        <f t="shared" si="219"/>
        <v>1.5695402705370036</v>
      </c>
      <c r="T300" s="17" t="str">
        <f t="shared" si="210"/>
        <v>1+0.0150645540917891i</v>
      </c>
      <c r="U300" s="17">
        <f t="shared" si="220"/>
        <v>1.0001134639579574</v>
      </c>
      <c r="V300" s="17">
        <f t="shared" si="221"/>
        <v>1.5063414659666468E-2</v>
      </c>
      <c r="W300" s="31" t="str">
        <f t="shared" si="211"/>
        <v>1-0.261599716818406i</v>
      </c>
      <c r="X300" s="17">
        <f t="shared" si="222"/>
        <v>1.0336510106604986</v>
      </c>
      <c r="Y300" s="17">
        <f t="shared" si="223"/>
        <v>-0.25586589728635123</v>
      </c>
      <c r="Z300" s="31" t="str">
        <f t="shared" si="212"/>
        <v>0.985569724554044+1.2516673270926i</v>
      </c>
      <c r="AA300" s="17">
        <f t="shared" si="224"/>
        <v>1.5931160596983096</v>
      </c>
      <c r="AB300" s="17">
        <f t="shared" si="225"/>
        <v>0.90378228268566707</v>
      </c>
      <c r="AC300" s="66" t="str">
        <f t="shared" si="226"/>
        <v>-0.405855174232299-0.184891198963417i</v>
      </c>
      <c r="AD300" s="64">
        <f t="shared" si="227"/>
        <v>-7.0135827803346888</v>
      </c>
      <c r="AE300" s="61">
        <f t="shared" si="228"/>
        <v>-155.50790962496137</v>
      </c>
      <c r="AF300" s="31" t="str">
        <f t="shared" si="213"/>
        <v>-6627.51882264077</v>
      </c>
      <c r="AG300" s="31" t="str">
        <f t="shared" si="229"/>
        <v>41512.5936507115i</v>
      </c>
      <c r="AH300" s="31">
        <f t="shared" si="230"/>
        <v>41512.593650711497</v>
      </c>
      <c r="AI300" s="31">
        <f t="shared" si="231"/>
        <v>1.5707963267948966</v>
      </c>
      <c r="AJ300" s="31" t="str">
        <f t="shared" si="214"/>
        <v>0.794341923191771+20.2641650276266i</v>
      </c>
      <c r="AK300" s="31">
        <f t="shared" si="232"/>
        <v>20.27972789161198</v>
      </c>
      <c r="AL300" s="31">
        <f t="shared" si="233"/>
        <v>1.531617044650768</v>
      </c>
      <c r="AM300" s="31" t="str">
        <f t="shared" si="215"/>
        <v>1+24.0743984358571i</v>
      </c>
      <c r="AN300" s="31">
        <f t="shared" si="234"/>
        <v>24.095158435843466</v>
      </c>
      <c r="AO300" s="31">
        <f t="shared" si="235"/>
        <v>1.5292822900102025</v>
      </c>
      <c r="AP300" s="31" t="str">
        <f t="shared" si="216"/>
        <v>1+19.427893828533i</v>
      </c>
      <c r="AQ300" s="31">
        <f t="shared" si="236"/>
        <v>19.453612996375522</v>
      </c>
      <c r="AR300" s="31">
        <f t="shared" si="237"/>
        <v>1.5193693283451686</v>
      </c>
      <c r="AS300" s="58" t="str">
        <f t="shared" si="238"/>
        <v>-3.68477613074753+0.198291103339452i</v>
      </c>
      <c r="AT300" s="49">
        <f t="shared" si="239"/>
        <v>11.340780725328422</v>
      </c>
      <c r="AU300" s="61">
        <f t="shared" si="240"/>
        <v>176.91967844870177</v>
      </c>
      <c r="AV300" s="58" t="str">
        <f t="shared" si="217"/>
        <v>1.53214773839177+0.600805206431143i</v>
      </c>
      <c r="AW300" s="64">
        <f t="shared" si="241"/>
        <v>4.3271979449937543</v>
      </c>
      <c r="AX300" s="61">
        <f t="shared" si="242"/>
        <v>21.411768823740363</v>
      </c>
    </row>
    <row r="301" spans="14:50" x14ac:dyDescent="0.35">
      <c r="N301" s="10">
        <v>83</v>
      </c>
      <c r="O301" s="50">
        <f t="shared" si="243"/>
        <v>6760.8297539198229</v>
      </c>
      <c r="P301" s="48" t="str">
        <f t="shared" si="208"/>
        <v>547.187404092767</v>
      </c>
      <c r="Q301" s="17" t="str">
        <f t="shared" si="209"/>
        <v>1+814.686800617606i</v>
      </c>
      <c r="R301" s="17">
        <f t="shared" si="218"/>
        <v>814.68741435016102</v>
      </c>
      <c r="S301" s="17">
        <f t="shared" si="219"/>
        <v>1.569568861839016</v>
      </c>
      <c r="T301" s="17" t="str">
        <f t="shared" si="210"/>
        <v>1+0.0154154526339621i</v>
      </c>
      <c r="U301" s="17">
        <f t="shared" si="220"/>
        <v>1.0001188110319243</v>
      </c>
      <c r="V301" s="17">
        <f t="shared" si="221"/>
        <v>1.541423171827911E-2</v>
      </c>
      <c r="W301" s="31" t="str">
        <f t="shared" si="211"/>
        <v>1-0.267693157002905i</v>
      </c>
      <c r="X301" s="17">
        <f t="shared" si="222"/>
        <v>1.035209943106316</v>
      </c>
      <c r="Y301" s="17">
        <f t="shared" si="223"/>
        <v>-0.26156048820534261</v>
      </c>
      <c r="Z301" s="31" t="str">
        <f t="shared" si="212"/>
        <v>0.984889646624302+1.28082240448064i</v>
      </c>
      <c r="AA301" s="17">
        <f t="shared" si="224"/>
        <v>1.6157084043376486</v>
      </c>
      <c r="AB301" s="17">
        <f t="shared" si="225"/>
        <v>0.91527650097300906</v>
      </c>
      <c r="AC301" s="66" t="str">
        <f t="shared" si="226"/>
        <v>-0.394616410455525-0.171794661479605i</v>
      </c>
      <c r="AD301" s="64">
        <f t="shared" si="227"/>
        <v>-7.3227573791536766</v>
      </c>
      <c r="AE301" s="61">
        <f t="shared" si="228"/>
        <v>-156.47429367143619</v>
      </c>
      <c r="AF301" s="31" t="str">
        <f t="shared" si="213"/>
        <v>-6627.51882264077</v>
      </c>
      <c r="AG301" s="31" t="str">
        <f t="shared" si="229"/>
        <v>42479.5461741716i</v>
      </c>
      <c r="AH301" s="31">
        <f t="shared" si="230"/>
        <v>42479.546174171599</v>
      </c>
      <c r="AI301" s="31">
        <f t="shared" si="231"/>
        <v>1.5707963267948966</v>
      </c>
      <c r="AJ301" s="31" t="str">
        <f t="shared" si="214"/>
        <v>0.784649556636858+20.736178067191i</v>
      </c>
      <c r="AK301" s="31">
        <f t="shared" si="232"/>
        <v>20.75101818612724</v>
      </c>
      <c r="AL301" s="31">
        <f t="shared" si="233"/>
        <v>1.5329747292783857</v>
      </c>
      <c r="AM301" s="31" t="str">
        <f t="shared" si="215"/>
        <v>1+24.6351632127874i</v>
      </c>
      <c r="AN301" s="31">
        <f t="shared" si="234"/>
        <v>24.65545105084621</v>
      </c>
      <c r="AO301" s="31">
        <f t="shared" si="235"/>
        <v>1.5302262162365863</v>
      </c>
      <c r="AP301" s="31" t="str">
        <f t="shared" si="216"/>
        <v>1+19.8804276095123i</v>
      </c>
      <c r="AQ301" s="31">
        <f t="shared" si="236"/>
        <v>19.905562085433779</v>
      </c>
      <c r="AR301" s="31">
        <f t="shared" si="237"/>
        <v>1.5205379566086727</v>
      </c>
      <c r="AS301" s="58" t="str">
        <f t="shared" si="238"/>
        <v>-3.68475551054838+0.19550054060141i</v>
      </c>
      <c r="AT301" s="49">
        <f t="shared" si="239"/>
        <v>11.34038175976443</v>
      </c>
      <c r="AU301" s="61">
        <f t="shared" si="240"/>
        <v>176.96292930589146</v>
      </c>
      <c r="AV301" s="58" t="str">
        <f t="shared" si="217"/>
        <v>1.48765094217052+0.555873603995525i</v>
      </c>
      <c r="AW301" s="64">
        <f t="shared" si="241"/>
        <v>4.0176243806107719</v>
      </c>
      <c r="AX301" s="61">
        <f t="shared" si="242"/>
        <v>20.488635634455242</v>
      </c>
    </row>
    <row r="302" spans="14:50" x14ac:dyDescent="0.35">
      <c r="N302" s="10">
        <v>84</v>
      </c>
      <c r="O302" s="50">
        <f t="shared" si="243"/>
        <v>6918.3097091893687</v>
      </c>
      <c r="P302" s="48" t="str">
        <f t="shared" si="208"/>
        <v>547.187404092767</v>
      </c>
      <c r="Q302" s="17" t="str">
        <f t="shared" si="209"/>
        <v>1+833.663293975623i</v>
      </c>
      <c r="R302" s="17">
        <f t="shared" si="218"/>
        <v>833.66389373792958</v>
      </c>
      <c r="S302" s="17">
        <f t="shared" si="219"/>
        <v>1.5695968023254776</v>
      </c>
      <c r="T302" s="17" t="str">
        <f t="shared" si="210"/>
        <v>1+0.0157745246531693i</v>
      </c>
      <c r="U302" s="17">
        <f t="shared" si="220"/>
        <v>1.0001244100750832</v>
      </c>
      <c r="V302" s="17">
        <f t="shared" si="221"/>
        <v>1.5773216427234015E-2</v>
      </c>
      <c r="W302" s="31" t="str">
        <f t="shared" si="211"/>
        <v>1-0.273928531642584i</v>
      </c>
      <c r="X302" s="17">
        <f t="shared" si="222"/>
        <v>1.0368398335557243</v>
      </c>
      <c r="Y302" s="17">
        <f t="shared" si="223"/>
        <v>-0.26736980267972266</v>
      </c>
      <c r="Z302" s="31" t="str">
        <f t="shared" si="212"/>
        <v>0.984177517609169+1.31065659086123i</v>
      </c>
      <c r="AA302" s="17">
        <f t="shared" si="224"/>
        <v>1.6390320574458965</v>
      </c>
      <c r="AB302" s="17">
        <f t="shared" si="225"/>
        <v>0.92671679147288333</v>
      </c>
      <c r="AC302" s="66" t="str">
        <f t="shared" si="226"/>
        <v>-0.383496627429654-0.159291516690822i</v>
      </c>
      <c r="AD302" s="64">
        <f t="shared" si="227"/>
        <v>-7.6335329563427763</v>
      </c>
      <c r="AE302" s="61">
        <f t="shared" si="228"/>
        <v>-157.4436557979478</v>
      </c>
      <c r="AF302" s="31" t="str">
        <f t="shared" si="213"/>
        <v>-6627.51882264077</v>
      </c>
      <c r="AG302" s="31" t="str">
        <f t="shared" si="229"/>
        <v>43469.0219152965i</v>
      </c>
      <c r="AH302" s="31">
        <f t="shared" si="230"/>
        <v>43469.0219152965</v>
      </c>
      <c r="AI302" s="31">
        <f t="shared" si="231"/>
        <v>1.5707963267948966</v>
      </c>
      <c r="AJ302" s="31" t="str">
        <f t="shared" si="214"/>
        <v>0.774500402919036+21.2191857028424i</v>
      </c>
      <c r="AK302" s="31">
        <f t="shared" si="232"/>
        <v>21.233315632887699</v>
      </c>
      <c r="AL302" s="31">
        <f t="shared" si="233"/>
        <v>1.5343125170201717</v>
      </c>
      <c r="AM302" s="31" t="str">
        <f t="shared" si="215"/>
        <v>1+25.2089898793379i</v>
      </c>
      <c r="AN302" s="31">
        <f t="shared" si="234"/>
        <v>25.228816276959186</v>
      </c>
      <c r="AO302" s="31">
        <f t="shared" si="235"/>
        <v>1.5311487259807228</v>
      </c>
      <c r="AP302" s="31" t="str">
        <f t="shared" si="216"/>
        <v>1+20.3435022563587i</v>
      </c>
      <c r="AQ302" s="31">
        <f t="shared" si="236"/>
        <v>20.368065299739971</v>
      </c>
      <c r="AR302" s="31">
        <f t="shared" si="237"/>
        <v>1.5216801164191196</v>
      </c>
      <c r="AS302" s="58" t="str">
        <f t="shared" si="238"/>
        <v>-3.68473416858964+0.192813605521143i</v>
      </c>
      <c r="AT302" s="49">
        <f t="shared" si="239"/>
        <v>11.339998773458531</v>
      </c>
      <c r="AU302" s="61">
        <f t="shared" si="240"/>
        <v>177.00457656596956</v>
      </c>
      <c r="AV302" s="58" t="str">
        <f t="shared" si="217"/>
        <v>1.44379669829103+0.513003526877229i</v>
      </c>
      <c r="AW302" s="64">
        <f t="shared" si="241"/>
        <v>3.7064658171157783</v>
      </c>
      <c r="AX302" s="61">
        <f t="shared" si="242"/>
        <v>19.560920768021738</v>
      </c>
    </row>
    <row r="303" spans="14:50" x14ac:dyDescent="0.35">
      <c r="N303" s="10">
        <v>85</v>
      </c>
      <c r="O303" s="50">
        <f t="shared" si="243"/>
        <v>7079.4578438413828</v>
      </c>
      <c r="P303" s="48" t="str">
        <f t="shared" si="208"/>
        <v>547.187404092767</v>
      </c>
      <c r="Q303" s="17" t="str">
        <f t="shared" si="209"/>
        <v>1+853.081806646945i</v>
      </c>
      <c r="R303" s="17">
        <f t="shared" si="218"/>
        <v>853.0823927570043</v>
      </c>
      <c r="S303" s="17">
        <f t="shared" si="219"/>
        <v>1.5696241068106289</v>
      </c>
      <c r="T303" s="17" t="str">
        <f t="shared" si="210"/>
        <v>1+0.0161419605341481i</v>
      </c>
      <c r="U303" s="17">
        <f t="shared" si="220"/>
        <v>1.000130272959421</v>
      </c>
      <c r="V303" s="17">
        <f t="shared" si="221"/>
        <v>1.6140558754664202E-2</v>
      </c>
      <c r="W303" s="31" t="str">
        <f t="shared" si="211"/>
        <v>1-0.280309146815613i</v>
      </c>
      <c r="X303" s="17">
        <f t="shared" si="222"/>
        <v>1.0385437967599136</v>
      </c>
      <c r="Y303" s="17">
        <f t="shared" si="223"/>
        <v>-0.27329535182049547</v>
      </c>
      <c r="Z303" s="31" t="str">
        <f t="shared" si="212"/>
        <v>0.983431826987528+1.34118570471487i</v>
      </c>
      <c r="AA303" s="17">
        <f t="shared" si="224"/>
        <v>1.6631047029166712</v>
      </c>
      <c r="AB303" s="17">
        <f t="shared" si="225"/>
        <v>0.93809809208184813</v>
      </c>
      <c r="AC303" s="66" t="str">
        <f t="shared" si="226"/>
        <v>-0.37250560766754-0.147366722333138i</v>
      </c>
      <c r="AD303" s="64">
        <f t="shared" si="227"/>
        <v>-7.945861784851437</v>
      </c>
      <c r="AE303" s="61">
        <f t="shared" si="228"/>
        <v>-158.41578251203751</v>
      </c>
      <c r="AF303" s="31" t="str">
        <f t="shared" si="213"/>
        <v>-6627.51882264077</v>
      </c>
      <c r="AG303" s="31" t="str">
        <f t="shared" si="229"/>
        <v>44481.5455072214i</v>
      </c>
      <c r="AH303" s="31">
        <f t="shared" si="230"/>
        <v>44481.545507221403</v>
      </c>
      <c r="AI303" s="31">
        <f t="shared" si="231"/>
        <v>1.5707963267948966</v>
      </c>
      <c r="AJ303" s="31" t="str">
        <f t="shared" si="214"/>
        <v>0.763872934322548+21.7134440316226i</v>
      </c>
      <c r="AK303" s="31">
        <f t="shared" si="232"/>
        <v>21.726876295827655</v>
      </c>
      <c r="AL303" s="31">
        <f t="shared" si="233"/>
        <v>1.5356311065432704</v>
      </c>
      <c r="AM303" s="31" t="str">
        <f t="shared" si="215"/>
        <v>1+25.7961826860029i</v>
      </c>
      <c r="AN303" s="31">
        <f t="shared" si="234"/>
        <v>25.815558122373332</v>
      </c>
      <c r="AO303" s="31">
        <f t="shared" si="235"/>
        <v>1.5320503020852829</v>
      </c>
      <c r="AP303" s="31" t="str">
        <f t="shared" si="216"/>
        <v>1+20.8173632973796i</v>
      </c>
      <c r="AQ303" s="31">
        <f t="shared" si="236"/>
        <v>20.841367869098406</v>
      </c>
      <c r="AR303" s="31">
        <f t="shared" si="237"/>
        <v>1.5227964014381439</v>
      </c>
      <c r="AS303" s="58" t="str">
        <f t="shared" si="238"/>
        <v>-3.6847120597035+0.19022887297911i</v>
      </c>
      <c r="AT303" s="49">
        <f t="shared" si="239"/>
        <v>11.339630958534173</v>
      </c>
      <c r="AU303" s="61">
        <f t="shared" si="240"/>
        <v>177.04464187741078</v>
      </c>
      <c r="AV303" s="58" t="str">
        <f t="shared" si="217"/>
        <v>1.40060931038382+0.472142617054896i</v>
      </c>
      <c r="AW303" s="64">
        <f t="shared" si="241"/>
        <v>3.3937691736827165</v>
      </c>
      <c r="AX303" s="61">
        <f t="shared" si="242"/>
        <v>18.628859365373309</v>
      </c>
    </row>
    <row r="304" spans="14:50" x14ac:dyDescent="0.35">
      <c r="N304" s="10">
        <v>86</v>
      </c>
      <c r="O304" s="50">
        <f t="shared" si="243"/>
        <v>7244.3596007499036</v>
      </c>
      <c r="P304" s="48" t="str">
        <f t="shared" si="208"/>
        <v>547.187404092767</v>
      </c>
      <c r="Q304" s="17" t="str">
        <f t="shared" si="209"/>
        <v>1+872.952634584026i</v>
      </c>
      <c r="R304" s="17">
        <f t="shared" si="218"/>
        <v>872.95320735260032</v>
      </c>
      <c r="S304" s="17">
        <f t="shared" si="219"/>
        <v>1.5696507897715068</v>
      </c>
      <c r="T304" s="17" t="str">
        <f t="shared" si="210"/>
        <v>1+0.0165179550962663i</v>
      </c>
      <c r="U304" s="17">
        <f t="shared" si="220"/>
        <v>1.0001364121161485</v>
      </c>
      <c r="V304" s="17">
        <f t="shared" si="221"/>
        <v>1.6516453073552075E-2</v>
      </c>
      <c r="W304" s="31" t="str">
        <f t="shared" si="211"/>
        <v>1-0.286838385608614i</v>
      </c>
      <c r="X304" s="17">
        <f t="shared" si="222"/>
        <v>1.0403250739353329</v>
      </c>
      <c r="Y304" s="17">
        <f t="shared" si="223"/>
        <v>-0.27933861229910206</v>
      </c>
      <c r="Z304" s="31" t="str">
        <f t="shared" si="212"/>
        <v>0.982650993049594+1.37242593298186i</v>
      </c>
      <c r="AA304" s="17">
        <f t="shared" si="224"/>
        <v>1.6879442868952999</v>
      </c>
      <c r="AB304" s="17">
        <f t="shared" si="225"/>
        <v>0.94941550390625473</v>
      </c>
      <c r="AC304" s="66" t="str">
        <f t="shared" si="226"/>
        <v>-0.361652631507552-0.136004962447178i</v>
      </c>
      <c r="AD304" s="64">
        <f t="shared" si="227"/>
        <v>-8.2596935269128196</v>
      </c>
      <c r="AE304" s="61">
        <f t="shared" si="228"/>
        <v>-159.39046742753783</v>
      </c>
      <c r="AF304" s="31" t="str">
        <f t="shared" si="213"/>
        <v>-6627.51882264077</v>
      </c>
      <c r="AG304" s="31" t="str">
        <f t="shared" si="229"/>
        <v>45517.6538033572i</v>
      </c>
      <c r="AH304" s="31">
        <f t="shared" si="230"/>
        <v>45517.6538033572</v>
      </c>
      <c r="AI304" s="31">
        <f t="shared" si="231"/>
        <v>1.5707963267948966</v>
      </c>
      <c r="AJ304" s="31" t="str">
        <f t="shared" si="214"/>
        <v>0.75274460856165+22.2192151158398i</v>
      </c>
      <c r="AK304" s="31">
        <f t="shared" si="232"/>
        <v>22.231962234802449</v>
      </c>
      <c r="AL304" s="31">
        <f t="shared" si="233"/>
        <v>1.5369311870275268</v>
      </c>
      <c r="AM304" s="31" t="str">
        <f t="shared" si="215"/>
        <v>1+26.397052970181i</v>
      </c>
      <c r="AN304" s="31">
        <f t="shared" si="234"/>
        <v>26.415987687583094</v>
      </c>
      <c r="AO304" s="31">
        <f t="shared" si="235"/>
        <v>1.5329314167118142</v>
      </c>
      <c r="AP304" s="31" t="str">
        <f t="shared" si="216"/>
        <v>1+21.3022619799711i</v>
      </c>
      <c r="AQ304" s="31">
        <f t="shared" si="236"/>
        <v>21.325720748976391</v>
      </c>
      <c r="AR304" s="31">
        <f t="shared" si="237"/>
        <v>1.5238873924005618</v>
      </c>
      <c r="AS304" s="58" t="str">
        <f t="shared" si="238"/>
        <v>-3.68468913709126+0.187744971903394i</v>
      </c>
      <c r="AT304" s="49">
        <f t="shared" si="239"/>
        <v>11.339277538904023</v>
      </c>
      <c r="AU304" s="61">
        <f t="shared" si="240"/>
        <v>177.08314607963649</v>
      </c>
      <c r="AV304" s="58" t="str">
        <f t="shared" si="217"/>
        <v>1.35811177056971+0.433237544578448i</v>
      </c>
      <c r="AW304" s="64">
        <f t="shared" si="241"/>
        <v>3.0795840119911895</v>
      </c>
      <c r="AX304" s="61">
        <f t="shared" si="242"/>
        <v>17.692678652098703</v>
      </c>
    </row>
    <row r="305" spans="14:50" x14ac:dyDescent="0.35">
      <c r="N305" s="10">
        <v>87</v>
      </c>
      <c r="O305" s="50">
        <f t="shared" si="243"/>
        <v>7413.1024130091773</v>
      </c>
      <c r="P305" s="48" t="str">
        <f t="shared" si="208"/>
        <v>547.187404092767</v>
      </c>
      <c r="Q305" s="17" t="str">
        <f t="shared" si="209"/>
        <v>1+893.286313562855i</v>
      </c>
      <c r="R305" s="17">
        <f t="shared" si="218"/>
        <v>893.28687329363311</v>
      </c>
      <c r="S305" s="17">
        <f t="shared" si="219"/>
        <v>1.5696768653556183</v>
      </c>
      <c r="T305" s="17" t="str">
        <f t="shared" si="210"/>
        <v>1+0.0169027076968175i</v>
      </c>
      <c r="U305" s="17">
        <f t="shared" si="220"/>
        <v>1.000142840562029</v>
      </c>
      <c r="V305" s="17">
        <f t="shared" si="221"/>
        <v>1.6901098262896597E-2</v>
      </c>
      <c r="W305" s="31" t="str">
        <f t="shared" si="211"/>
        <v>1-0.29351970991042i</v>
      </c>
      <c r="X305" s="17">
        <f t="shared" si="222"/>
        <v>1.0421870370072241</v>
      </c>
      <c r="Y305" s="17">
        <f t="shared" si="223"/>
        <v>-0.28550102199333205</v>
      </c>
      <c r="Z305" s="31" t="str">
        <f t="shared" si="212"/>
        <v>0.981833359541897+1.40439383964471i</v>
      </c>
      <c r="AA305" s="17">
        <f t="shared" si="224"/>
        <v>1.7135690247962989</v>
      </c>
      <c r="AB305" s="17">
        <f t="shared" si="225"/>
        <v>0.96066430112073942</v>
      </c>
      <c r="AC305" s="66" t="str">
        <f t="shared" si="226"/>
        <v>-0.350946452175159-0.125190684892498i</v>
      </c>
      <c r="AD305" s="64">
        <f t="shared" si="227"/>
        <v>-8.5749753227404106</v>
      </c>
      <c r="AE305" s="61">
        <f t="shared" si="228"/>
        <v>-160.3675115745946</v>
      </c>
      <c r="AF305" s="31" t="str">
        <f t="shared" si="213"/>
        <v>-6627.51882264077</v>
      </c>
      <c r="AG305" s="31" t="str">
        <f t="shared" si="229"/>
        <v>46577.8961620368i</v>
      </c>
      <c r="AH305" s="31">
        <f t="shared" si="230"/>
        <v>46577.896162036799</v>
      </c>
      <c r="AI305" s="31">
        <f t="shared" si="231"/>
        <v>1.5707963267948966</v>
      </c>
      <c r="AJ305" s="31" t="str">
        <f t="shared" si="214"/>
        <v>0.741091820965404+22.7367671220175i</v>
      </c>
      <c r="AK305" s="31">
        <f t="shared" si="232"/>
        <v>22.748841646289549</v>
      </c>
      <c r="AL305" s="31">
        <f t="shared" si="233"/>
        <v>1.5382134384839261</v>
      </c>
      <c r="AM305" s="31" t="str">
        <f t="shared" si="215"/>
        <v>1+27.01191932125i</v>
      </c>
      <c r="AN305" s="31">
        <f t="shared" si="234"/>
        <v>27.030423330346107</v>
      </c>
      <c r="AO305" s="31">
        <f t="shared" si="235"/>
        <v>1.5337925315633125</v>
      </c>
      <c r="AP305" s="31" t="str">
        <f t="shared" si="216"/>
        <v>1+21.7984554038332i</v>
      </c>
      <c r="AQ305" s="31">
        <f t="shared" si="236"/>
        <v>21.821380753584425</v>
      </c>
      <c r="AR305" s="31">
        <f t="shared" si="237"/>
        <v>1.5249536573698019</v>
      </c>
      <c r="AS305" s="58" t="str">
        <f t="shared" si="238"/>
        <v>-3.68466535222506+0.18536058453975i</v>
      </c>
      <c r="AT305" s="49">
        <f t="shared" si="239"/>
        <v>11.33893776865875</v>
      </c>
      <c r="AU305" s="61">
        <f t="shared" si="240"/>
        <v>177.12010921215733</v>
      </c>
      <c r="AV305" s="58" t="str">
        <f t="shared" si="217"/>
        <v>1.31632565134672+0.396234139527374i</v>
      </c>
      <c r="AW305" s="64">
        <f t="shared" si="241"/>
        <v>2.7639624459183265</v>
      </c>
      <c r="AX305" s="61">
        <f t="shared" si="242"/>
        <v>16.752597637562765</v>
      </c>
    </row>
    <row r="306" spans="14:50" x14ac:dyDescent="0.35">
      <c r="N306" s="10">
        <v>88</v>
      </c>
      <c r="O306" s="50">
        <f t="shared" si="243"/>
        <v>7585.7757502918394</v>
      </c>
      <c r="P306" s="48" t="str">
        <f t="shared" si="208"/>
        <v>547.187404092767</v>
      </c>
      <c r="Q306" s="17" t="str">
        <f t="shared" si="209"/>
        <v>1+914.093624769178i</v>
      </c>
      <c r="R306" s="17">
        <f t="shared" si="218"/>
        <v>914.09417175893577</v>
      </c>
      <c r="S306" s="17">
        <f t="shared" si="219"/>
        <v>1.5697023473884413</v>
      </c>
      <c r="T306" s="17" t="str">
        <f t="shared" si="210"/>
        <v>1+0.0172964223367233i</v>
      </c>
      <c r="U306" s="17">
        <f t="shared" si="220"/>
        <v>1.0001495719269446</v>
      </c>
      <c r="V306" s="17">
        <f t="shared" si="221"/>
        <v>1.7294697811135362E-2</v>
      </c>
      <c r="W306" s="31" t="str">
        <f t="shared" si="211"/>
        <v>1-0.300356662247612i</v>
      </c>
      <c r="X306" s="17">
        <f t="shared" si="222"/>
        <v>1.0441331929196227</v>
      </c>
      <c r="Y306" s="17">
        <f t="shared" si="223"/>
        <v>-0.29178397542003071</v>
      </c>
      <c r="Z306" s="31" t="str">
        <f t="shared" si="212"/>
        <v>0.980977192154143+1.43710637451069i</v>
      </c>
      <c r="AA306" s="17">
        <f t="shared" si="224"/>
        <v>1.7399974089595323</v>
      </c>
      <c r="AB306" s="17">
        <f t="shared" si="225"/>
        <v>0.97183993988124384</v>
      </c>
      <c r="AC306" s="66" t="str">
        <f t="shared" si="226"/>
        <v>-0.340395274804222-0.114908140264846i</v>
      </c>
      <c r="AD306" s="64">
        <f t="shared" si="227"/>
        <v>-8.8916518850480948</v>
      </c>
      <c r="AE306" s="61">
        <f t="shared" si="228"/>
        <v>-161.34672364316324</v>
      </c>
      <c r="AF306" s="31" t="str">
        <f t="shared" si="213"/>
        <v>-6627.51882264077</v>
      </c>
      <c r="AG306" s="31" t="str">
        <f t="shared" si="229"/>
        <v>47662.8347377929i</v>
      </c>
      <c r="AH306" s="31">
        <f t="shared" si="230"/>
        <v>47662.834737792902</v>
      </c>
      <c r="AI306" s="31">
        <f t="shared" si="231"/>
        <v>1.5707963267948966</v>
      </c>
      <c r="AJ306" s="31" t="str">
        <f t="shared" si="214"/>
        <v>0.728889854409001+23.2663744630799i</v>
      </c>
      <c r="AK306" s="31">
        <f t="shared" si="232"/>
        <v>23.277789007466257</v>
      </c>
      <c r="AL306" s="31">
        <f t="shared" si="233"/>
        <v>1.5394785320711923</v>
      </c>
      <c r="AM306" s="31" t="str">
        <f t="shared" si="215"/>
        <v>1+27.6411077494883i</v>
      </c>
      <c r="AN306" s="31">
        <f t="shared" si="234"/>
        <v>27.659190834491557</v>
      </c>
      <c r="AO306" s="31">
        <f t="shared" si="235"/>
        <v>1.5346340981030926</v>
      </c>
      <c r="AP306" s="31" t="str">
        <f t="shared" si="216"/>
        <v>1+22.306206657287i</v>
      </c>
      <c r="AQ306" s="31">
        <f t="shared" si="236"/>
        <v>22.328610692060419</v>
      </c>
      <c r="AR306" s="31">
        <f t="shared" si="237"/>
        <v>1.525995751990076</v>
      </c>
      <c r="AS306" s="58" t="str">
        <f t="shared" si="238"/>
        <v>-3.68464065474565+0.183074445749252i</v>
      </c>
      <c r="AT306" s="49">
        <f t="shared" si="239"/>
        <v>11.338610930516209</v>
      </c>
      <c r="AU306" s="61">
        <f t="shared" si="240"/>
        <v>177.15555052342171</v>
      </c>
      <c r="AV306" s="58" t="str">
        <f t="shared" si="217"/>
        <v>1.27527101231802+0.36107752891062i</v>
      </c>
      <c r="AW306" s="64">
        <f t="shared" si="241"/>
        <v>2.4469590454681285</v>
      </c>
      <c r="AX306" s="61">
        <f t="shared" si="242"/>
        <v>15.808826880258431</v>
      </c>
    </row>
    <row r="307" spans="14:50" x14ac:dyDescent="0.35">
      <c r="N307" s="10">
        <v>89</v>
      </c>
      <c r="O307" s="50">
        <f t="shared" si="243"/>
        <v>7762.4711662869322</v>
      </c>
      <c r="P307" s="48" t="str">
        <f t="shared" si="208"/>
        <v>547.187404092767</v>
      </c>
      <c r="Q307" s="17" t="str">
        <f t="shared" si="209"/>
        <v>1+935.385600514813i</v>
      </c>
      <c r="R307" s="17">
        <f t="shared" si="218"/>
        <v>935.38613505357102</v>
      </c>
      <c r="S307" s="17">
        <f t="shared" si="219"/>
        <v>1.5697272493807541</v>
      </c>
      <c r="T307" s="17" t="str">
        <f t="shared" si="210"/>
        <v>1+0.0176993077686973i</v>
      </c>
      <c r="U307" s="17">
        <f t="shared" si="220"/>
        <v>1.0001566204827577</v>
      </c>
      <c r="V307" s="17">
        <f t="shared" si="221"/>
        <v>1.7697459921865524E-2</v>
      </c>
      <c r="W307" s="31" t="str">
        <f t="shared" si="211"/>
        <v>1-0.307352867662819i</v>
      </c>
      <c r="X307" s="17">
        <f t="shared" si="222"/>
        <v>1.0461671880060845</v>
      </c>
      <c r="Y307" s="17">
        <f t="shared" si="223"/>
        <v>-0.29818881895425509</v>
      </c>
      <c r="Z307" s="31" t="str">
        <f t="shared" si="212"/>
        <v>0.980080674840517+1.47058088219879i</v>
      </c>
      <c r="AA307" s="17">
        <f t="shared" si="224"/>
        <v>1.7672482169419255</v>
      </c>
      <c r="AB307" s="17">
        <f t="shared" si="225"/>
        <v>0.98293806626790481</v>
      </c>
      <c r="AC307" s="66" t="str">
        <f t="shared" si="226"/>
        <v>-0.330006739453198-0.105141421798927i</v>
      </c>
      <c r="AD307" s="64">
        <f t="shared" si="227"/>
        <v>-9.2096655987787361</v>
      </c>
      <c r="AE307" s="61">
        <f t="shared" si="228"/>
        <v>-162.3279201585429</v>
      </c>
      <c r="AF307" s="31" t="str">
        <f t="shared" si="213"/>
        <v>-6627.51882264077</v>
      </c>
      <c r="AG307" s="31" t="str">
        <f t="shared" si="229"/>
        <v>48773.0447794192i</v>
      </c>
      <c r="AH307" s="31">
        <f t="shared" si="230"/>
        <v>48773.0447794192</v>
      </c>
      <c r="AI307" s="31">
        <f t="shared" si="231"/>
        <v>1.5707963267948966</v>
      </c>
      <c r="AJ307" s="31" t="str">
        <f t="shared" si="214"/>
        <v>0.716112826885429+23.8083179438496i</v>
      </c>
      <c r="AK307" s="31">
        <f t="shared" si="232"/>
        <v>23.819085223749894</v>
      </c>
      <c r="AL307" s="31">
        <f t="shared" si="233"/>
        <v>1.5407271304105088</v>
      </c>
      <c r="AM307" s="31" t="str">
        <f t="shared" si="215"/>
        <v>1+28.2849518589286i</v>
      </c>
      <c r="AN307" s="31">
        <f t="shared" si="234"/>
        <v>28.302623582662942</v>
      </c>
      <c r="AO307" s="31">
        <f t="shared" si="235"/>
        <v>1.5354565577699408</v>
      </c>
      <c r="AP307" s="31" t="str">
        <f t="shared" si="216"/>
        <v>1+22.8257849567682i</v>
      </c>
      <c r="AQ307" s="31">
        <f t="shared" si="236"/>
        <v>22.847679507832417</v>
      </c>
      <c r="AR307" s="31">
        <f t="shared" si="237"/>
        <v>1.5270142197351992</v>
      </c>
      <c r="AS307" s="58" t="str">
        <f t="shared" si="238"/>
        <v>-3.68461499235636+0.180885342333128i</v>
      </c>
      <c r="AT307" s="49">
        <f t="shared" si="239"/>
        <v>11.338296334328827</v>
      </c>
      <c r="AU307" s="61">
        <f t="shared" si="240"/>
        <v>177.18948847936772</v>
      </c>
      <c r="AV307" s="58" t="str">
        <f t="shared" si="217"/>
        <v>1.23496632184338+0.327712277039759i</v>
      </c>
      <c r="AW307" s="64">
        <f t="shared" si="241"/>
        <v>2.1286307355500709</v>
      </c>
      <c r="AX307" s="61">
        <f t="shared" si="242"/>
        <v>14.861568320824869</v>
      </c>
    </row>
    <row r="308" spans="14:50" x14ac:dyDescent="0.35">
      <c r="N308" s="10">
        <v>90</v>
      </c>
      <c r="O308" s="50">
        <f t="shared" si="243"/>
        <v>7943.2823472428154</v>
      </c>
      <c r="P308" s="48" t="str">
        <f t="shared" si="208"/>
        <v>547.187404092767</v>
      </c>
      <c r="Q308" s="17" t="str">
        <f t="shared" si="209"/>
        <v>1+957.173530087132i</v>
      </c>
      <c r="R308" s="17">
        <f t="shared" si="218"/>
        <v>957.17405245830912</v>
      </c>
      <c r="S308" s="17">
        <f t="shared" si="219"/>
        <v>1.5697515845357994</v>
      </c>
      <c r="T308" s="17" t="str">
        <f t="shared" si="210"/>
        <v>1+0.0181115776079282i</v>
      </c>
      <c r="U308" s="17">
        <f t="shared" si="220"/>
        <v>1.0001640011735315</v>
      </c>
      <c r="V308" s="17">
        <f t="shared" si="221"/>
        <v>1.8109597621909456E-2</v>
      </c>
      <c r="W308" s="31" t="str">
        <f t="shared" si="211"/>
        <v>1-0.314512035636756i</v>
      </c>
      <c r="X308" s="17">
        <f t="shared" si="222"/>
        <v>1.0482928124147259</v>
      </c>
      <c r="Y308" s="17">
        <f t="shared" si="223"/>
        <v>-0.30471684583570491</v>
      </c>
      <c r="Z308" s="31" t="str">
        <f t="shared" si="212"/>
        <v>0.979141905967597+1.50483511133607i</v>
      </c>
      <c r="AA308" s="17">
        <f t="shared" si="224"/>
        <v>1.7953405204394235</v>
      </c>
      <c r="AB308" s="17">
        <f t="shared" si="225"/>
        <v>0.99395452324258882</v>
      </c>
      <c r="AC308" s="66" t="str">
        <f t="shared" si="226"/>
        <v>-0.319787908104761-0.0958745058470411i</v>
      </c>
      <c r="AD308" s="64">
        <f t="shared" si="227"/>
        <v>-9.5289566254322882</v>
      </c>
      <c r="AE308" s="61">
        <f t="shared" si="228"/>
        <v>-163.31092558812179</v>
      </c>
      <c r="AF308" s="31" t="str">
        <f t="shared" si="213"/>
        <v>-6627.51882264077</v>
      </c>
      <c r="AG308" s="31" t="str">
        <f t="shared" si="229"/>
        <v>49909.114934975i</v>
      </c>
      <c r="AH308" s="31">
        <f t="shared" si="230"/>
        <v>49909.114934974998</v>
      </c>
      <c r="AI308" s="31">
        <f t="shared" si="231"/>
        <v>1.5707963267948966</v>
      </c>
      <c r="AJ308" s="31" t="str">
        <f t="shared" si="214"/>
        <v>0.702733636606266+24.3628849099334i</v>
      </c>
      <c r="AK308" s="31">
        <f t="shared" si="232"/>
        <v>24.373017779886805</v>
      </c>
      <c r="AL308" s="31">
        <f t="shared" si="233"/>
        <v>1.5419598878983372</v>
      </c>
      <c r="AM308" s="31" t="str">
        <f t="shared" si="215"/>
        <v>1+28.9437930242401i</v>
      </c>
      <c r="AN308" s="31">
        <f t="shared" si="234"/>
        <v>28.961062733091303</v>
      </c>
      <c r="AO308" s="31">
        <f t="shared" si="235"/>
        <v>1.5362603421895606</v>
      </c>
      <c r="AP308" s="31" t="str">
        <f t="shared" si="216"/>
        <v>1+23.3574657895683i</v>
      </c>
      <c r="AQ308" s="31">
        <f t="shared" si="236"/>
        <v>23.37886242123114</v>
      </c>
      <c r="AR308" s="31">
        <f t="shared" si="237"/>
        <v>1.5280095921539771</v>
      </c>
      <c r="AS308" s="58" t="str">
        <f t="shared" si="238"/>
        <v>-3.68458831071303+0.178792112384426i</v>
      </c>
      <c r="AT308" s="49">
        <f t="shared" si="239"/>
        <v>11.337993315646283</v>
      </c>
      <c r="AU308" s="61">
        <f t="shared" si="240"/>
        <v>177.22194077167433</v>
      </c>
      <c r="AV308" s="58" t="str">
        <f t="shared" si="217"/>
        <v>1.19542839353438+0.296082527934349i</v>
      </c>
      <c r="AW308" s="64">
        <f t="shared" si="241"/>
        <v>1.8090366902139912</v>
      </c>
      <c r="AX308" s="61">
        <f t="shared" si="242"/>
        <v>13.911015183552539</v>
      </c>
    </row>
    <row r="309" spans="14:50" x14ac:dyDescent="0.35">
      <c r="N309" s="10">
        <v>91</v>
      </c>
      <c r="O309" s="50">
        <f t="shared" si="243"/>
        <v>8128.3051616410066</v>
      </c>
      <c r="P309" s="48" t="str">
        <f t="shared" si="208"/>
        <v>547.187404092767</v>
      </c>
      <c r="Q309" s="17" t="str">
        <f t="shared" si="209"/>
        <v>1+979.468965734796i</v>
      </c>
      <c r="R309" s="17">
        <f t="shared" si="218"/>
        <v>979.46947621535969</v>
      </c>
      <c r="S309" s="17">
        <f t="shared" si="219"/>
        <v>1.5697753657562832</v>
      </c>
      <c r="T309" s="17" t="str">
        <f t="shared" si="210"/>
        <v>1+0.018533450445342i</v>
      </c>
      <c r="U309" s="17">
        <f t="shared" si="220"/>
        <v>1.000171729647169</v>
      </c>
      <c r="V309" s="17">
        <f t="shared" si="221"/>
        <v>1.8531328871772567E-2</v>
      </c>
      <c r="W309" s="31" t="str">
        <f t="shared" si="211"/>
        <v>1-0.321837962055049i</v>
      </c>
      <c r="X309" s="17">
        <f t="shared" si="222"/>
        <v>1.0505140045804946</v>
      </c>
      <c r="Y309" s="17">
        <f t="shared" si="223"/>
        <v>-0.31136929096463295</v>
      </c>
      <c r="Z309" s="31" t="str">
        <f t="shared" si="212"/>
        <v>0.978158894280741+1.53988722396824i</v>
      </c>
      <c r="AA309" s="17">
        <f t="shared" si="224"/>
        <v>1.824293694831272</v>
      </c>
      <c r="AB309" s="17">
        <f t="shared" si="225"/>
        <v>1.0048853566146896</v>
      </c>
      <c r="AC309" s="66" t="str">
        <f t="shared" si="226"/>
        <v>-0.309745255593067-0.087091292537327i</v>
      </c>
      <c r="AD309" s="64">
        <f t="shared" si="227"/>
        <v>-9.8494630113993793</v>
      </c>
      <c r="AE309" s="61">
        <f t="shared" si="228"/>
        <v>-164.29557237909344</v>
      </c>
      <c r="AF309" s="31" t="str">
        <f t="shared" si="213"/>
        <v>-6627.51882264077</v>
      </c>
      <c r="AG309" s="31" t="str">
        <f t="shared" si="229"/>
        <v>51071.6475638948i</v>
      </c>
      <c r="AH309" s="31">
        <f t="shared" si="230"/>
        <v>51071.647563894803</v>
      </c>
      <c r="AI309" s="31">
        <f t="shared" si="231"/>
        <v>1.5707963267948966</v>
      </c>
      <c r="AJ309" s="31" t="str">
        <f t="shared" si="214"/>
        <v>0.688723904515146+24.9303694000774i</v>
      </c>
      <c r="AK309" s="31">
        <f t="shared" si="232"/>
        <v>24.93988089468284</v>
      </c>
      <c r="AL309" s="31">
        <f t="shared" si="233"/>
        <v>1.543177451017324</v>
      </c>
      <c r="AM309" s="31" t="str">
        <f t="shared" si="215"/>
        <v>1+29.6179805717295i</v>
      </c>
      <c r="AN309" s="31">
        <f t="shared" si="234"/>
        <v>29.63485740048948</v>
      </c>
      <c r="AO309" s="31">
        <f t="shared" si="235"/>
        <v>1.5370458733823134</v>
      </c>
      <c r="AP309" s="31" t="str">
        <f t="shared" si="216"/>
        <v>1+23.9015310599027i</v>
      </c>
      <c r="AQ309" s="31">
        <f t="shared" si="236"/>
        <v>23.922441075431529</v>
      </c>
      <c r="AR309" s="31">
        <f t="shared" si="237"/>
        <v>1.5289823891120977</v>
      </c>
      <c r="AS309" s="58" t="str">
        <f t="shared" si="238"/>
        <v>-3.68456055330926+0.176793644666116i</v>
      </c>
      <c r="AT309" s="49">
        <f t="shared" si="239"/>
        <v>11.337701234329634</v>
      </c>
      <c r="AU309" s="61">
        <f t="shared" si="240"/>
        <v>177.2529243257097</v>
      </c>
      <c r="AV309" s="58" t="str">
        <f t="shared" si="217"/>
        <v>1.15667233735927+0.266132148365416i</v>
      </c>
      <c r="AW309" s="64">
        <f t="shared" si="241"/>
        <v>1.4882382229302791</v>
      </c>
      <c r="AX309" s="61">
        <f t="shared" si="242"/>
        <v>12.957351946616184</v>
      </c>
    </row>
    <row r="310" spans="14:50" x14ac:dyDescent="0.35">
      <c r="N310" s="10">
        <v>92</v>
      </c>
      <c r="O310" s="50">
        <f t="shared" si="243"/>
        <v>8317.6377110267094</v>
      </c>
      <c r="P310" s="48" t="str">
        <f t="shared" si="208"/>
        <v>547.187404092767</v>
      </c>
      <c r="Q310" s="17" t="str">
        <f t="shared" si="209"/>
        <v>1+1002.28372879289i</v>
      </c>
      <c r="R310" s="17">
        <f t="shared" si="218"/>
        <v>1002.2842276535032</v>
      </c>
      <c r="S310" s="17">
        <f t="shared" si="219"/>
        <v>1.5697986056512157</v>
      </c>
      <c r="T310" s="17" t="str">
        <f t="shared" si="210"/>
        <v>1+0.0189651499635011i</v>
      </c>
      <c r="U310" s="17">
        <f t="shared" si="220"/>
        <v>1.0001798222885412</v>
      </c>
      <c r="V310" s="17">
        <f t="shared" si="221"/>
        <v>1.8962876678537782E-2</v>
      </c>
      <c r="W310" s="31" t="str">
        <f t="shared" si="211"/>
        <v>1-0.32933453122085i</v>
      </c>
      <c r="X310" s="17">
        <f t="shared" si="222"/>
        <v>1.052834855736861</v>
      </c>
      <c r="Y310" s="17">
        <f t="shared" si="223"/>
        <v>-0.31814732549085711</v>
      </c>
      <c r="Z310" s="31" t="str">
        <f t="shared" si="212"/>
        <v>0.977129554680366+1.57575580518936i</v>
      </c>
      <c r="AA310" s="17">
        <f t="shared" si="224"/>
        <v>1.8541274293364571</v>
      </c>
      <c r="AB310" s="17">
        <f t="shared" si="225"/>
        <v>1.0157268200174334</v>
      </c>
      <c r="AC310" s="66" t="str">
        <f t="shared" si="226"/>
        <v>-0.299884664361872-0.0787756462336666i</v>
      </c>
      <c r="AD310" s="64">
        <f t="shared" si="227"/>
        <v>-10.171120799726696</v>
      </c>
      <c r="AE310" s="61">
        <f t="shared" si="228"/>
        <v>-165.28170092747283</v>
      </c>
      <c r="AF310" s="31" t="str">
        <f t="shared" si="213"/>
        <v>-6627.51882264077</v>
      </c>
      <c r="AG310" s="31" t="str">
        <f t="shared" si="229"/>
        <v>52261.2590563659i</v>
      </c>
      <c r="AH310" s="31">
        <f t="shared" si="230"/>
        <v>52261.259056365903</v>
      </c>
      <c r="AI310" s="31">
        <f t="shared" si="231"/>
        <v>1.5707963267948966</v>
      </c>
      <c r="AJ310" s="31" t="str">
        <f t="shared" si="214"/>
        <v>0.674053914091993+25.5110723020697i</v>
      </c>
      <c r="AK310" s="31">
        <f t="shared" si="232"/>
        <v>25.51997567946589</v>
      </c>
      <c r="AL310" s="31">
        <f t="shared" si="233"/>
        <v>1.5443804586452874</v>
      </c>
      <c r="AM310" s="31" t="str">
        <f t="shared" si="215"/>
        <v>1+30.3078719645583i</v>
      </c>
      <c r="AN310" s="31">
        <f t="shared" si="234"/>
        <v>30.324364841164588</v>
      </c>
      <c r="AO310" s="31">
        <f t="shared" si="235"/>
        <v>1.5378135639672652</v>
      </c>
      <c r="AP310" s="31" t="str">
        <f t="shared" si="216"/>
        <v>1+24.4582692383792i</v>
      </c>
      <c r="AQ310" s="31">
        <f t="shared" si="236"/>
        <v>24.478703685796887</v>
      </c>
      <c r="AR310" s="31">
        <f t="shared" si="237"/>
        <v>1.5299331190304619</v>
      </c>
      <c r="AS310" s="58" t="str">
        <f t="shared" si="238"/>
        <v>-3.68453166135758+0.174888878015292i</v>
      </c>
      <c r="AT310" s="49">
        <f t="shared" si="239"/>
        <v>11.337419473216126</v>
      </c>
      <c r="AU310" s="61">
        <f t="shared" si="240"/>
        <v>177.28245530817409</v>
      </c>
      <c r="AV310" s="58" t="str">
        <f t="shared" si="217"/>
        <v>1.11871152498164+0.237804870207608i</v>
      </c>
      <c r="AW310" s="64">
        <f t="shared" si="241"/>
        <v>1.1662986734893979</v>
      </c>
      <c r="AX310" s="61">
        <f t="shared" si="242"/>
        <v>12.000754380701283</v>
      </c>
    </row>
    <row r="311" spans="14:50" x14ac:dyDescent="0.35">
      <c r="N311" s="10">
        <v>93</v>
      </c>
      <c r="O311" s="50">
        <f t="shared" si="243"/>
        <v>8511.3803820237772</v>
      </c>
      <c r="P311" s="48" t="str">
        <f t="shared" si="208"/>
        <v>547.187404092767</v>
      </c>
      <c r="Q311" s="17" t="str">
        <f t="shared" si="209"/>
        <v>1+1025.62991595079i</v>
      </c>
      <c r="R311" s="17">
        <f t="shared" si="218"/>
        <v>1025.6304034559548</v>
      </c>
      <c r="S311" s="17">
        <f t="shared" si="219"/>
        <v>1.5698213165425958</v>
      </c>
      <c r="T311" s="17" t="str">
        <f t="shared" si="210"/>
        <v>1+0.0194069050552043i</v>
      </c>
      <c r="U311" s="17">
        <f t="shared" si="220"/>
        <v>1.0001882962541713</v>
      </c>
      <c r="V311" s="17">
        <f t="shared" si="221"/>
        <v>1.9404469211246441E-2</v>
      </c>
      <c r="W311" s="31" t="str">
        <f t="shared" si="211"/>
        <v>1-0.337005717914363i</v>
      </c>
      <c r="X311" s="17">
        <f t="shared" si="222"/>
        <v>1.0552596144584399</v>
      </c>
      <c r="Y311" s="17">
        <f t="shared" si="223"/>
        <v>-0.32505205120120573</v>
      </c>
      <c r="Z311" s="31" t="str">
        <f t="shared" si="212"/>
        <v>0.976051703799174+1.61245987299599i</v>
      </c>
      <c r="AA311" s="17">
        <f t="shared" si="224"/>
        <v>1.8848617377705756</v>
      </c>
      <c r="AB311" s="17">
        <f t="shared" si="225"/>
        <v>1.0264753789051626</v>
      </c>
      <c r="AC311" s="66" t="str">
        <f t="shared" si="226"/>
        <v>-0.290211422919239-0.0709114354417621i</v>
      </c>
      <c r="AD311" s="64">
        <f t="shared" si="227"/>
        <v>-10.493864144772759</v>
      </c>
      <c r="AE311" s="61">
        <f t="shared" si="228"/>
        <v>-166.2691594793225</v>
      </c>
      <c r="AF311" s="31" t="str">
        <f t="shared" si="213"/>
        <v>-6627.51882264077</v>
      </c>
      <c r="AG311" s="31" t="str">
        <f t="shared" si="229"/>
        <v>53478.5801601484i</v>
      </c>
      <c r="AH311" s="31">
        <f t="shared" si="230"/>
        <v>53478.580160148398</v>
      </c>
      <c r="AI311" s="31">
        <f t="shared" si="231"/>
        <v>1.5707963267948966</v>
      </c>
      <c r="AJ311" s="31" t="str">
        <f t="shared" si="214"/>
        <v>0.658692548320274+26.1053015122756i</v>
      </c>
      <c r="AK311" s="31">
        <f t="shared" si="232"/>
        <v>26.113610300378447</v>
      </c>
      <c r="AL311" s="31">
        <f t="shared" si="233"/>
        <v>1.5455695423622977</v>
      </c>
      <c r="AM311" s="31" t="str">
        <f t="shared" si="215"/>
        <v>1+31.0138329922749i</v>
      </c>
      <c r="AN311" s="31">
        <f t="shared" si="234"/>
        <v>31.029950642447357</v>
      </c>
      <c r="AO311" s="31">
        <f t="shared" si="235"/>
        <v>1.5385638173625567</v>
      </c>
      <c r="AP311" s="31" t="str">
        <f t="shared" si="216"/>
        <v>1+25.0279755149494i</v>
      </c>
      <c r="AQ311" s="31">
        <f t="shared" si="236"/>
        <v>25.047945192708053</v>
      </c>
      <c r="AR311" s="31">
        <f t="shared" si="237"/>
        <v>1.5308622791199165</v>
      </c>
      <c r="AS311" s="58" t="str">
        <f t="shared" si="238"/>
        <v>-3.68450157366535+0.173076800773117i</v>
      </c>
      <c r="AT311" s="49">
        <f t="shared" si="239"/>
        <v>11.337147436829847</v>
      </c>
      <c r="AU311" s="61">
        <f t="shared" si="240"/>
        <v>177.31054913443498</v>
      </c>
      <c r="AV311" s="58" t="str">
        <f t="shared" si="217"/>
        <v>1.08155756882609+0.211044430849365i</v>
      </c>
      <c r="AW311" s="64">
        <f t="shared" si="241"/>
        <v>0.84328329205711761</v>
      </c>
      <c r="AX311" s="61">
        <f t="shared" si="242"/>
        <v>11.041389655112416</v>
      </c>
    </row>
    <row r="312" spans="14:50" x14ac:dyDescent="0.35">
      <c r="N312" s="10">
        <v>94</v>
      </c>
      <c r="O312" s="50">
        <f t="shared" si="243"/>
        <v>8709.6358995608189</v>
      </c>
      <c r="P312" s="48" t="str">
        <f t="shared" si="208"/>
        <v>547.187404092767</v>
      </c>
      <c r="Q312" s="17" t="str">
        <f t="shared" si="209"/>
        <v>1+1049.51990566594i</v>
      </c>
      <c r="R312" s="17">
        <f t="shared" si="218"/>
        <v>1049.5203820741376</v>
      </c>
      <c r="S312" s="17">
        <f t="shared" si="219"/>
        <v>1.5698435104719457</v>
      </c>
      <c r="T312" s="17" t="str">
        <f t="shared" si="210"/>
        <v>1+0.0198589499448485i</v>
      </c>
      <c r="U312" s="17">
        <f t="shared" si="220"/>
        <v>1.0001971695085485</v>
      </c>
      <c r="V312" s="17">
        <f t="shared" si="221"/>
        <v>1.9856339918811045E-2</v>
      </c>
      <c r="W312" s="31" t="str">
        <f t="shared" si="211"/>
        <v>1-0.344855589500312i</v>
      </c>
      <c r="X312" s="17">
        <f t="shared" si="222"/>
        <v>1.057792691225274</v>
      </c>
      <c r="Y312" s="17">
        <f t="shared" si="223"/>
        <v>-0.33208449471239976</v>
      </c>
      <c r="Z312" s="31" t="str">
        <f t="shared" si="212"/>
        <v>0.974923055370936+1.65001888837071i</v>
      </c>
      <c r="AA312" s="17">
        <f t="shared" si="224"/>
        <v>1.9165169698893656</v>
      </c>
      <c r="AB312" s="17">
        <f t="shared" si="225"/>
        <v>1.0371277135895414</v>
      </c>
      <c r="AC312" s="66" t="str">
        <f t="shared" si="226"/>
        <v>-0.280730227821418-0.0634825718323203i</v>
      </c>
      <c r="AD312" s="64">
        <f t="shared" si="227"/>
        <v>-10.817625429243341</v>
      </c>
      <c r="AE312" s="61">
        <f t="shared" si="228"/>
        <v>-167.25780396560725</v>
      </c>
      <c r="AF312" s="31" t="str">
        <f t="shared" si="213"/>
        <v>-6627.51882264077</v>
      </c>
      <c r="AG312" s="31" t="str">
        <f t="shared" si="229"/>
        <v>54724.2563150044i</v>
      </c>
      <c r="AH312" s="31">
        <f t="shared" si="230"/>
        <v>54724.256315004401</v>
      </c>
      <c r="AI312" s="31">
        <f t="shared" si="231"/>
        <v>1.5707963267948966</v>
      </c>
      <c r="AJ312" s="31" t="str">
        <f t="shared" si="214"/>
        <v>0.642607223683656+26.7133720988878i</v>
      </c>
      <c r="AK312" s="31">
        <f t="shared" si="232"/>
        <v>26.721100144596736</v>
      </c>
      <c r="AL312" s="31">
        <f t="shared" si="233"/>
        <v>1.5467453267558584</v>
      </c>
      <c r="AM312" s="31" t="str">
        <f t="shared" si="215"/>
        <v>1+31.7362379647605i</v>
      </c>
      <c r="AN312" s="31">
        <f t="shared" si="234"/>
        <v>31.751988916537275</v>
      </c>
      <c r="AO312" s="31">
        <f t="shared" si="235"/>
        <v>1.539297027982115</v>
      </c>
      <c r="AP312" s="31" t="str">
        <f t="shared" si="216"/>
        <v>1+25.610951955422i</v>
      </c>
      <c r="AQ312" s="31">
        <f t="shared" si="236"/>
        <v>25.630467417956584</v>
      </c>
      <c r="AR312" s="31">
        <f t="shared" si="237"/>
        <v>1.531770355612343</v>
      </c>
      <c r="AS312" s="58" t="str">
        <f t="shared" si="238"/>
        <v>-3.68447022650568+0.171356450240164i</v>
      </c>
      <c r="AT312" s="49">
        <f t="shared" si="239"/>
        <v>11.336884550136915</v>
      </c>
      <c r="AU312" s="61">
        <f t="shared" si="240"/>
        <v>177.33722047555253</v>
      </c>
      <c r="AV312" s="58" t="str">
        <f t="shared" si="217"/>
        <v>1.04522031424947+0.185794710503602i</v>
      </c>
      <c r="AW312" s="64">
        <f t="shared" si="241"/>
        <v>0.51925912089354542</v>
      </c>
      <c r="AX312" s="61">
        <f t="shared" si="242"/>
        <v>10.07941650994532</v>
      </c>
    </row>
    <row r="313" spans="14:50" x14ac:dyDescent="0.35">
      <c r="N313" s="10">
        <v>95</v>
      </c>
      <c r="O313" s="50">
        <f t="shared" si="243"/>
        <v>8912.5093813374679</v>
      </c>
      <c r="P313" s="48" t="str">
        <f t="shared" si="208"/>
        <v>547.187404092767</v>
      </c>
      <c r="Q313" s="17" t="str">
        <f t="shared" si="209"/>
        <v>1+1073.96636472712i</v>
      </c>
      <c r="R313" s="17">
        <f t="shared" si="218"/>
        <v>1073.9668302909479</v>
      </c>
      <c r="S313" s="17">
        <f t="shared" si="219"/>
        <v>1.5698651992066928</v>
      </c>
      <c r="T313" s="17" t="str">
        <f t="shared" si="210"/>
        <v>1+0.0203215243126177i</v>
      </c>
      <c r="U313" s="17">
        <f t="shared" si="220"/>
        <v>1.0002064608621504</v>
      </c>
      <c r="V313" s="17">
        <f t="shared" si="221"/>
        <v>2.0318727650509166E-2</v>
      </c>
      <c r="W313" s="31" t="str">
        <f t="shared" si="211"/>
        <v>1-0.352888308084518i</v>
      </c>
      <c r="X313" s="17">
        <f t="shared" si="222"/>
        <v>1.0604386629988336</v>
      </c>
      <c r="Y313" s="17">
        <f t="shared" si="223"/>
        <v>-0.33924560147840144</v>
      </c>
      <c r="Z313" s="31" t="str">
        <f t="shared" si="212"/>
        <v>0.973741215381015+1.68845276560063i</v>
      </c>
      <c r="AA313" s="17">
        <f t="shared" si="224"/>
        <v>1.9491138233043532</v>
      </c>
      <c r="AB313" s="17">
        <f t="shared" si="225"/>
        <v>1.0476807213397696</v>
      </c>
      <c r="AC313" s="66" t="str">
        <f t="shared" si="226"/>
        <v>-0.271445188989488-0.0564730480812382i</v>
      </c>
      <c r="AD313" s="64">
        <f t="shared" si="227"/>
        <v>-11.142335383141223</v>
      </c>
      <c r="AE313" s="61">
        <f t="shared" si="228"/>
        <v>-168.24749777263773</v>
      </c>
      <c r="AF313" s="31" t="str">
        <f t="shared" si="213"/>
        <v>-6627.51882264077</v>
      </c>
      <c r="AG313" s="31" t="str">
        <f t="shared" si="229"/>
        <v>55998.9479949198i</v>
      </c>
      <c r="AH313" s="31">
        <f t="shared" si="230"/>
        <v>55998.947994919799</v>
      </c>
      <c r="AI313" s="31">
        <f t="shared" si="231"/>
        <v>1.5707963267948966</v>
      </c>
      <c r="AJ313" s="31" t="str">
        <f t="shared" si="214"/>
        <v>0.625763821051987+27.3356064689801i</v>
      </c>
      <c r="AK313" s="31">
        <f t="shared" si="232"/>
        <v>27.342767990579969</v>
      </c>
      <c r="AL313" s="31">
        <f t="shared" si="233"/>
        <v>1.5479084297242185</v>
      </c>
      <c r="AM313" s="31" t="str">
        <f t="shared" si="215"/>
        <v>1+32.4754699106939i</v>
      </c>
      <c r="AN313" s="31">
        <f t="shared" si="234"/>
        <v>32.49086249886858</v>
      </c>
      <c r="AO313" s="31">
        <f t="shared" si="235"/>
        <v>1.5400135814287337</v>
      </c>
      <c r="AP313" s="31" t="str">
        <f t="shared" si="216"/>
        <v>1+26.2075076616224i</v>
      </c>
      <c r="AQ313" s="31">
        <f t="shared" si="236"/>
        <v>26.226579224786384</v>
      </c>
      <c r="AR313" s="31">
        <f t="shared" si="237"/>
        <v>1.5326578239880808</v>
      </c>
      <c r="AS313" s="58" t="str">
        <f t="shared" si="238"/>
        <v>-3.68443755348326+0.16972691215685i</v>
      </c>
      <c r="AT313" s="49">
        <f t="shared" si="239"/>
        <v>11.336630257343066</v>
      </c>
      <c r="AU313" s="61">
        <f t="shared" si="240"/>
        <v>177.36248326499427</v>
      </c>
      <c r="AV313" s="58" t="str">
        <f t="shared" si="217"/>
        <v>1.00970784409614+0.161999865363161i</v>
      </c>
      <c r="AW313" s="64">
        <f t="shared" si="241"/>
        <v>0.19429487420180963</v>
      </c>
      <c r="AX313" s="61">
        <f t="shared" si="242"/>
        <v>9.1149854923566007</v>
      </c>
    </row>
    <row r="314" spans="14:50" x14ac:dyDescent="0.35">
      <c r="N314" s="10">
        <v>96</v>
      </c>
      <c r="O314" s="50">
        <f t="shared" si="243"/>
        <v>9120.1083935591087</v>
      </c>
      <c r="P314" s="48" t="str">
        <f t="shared" si="208"/>
        <v>547.187404092767</v>
      </c>
      <c r="Q314" s="17" t="str">
        <f t="shared" si="209"/>
        <v>1+1098.9822549705i</v>
      </c>
      <c r="R314" s="17">
        <f t="shared" si="218"/>
        <v>1098.9827099368056</v>
      </c>
      <c r="S314" s="17">
        <f t="shared" si="219"/>
        <v>1.5698863942464094</v>
      </c>
      <c r="T314" s="17" t="str">
        <f t="shared" si="210"/>
        <v>1+0.0207948734215646i</v>
      </c>
      <c r="U314" s="17">
        <f t="shared" si="220"/>
        <v>1.000216190011249</v>
      </c>
      <c r="V314" s="17">
        <f t="shared" si="221"/>
        <v>2.0791876779106166E-2</v>
      </c>
      <c r="W314" s="31" t="str">
        <f t="shared" si="211"/>
        <v>1-0.361108132720699i</v>
      </c>
      <c r="X314" s="17">
        <f t="shared" si="222"/>
        <v>1.0632022777990224</v>
      </c>
      <c r="Y314" s="17">
        <f t="shared" si="223"/>
        <v>-0.34653622962326153</v>
      </c>
      <c r="Z314" s="31" t="str">
        <f t="shared" si="212"/>
        <v>0.972503676988341+1.72778188283618i</v>
      </c>
      <c r="AA314" s="17">
        <f t="shared" si="224"/>
        <v>1.9826733559547265</v>
      </c>
      <c r="AB314" s="17">
        <f t="shared" si="225"/>
        <v>1.0581315175780828</v>
      </c>
      <c r="AC314" s="66" t="str">
        <f t="shared" si="226"/>
        <v>-0.262359838138228-0.0498669742582577i</v>
      </c>
      <c r="AD314" s="64">
        <f t="shared" si="227"/>
        <v>-11.467923204204842</v>
      </c>
      <c r="AE314" s="61">
        <f t="shared" si="228"/>
        <v>-169.23811145051738</v>
      </c>
      <c r="AF314" s="31" t="str">
        <f t="shared" si="213"/>
        <v>-6627.51882264077</v>
      </c>
      <c r="AG314" s="31" t="str">
        <f t="shared" si="229"/>
        <v>57303.3310582958i</v>
      </c>
      <c r="AH314" s="31">
        <f t="shared" si="230"/>
        <v>57303.3310582958</v>
      </c>
      <c r="AI314" s="31">
        <f t="shared" si="231"/>
        <v>1.5707963267948966</v>
      </c>
      <c r="AJ314" s="31" t="str">
        <f t="shared" si="214"/>
        <v>0.608126613310051+27.9723345394518i</v>
      </c>
      <c r="AK314" s="31">
        <f t="shared" si="232"/>
        <v>27.978944182453059</v>
      </c>
      <c r="AL314" s="31">
        <f t="shared" si="233"/>
        <v>1.5490594627778433</v>
      </c>
      <c r="AM314" s="31" t="str">
        <f t="shared" si="215"/>
        <v>1+33.2319207806375i</v>
      </c>
      <c r="AN314" s="31">
        <f t="shared" si="234"/>
        <v>33.246963151099479</v>
      </c>
      <c r="AO314" s="31">
        <f t="shared" si="235"/>
        <v>1.540713854683543</v>
      </c>
      <c r="AP314" s="31" t="str">
        <f t="shared" si="216"/>
        <v>1+26.8179589352824i</v>
      </c>
      <c r="AQ314" s="31">
        <f t="shared" si="236"/>
        <v>26.836596681667611</v>
      </c>
      <c r="AR314" s="31">
        <f t="shared" si="237"/>
        <v>1.533525149199658</v>
      </c>
      <c r="AS314" s="58" t="str">
        <f t="shared" si="238"/>
        <v>-3.68440348539411+0.168187320208622i</v>
      </c>
      <c r="AT314" s="49">
        <f t="shared" si="239"/>
        <v>11.336384020729637</v>
      </c>
      <c r="AU314" s="61">
        <f t="shared" si="240"/>
        <v>177.38635070503665</v>
      </c>
      <c r="AV314" s="58" t="str">
        <f t="shared" si="217"/>
        <v>0.975026494831331+0.139604455656347i</v>
      </c>
      <c r="AW314" s="64">
        <f t="shared" si="241"/>
        <v>-0.13153918347519894</v>
      </c>
      <c r="AX314" s="61">
        <f t="shared" si="242"/>
        <v>8.1482392545192877</v>
      </c>
    </row>
    <row r="315" spans="14:50" x14ac:dyDescent="0.35">
      <c r="N315" s="10">
        <v>97</v>
      </c>
      <c r="O315" s="50">
        <f t="shared" si="243"/>
        <v>9332.5430079699217</v>
      </c>
      <c r="P315" s="48" t="str">
        <f t="shared" si="208"/>
        <v>547.187404092767</v>
      </c>
      <c r="Q315" s="17" t="str">
        <f t="shared" si="209"/>
        <v>1+1124.58084015221i</v>
      </c>
      <c r="R315" s="17">
        <f t="shared" si="218"/>
        <v>1124.5812847622221</v>
      </c>
      <c r="S315" s="17">
        <f t="shared" si="219"/>
        <v>1.5699071068289101</v>
      </c>
      <c r="T315" s="17" t="str">
        <f t="shared" si="210"/>
        <v>1+0.0212792482476524i</v>
      </c>
      <c r="U315" s="17">
        <f t="shared" si="220"/>
        <v>1.0002263775795883</v>
      </c>
      <c r="V315" s="17">
        <f t="shared" si="221"/>
        <v>2.1276037326655596E-2</v>
      </c>
      <c r="W315" s="31" t="str">
        <f t="shared" si="211"/>
        <v>1-0.369519421668679i</v>
      </c>
      <c r="X315" s="17">
        <f t="shared" si="222"/>
        <v>1.0660884592707844</v>
      </c>
      <c r="Y315" s="17">
        <f t="shared" si="223"/>
        <v>-0.35395714361276354</v>
      </c>
      <c r="Z315" s="31" t="str">
        <f t="shared" si="212"/>
        <v>0.971207815208063+1.76802709289591i</v>
      </c>
      <c r="AA315" s="17">
        <f t="shared" si="224"/>
        <v>2.0172169991191287</v>
      </c>
      <c r="AB315" s="17">
        <f t="shared" si="225"/>
        <v>1.0684774362074974</v>
      </c>
      <c r="AC315" s="66" t="str">
        <f t="shared" si="226"/>
        <v>-0.253477140077022-0.0436486125283574i</v>
      </c>
      <c r="AD315" s="64">
        <f t="shared" si="227"/>
        <v>-11.794316679460984</v>
      </c>
      <c r="AE315" s="61">
        <f t="shared" si="228"/>
        <v>-170.22952236247565</v>
      </c>
      <c r="AF315" s="31" t="str">
        <f t="shared" si="213"/>
        <v>-6627.51882264077</v>
      </c>
      <c r="AG315" s="31" t="str">
        <f t="shared" si="229"/>
        <v>58638.0971062981i</v>
      </c>
      <c r="AH315" s="31">
        <f t="shared" si="230"/>
        <v>58638.097106298097</v>
      </c>
      <c r="AI315" s="31">
        <f t="shared" si="231"/>
        <v>1.5707963267948966</v>
      </c>
      <c r="AJ315" s="31" t="str">
        <f t="shared" si="214"/>
        <v>0.589658189575565+28.6238939119539i</v>
      </c>
      <c r="AK315" s="31">
        <f t="shared" si="232"/>
        <v>28.629966808631217</v>
      </c>
      <c r="AL315" s="31">
        <f t="shared" si="233"/>
        <v>1.5501990313390803</v>
      </c>
      <c r="AM315" s="31" t="str">
        <f t="shared" si="215"/>
        <v>1+34.0059916548555i</v>
      </c>
      <c r="AN315" s="31">
        <f t="shared" si="234"/>
        <v>34.020691768835356</v>
      </c>
      <c r="AO315" s="31">
        <f t="shared" si="235"/>
        <v>1.5413982162919058</v>
      </c>
      <c r="AP315" s="31" t="str">
        <f t="shared" si="216"/>
        <v>1+27.4426294457475i</v>
      </c>
      <c r="AQ315" s="31">
        <f t="shared" si="236"/>
        <v>27.460843229890223</v>
      </c>
      <c r="AR315" s="31">
        <f t="shared" si="237"/>
        <v>1.5343727858918186</v>
      </c>
      <c r="AS315" s="58" t="str">
        <f t="shared" si="238"/>
        <v>-3.68436795007979+0.166736855555578i</v>
      </c>
      <c r="AT315" s="49">
        <f t="shared" si="239"/>
        <v>11.336145319527471</v>
      </c>
      <c r="AU315" s="61">
        <f t="shared" si="240"/>
        <v>177.40883527285317</v>
      </c>
      <c r="AV315" s="58" t="str">
        <f t="shared" si="217"/>
        <v>0.941180883380007+0.118553567773268i</v>
      </c>
      <c r="AW315" s="64">
        <f t="shared" si="241"/>
        <v>-0.45817135993351604</v>
      </c>
      <c r="AX315" s="61">
        <f t="shared" si="242"/>
        <v>7.1793129103775355</v>
      </c>
    </row>
    <row r="316" spans="14:50" x14ac:dyDescent="0.35">
      <c r="N316" s="10">
        <v>98</v>
      </c>
      <c r="O316" s="50">
        <f t="shared" si="243"/>
        <v>9549.9258602143691</v>
      </c>
      <c r="P316" s="48" t="str">
        <f t="shared" si="208"/>
        <v>547.187404092767</v>
      </c>
      <c r="Q316" s="17" t="str">
        <f t="shared" si="209"/>
        <v>1+1150.77569298096i</v>
      </c>
      <c r="R316" s="17">
        <f t="shared" si="218"/>
        <v>1150.7761274704167</v>
      </c>
      <c r="S316" s="17">
        <f t="shared" si="219"/>
        <v>1.569927347936209</v>
      </c>
      <c r="T316" s="17" t="str">
        <f t="shared" si="210"/>
        <v>1+0.0217749056128252i</v>
      </c>
      <c r="U316" s="17">
        <f t="shared" si="220"/>
        <v>1.0002370451620193</v>
      </c>
      <c r="V316" s="17">
        <f t="shared" si="221"/>
        <v>2.1771465093025542E-2</v>
      </c>
      <c r="W316" s="31" t="str">
        <f t="shared" si="211"/>
        <v>1-0.378126634705197i</v>
      </c>
      <c r="X316" s="17">
        <f t="shared" si="222"/>
        <v>1.0691023112281992</v>
      </c>
      <c r="Y316" s="17">
        <f t="shared" si="223"/>
        <v>-0.36150900778050554</v>
      </c>
      <c r="Z316" s="31" t="str">
        <f t="shared" si="212"/>
        <v>0.969850881343606+1.8092097343229i</v>
      </c>
      <c r="AA316" s="17">
        <f t="shared" si="224"/>
        <v>2.0527665709504594</v>
      </c>
      <c r="AB316" s="17">
        <f t="shared" si="225"/>
        <v>1.0787160291135329</v>
      </c>
      <c r="AC316" s="66" t="str">
        <f t="shared" si="226"/>
        <v>-0.244799506627737-0.0378024099640111i</v>
      </c>
      <c r="AD316" s="64">
        <f t="shared" si="227"/>
        <v>-12.121442307564044</v>
      </c>
      <c r="AE316" s="61">
        <f t="shared" si="228"/>
        <v>-171.22161427836593</v>
      </c>
      <c r="AF316" s="31" t="str">
        <f t="shared" si="213"/>
        <v>-6627.51882264077</v>
      </c>
      <c r="AG316" s="31" t="str">
        <f t="shared" si="229"/>
        <v>60003.9538495533i</v>
      </c>
      <c r="AH316" s="31">
        <f t="shared" si="230"/>
        <v>60003.953849553298</v>
      </c>
      <c r="AI316" s="31">
        <f t="shared" si="231"/>
        <v>1.5707963267948966</v>
      </c>
      <c r="AJ316" s="31" t="str">
        <f t="shared" si="214"/>
        <v>0.570319375845684+29.2906300518902i</v>
      </c>
      <c r="AK316" s="31">
        <f t="shared" si="232"/>
        <v>29.296181884797857</v>
      </c>
      <c r="AL316" s="31">
        <f t="shared" si="233"/>
        <v>1.5513277350400678</v>
      </c>
      <c r="AM316" s="31" t="str">
        <f t="shared" si="215"/>
        <v>1+34.7980929559715i</v>
      </c>
      <c r="AN316" s="31">
        <f t="shared" si="234"/>
        <v>34.812458594193451</v>
      </c>
      <c r="AO316" s="31">
        <f t="shared" si="235"/>
        <v>1.5420670265457677</v>
      </c>
      <c r="AP316" s="31" t="str">
        <f t="shared" si="216"/>
        <v>1+28.0818504015909i</v>
      </c>
      <c r="AQ316" s="31">
        <f t="shared" si="236"/>
        <v>28.09964985506636</v>
      </c>
      <c r="AR316" s="31">
        <f t="shared" si="237"/>
        <v>1.535201178617841</v>
      </c>
      <c r="AS316" s="58" t="str">
        <f t="shared" si="238"/>
        <v>-3.68433087227515+0.165374746386256i</v>
      </c>
      <c r="AT316" s="49">
        <f t="shared" si="239"/>
        <v>11.335913648825045</v>
      </c>
      <c r="AU316" s="61">
        <f t="shared" si="240"/>
        <v>177.42994872628759</v>
      </c>
      <c r="AV316" s="58" t="str">
        <f t="shared" si="217"/>
        <v>0.908173943746884+0.0987929297527652i</v>
      </c>
      <c r="AW316" s="64">
        <f t="shared" si="241"/>
        <v>-0.78552865873900191</v>
      </c>
      <c r="AX316" s="61">
        <f t="shared" si="242"/>
        <v>6.2083344479216303</v>
      </c>
    </row>
    <row r="317" spans="14:50" x14ac:dyDescent="0.35">
      <c r="N317" s="10">
        <v>99</v>
      </c>
      <c r="O317" s="50">
        <f t="shared" si="243"/>
        <v>9772.3722095581161</v>
      </c>
      <c r="P317" s="48" t="str">
        <f t="shared" si="208"/>
        <v>547.187404092767</v>
      </c>
      <c r="Q317" s="17" t="str">
        <f t="shared" si="209"/>
        <v>1+1177.58070231445i</v>
      </c>
      <c r="R317" s="17">
        <f t="shared" si="218"/>
        <v>1177.5811269137228</v>
      </c>
      <c r="S317" s="17">
        <f t="shared" si="219"/>
        <v>1.5699471283003432</v>
      </c>
      <c r="T317" s="17" t="str">
        <f t="shared" si="210"/>
        <v>1+0.0222821083211789i</v>
      </c>
      <c r="U317" s="17">
        <f t="shared" si="220"/>
        <v>1.0002482153701833</v>
      </c>
      <c r="V317" s="17">
        <f t="shared" si="221"/>
        <v>2.2278421787201193E-2</v>
      </c>
      <c r="W317" s="31" t="str">
        <f t="shared" si="211"/>
        <v>1-0.386934335488533i</v>
      </c>
      <c r="X317" s="17">
        <f t="shared" si="222"/>
        <v>1.072249122163293</v>
      </c>
      <c r="Y317" s="17">
        <f t="shared" si="223"/>
        <v>-0.36919237972655616</v>
      </c>
      <c r="Z317" s="31" t="str">
        <f t="shared" si="212"/>
        <v>0.968429997156316+1.85135164269875i</v>
      </c>
      <c r="AA317" s="17">
        <f t="shared" si="224"/>
        <v>2.0893442905168937</v>
      </c>
      <c r="AB317" s="17">
        <f t="shared" si="225"/>
        <v>1.088845064885805</v>
      </c>
      <c r="AC317" s="66" t="str">
        <f t="shared" si="226"/>
        <v>-0.236328812894159-0.0323130293003584i</v>
      </c>
      <c r="AD317" s="64">
        <f t="shared" si="227"/>
        <v>-12.449225421643806</v>
      </c>
      <c r="AE317" s="61">
        <f t="shared" si="228"/>
        <v>-172.21427691600218</v>
      </c>
      <c r="AF317" s="31" t="str">
        <f t="shared" si="213"/>
        <v>-6627.51882264077</v>
      </c>
      <c r="AG317" s="31" t="str">
        <f t="shared" si="229"/>
        <v>61401.6254833857i</v>
      </c>
      <c r="AH317" s="31">
        <f t="shared" si="230"/>
        <v>61401.625483385702</v>
      </c>
      <c r="AI317" s="31">
        <f t="shared" si="231"/>
        <v>1.5707963267948966</v>
      </c>
      <c r="AJ317" s="31" t="str">
        <f t="shared" si="214"/>
        <v>0.550069151903686+29.9728964715873i</v>
      </c>
      <c r="AK317" s="31">
        <f t="shared" si="232"/>
        <v>29.977943541349976</v>
      </c>
      <c r="AL317" s="31">
        <f t="shared" si="233"/>
        <v>1.5524461680189312</v>
      </c>
      <c r="AM317" s="31" t="str">
        <f t="shared" si="215"/>
        <v>1+35.6086446665799i</v>
      </c>
      <c r="AN317" s="31">
        <f t="shared" si="234"/>
        <v>35.622683433323054</v>
      </c>
      <c r="AO317" s="31">
        <f t="shared" si="235"/>
        <v>1.5427206376624993</v>
      </c>
      <c r="AP317" s="31" t="str">
        <f t="shared" si="216"/>
        <v>1+28.7359607262245i</v>
      </c>
      <c r="AQ317" s="31">
        <f t="shared" si="236"/>
        <v>28.753355262631821</v>
      </c>
      <c r="AR317" s="31">
        <f t="shared" si="237"/>
        <v>1.5360107620521435</v>
      </c>
      <c r="AS317" s="58" t="str">
        <f t="shared" si="238"/>
        <v>-3.68429217344964+0.164100267495257i</v>
      </c>
      <c r="AT317" s="49">
        <f t="shared" si="239"/>
        <v>11.335688518509464</v>
      </c>
      <c r="AU317" s="61">
        <f t="shared" si="240"/>
        <v>177.44970210931123</v>
      </c>
      <c r="AV317" s="58" t="str">
        <f t="shared" si="217"/>
        <v>0.876006972458365+0.0802690195389913i</v>
      </c>
      <c r="AW317" s="64">
        <f t="shared" si="241"/>
        <v>-1.1135369031343461</v>
      </c>
      <c r="AX317" s="61">
        <f t="shared" si="242"/>
        <v>5.2354251933090721</v>
      </c>
    </row>
    <row r="318" spans="14:50" x14ac:dyDescent="0.35">
      <c r="N318" s="10">
        <v>100</v>
      </c>
      <c r="O318" s="50">
        <f t="shared" si="243"/>
        <v>10000</v>
      </c>
      <c r="P318" s="48" t="str">
        <f t="shared" si="208"/>
        <v>547.187404092767</v>
      </c>
      <c r="Q318" s="17" t="str">
        <f t="shared" si="209"/>
        <v>1+1205.01008052342i</v>
      </c>
      <c r="R318" s="17">
        <f t="shared" si="218"/>
        <v>1205.0104954576368</v>
      </c>
      <c r="S318" s="17">
        <f t="shared" si="219"/>
        <v>1.5699664584090611</v>
      </c>
      <c r="T318" s="17" t="str">
        <f t="shared" si="210"/>
        <v>1+0.022801125298303i</v>
      </c>
      <c r="U318" s="17">
        <f t="shared" si="220"/>
        <v>1.0002599118803417</v>
      </c>
      <c r="V318" s="17">
        <f t="shared" si="221"/>
        <v>2.2797175161410981E-2</v>
      </c>
      <c r="W318" s="31" t="str">
        <f t="shared" si="211"/>
        <v>1-0.395947193978226i</v>
      </c>
      <c r="X318" s="17">
        <f t="shared" si="222"/>
        <v>1.0755343697061619</v>
      </c>
      <c r="Y318" s="17">
        <f t="shared" si="223"/>
        <v>-0.37700770360946778</v>
      </c>
      <c r="Z318" s="31" t="str">
        <f t="shared" si="212"/>
        <v>0.96694214876033+1.89447516222109i</v>
      </c>
      <c r="AA318" s="17">
        <f t="shared" si="224"/>
        <v>2.1269727923323019</v>
      </c>
      <c r="AB318" s="17">
        <f t="shared" si="225"/>
        <v>1.0988625268086714</v>
      </c>
      <c r="AC318" s="66" t="str">
        <f t="shared" si="226"/>
        <v>-0.228066415611418-0.0271653774990142i</v>
      </c>
      <c r="AD318" s="64">
        <f t="shared" si="227"/>
        <v>-12.777590312436324</v>
      </c>
      <c r="AE318" s="61">
        <f t="shared" si="228"/>
        <v>-173.20740543433047</v>
      </c>
      <c r="AF318" s="31" t="str">
        <f t="shared" si="213"/>
        <v>-6627.51882264077</v>
      </c>
      <c r="AG318" s="31" t="str">
        <f t="shared" si="229"/>
        <v>62831.8530717959i</v>
      </c>
      <c r="AH318" s="31">
        <f t="shared" si="230"/>
        <v>62831.8530717959</v>
      </c>
      <c r="AI318" s="31">
        <f t="shared" si="231"/>
        <v>1.5707963267948966</v>
      </c>
      <c r="AJ318" s="31" t="str">
        <f t="shared" si="214"/>
        <v>0.528864564309598+30.6710549177318i</v>
      </c>
      <c r="AK318" s="31">
        <f t="shared" si="232"/>
        <v>30.675614215430187</v>
      </c>
      <c r="AL318" s="31">
        <f t="shared" si="233"/>
        <v>1.5535549192143272</v>
      </c>
      <c r="AM318" s="31" t="str">
        <f t="shared" si="215"/>
        <v>1+36.4380765519266i</v>
      </c>
      <c r="AN318" s="31">
        <f t="shared" si="234"/>
        <v>36.451795878997004</v>
      </c>
      <c r="AO318" s="31">
        <f t="shared" si="235"/>
        <v>1.5433593939602672</v>
      </c>
      <c r="AP318" s="31" t="str">
        <f t="shared" si="216"/>
        <v>1+29.4053072376004i</v>
      </c>
      <c r="AQ318" s="31">
        <f t="shared" si="236"/>
        <v>29.422306057440064</v>
      </c>
      <c r="AR318" s="31">
        <f t="shared" si="237"/>
        <v>1.5368019611991819</v>
      </c>
      <c r="AS318" s="58" t="str">
        <f t="shared" si="238"/>
        <v>-3.68425177164171+0.162912739884438i</v>
      </c>
      <c r="AT318" s="49">
        <f t="shared" si="239"/>
        <v>11.335469452237735</v>
      </c>
      <c r="AU318" s="61">
        <f t="shared" si="240"/>
        <v>177.46810575716412</v>
      </c>
      <c r="AV318" s="58" t="str">
        <f t="shared" si="217"/>
        <v>0.844679681846701+0.0629291655351798i</v>
      </c>
      <c r="AW318" s="64">
        <f t="shared" si="241"/>
        <v>-1.4421208601985831</v>
      </c>
      <c r="AX318" s="61">
        <f t="shared" si="242"/>
        <v>4.2607003228336531</v>
      </c>
    </row>
    <row r="319" spans="14:50" x14ac:dyDescent="0.35">
      <c r="N319" s="10">
        <v>1</v>
      </c>
      <c r="O319" s="50">
        <f>10^(4+(N319/100))</f>
        <v>10232.929922807549</v>
      </c>
      <c r="P319" s="48" t="str">
        <f t="shared" si="208"/>
        <v>547.187404092767</v>
      </c>
      <c r="Q319" s="17" t="str">
        <f t="shared" si="209"/>
        <v>1+1233.07837102728i</v>
      </c>
      <c r="R319" s="17">
        <f t="shared" si="218"/>
        <v>1233.0787765164437</v>
      </c>
      <c r="S319" s="17">
        <f t="shared" si="219"/>
        <v>1.5699853485113846</v>
      </c>
      <c r="T319" s="17" t="str">
        <f t="shared" si="210"/>
        <v>1+0.0233322317338689i</v>
      </c>
      <c r="U319" s="17">
        <f t="shared" si="220"/>
        <v>1.0002721594834492</v>
      </c>
      <c r="V319" s="17">
        <f t="shared" si="221"/>
        <v>2.3327999148127193E-2</v>
      </c>
      <c r="W319" s="31" t="str">
        <f t="shared" si="211"/>
        <v>1-0.405169988911147i</v>
      </c>
      <c r="X319" s="17">
        <f t="shared" si="222"/>
        <v>1.0789637250224213</v>
      </c>
      <c r="Y319" s="17">
        <f t="shared" si="223"/>
        <v>-0.38495530335512107</v>
      </c>
      <c r="Z319" s="31" t="str">
        <f t="shared" si="212"/>
        <v>0.965384180229722+1.93860315755079i</v>
      </c>
      <c r="AA319" s="17">
        <f t="shared" si="224"/>
        <v>2.1656751413597806</v>
      </c>
      <c r="AB319" s="17">
        <f t="shared" si="225"/>
        <v>1.1087666101727338</v>
      </c>
      <c r="AC319" s="66" t="str">
        <f t="shared" si="226"/>
        <v>-0.220013173301974-0.02234463201891i</v>
      </c>
      <c r="AD319" s="64">
        <f t="shared" si="227"/>
        <v>-13.106460351516942</v>
      </c>
      <c r="AE319" s="61">
        <f t="shared" si="228"/>
        <v>-174.20089988275694</v>
      </c>
      <c r="AF319" s="31" t="str">
        <f t="shared" si="213"/>
        <v>-6627.51882264077</v>
      </c>
      <c r="AG319" s="31" t="str">
        <f t="shared" si="229"/>
        <v>64295.3949403827i</v>
      </c>
      <c r="AH319" s="31">
        <f t="shared" si="230"/>
        <v>64295.394940382699</v>
      </c>
      <c r="AI319" s="31">
        <f t="shared" si="231"/>
        <v>1.5707963267948966</v>
      </c>
      <c r="AJ319" s="31" t="str">
        <f t="shared" si="214"/>
        <v>0.506660635290181+31.3854755631731i</v>
      </c>
      <c r="AK319" s="31">
        <f t="shared" si="232"/>
        <v>31.389564847666943</v>
      </c>
      <c r="AL319" s="31">
        <f t="shared" si="233"/>
        <v>1.5546545726583918</v>
      </c>
      <c r="AM319" s="31" t="str">
        <f t="shared" si="215"/>
        <v>1+37.2868283877762i</v>
      </c>
      <c r="AN319" s="31">
        <f t="shared" si="234"/>
        <v>37.300235538391348</v>
      </c>
      <c r="AO319" s="31">
        <f t="shared" si="235"/>
        <v>1.5439836320299727</v>
      </c>
      <c r="AP319" s="31" t="str">
        <f t="shared" si="216"/>
        <v>1+30.0902448320991i</v>
      </c>
      <c r="AQ319" s="31">
        <f t="shared" si="236"/>
        <v>30.106856927545035</v>
      </c>
      <c r="AR319" s="31">
        <f t="shared" si="237"/>
        <v>1.5375751915986524</v>
      </c>
      <c r="AS319" s="58" t="str">
        <f t="shared" si="238"/>
        <v>-3.68420958128609+0.1618115303874i</v>
      </c>
      <c r="AT319" s="49">
        <f t="shared" si="239"/>
        <v>11.335255986436657</v>
      </c>
      <c r="AU319" s="61">
        <f t="shared" si="240"/>
        <v>177.48516930117859</v>
      </c>
      <c r="AV319" s="58" t="str">
        <f t="shared" si="217"/>
        <v>0.814190260191213+0.0467216390969995i</v>
      </c>
      <c r="AW319" s="64">
        <f t="shared" si="241"/>
        <v>-1.7712043650802836</v>
      </c>
      <c r="AX319" s="61">
        <f t="shared" si="242"/>
        <v>3.284269418421653</v>
      </c>
    </row>
    <row r="320" spans="14:50" x14ac:dyDescent="0.35">
      <c r="N320" s="10">
        <v>2</v>
      </c>
      <c r="O320" s="50">
        <f t="shared" ref="O320:O383" si="244">10^(4+(N320/100))</f>
        <v>10471.285480509003</v>
      </c>
      <c r="P320" s="48" t="str">
        <f t="shared" si="208"/>
        <v>547.187404092767</v>
      </c>
      <c r="Q320" s="17" t="str">
        <f t="shared" si="209"/>
        <v>1+1261.80045600519i</v>
      </c>
      <c r="R320" s="17">
        <f t="shared" si="218"/>
        <v>1261.8008522642967</v>
      </c>
      <c r="S320" s="17">
        <f t="shared" si="219"/>
        <v>1.5700038086230421</v>
      </c>
      <c r="T320" s="17" t="str">
        <f t="shared" si="210"/>
        <v>1+0.0238757092275387i</v>
      </c>
      <c r="U320" s="17">
        <f t="shared" si="220"/>
        <v>1.0002849841375796</v>
      </c>
      <c r="V320" s="17">
        <f t="shared" si="221"/>
        <v>2.3871173999988421E-2</v>
      </c>
      <c r="W320" s="31" t="str">
        <f t="shared" si="211"/>
        <v>1-0.414607610335247i</v>
      </c>
      <c r="X320" s="17">
        <f t="shared" si="222"/>
        <v>1.0825430571334813</v>
      </c>
      <c r="Y320" s="17">
        <f t="shared" si="223"/>
        <v>-0.39303537580871178</v>
      </c>
      <c r="Z320" s="31" t="str">
        <f t="shared" si="212"/>
        <v>0.963752786904357+1.98375902593506i</v>
      </c>
      <c r="AA320" s="17">
        <f t="shared" si="224"/>
        <v>2.2054748484724853</v>
      </c>
      <c r="AB320" s="17">
        <f t="shared" si="225"/>
        <v>1.118555718960855</v>
      </c>
      <c r="AC320" s="66" t="str">
        <f t="shared" si="226"/>
        <v>-0.212169467966412-0.0178362647240192i</v>
      </c>
      <c r="AD320" s="64">
        <f t="shared" si="227"/>
        <v>-13.435758114502168</v>
      </c>
      <c r="AE320" s="61">
        <f t="shared" si="228"/>
        <v>-175.19466461119936</v>
      </c>
      <c r="AF320" s="31" t="str">
        <f t="shared" si="213"/>
        <v>-6627.51882264077</v>
      </c>
      <c r="AG320" s="31" t="str">
        <f t="shared" si="229"/>
        <v>65793.0270784171i</v>
      </c>
      <c r="AH320" s="31">
        <f t="shared" si="230"/>
        <v>65793.027078417101</v>
      </c>
      <c r="AI320" s="31">
        <f t="shared" si="231"/>
        <v>1.5707963267948966</v>
      </c>
      <c r="AJ320" s="31" t="str">
        <f t="shared" si="214"/>
        <v>0.483410267335054+32.1165372031939i</v>
      </c>
      <c r="AK320" s="31">
        <f t="shared" si="232"/>
        <v>32.120175083749196</v>
      </c>
      <c r="AL320" s="31">
        <f t="shared" si="233"/>
        <v>1.5557457077681587</v>
      </c>
      <c r="AM320" s="31" t="str">
        <f t="shared" si="215"/>
        <v>1+38.1553501935865i</v>
      </c>
      <c r="AN320" s="31">
        <f t="shared" si="234"/>
        <v>38.168452266174242</v>
      </c>
      <c r="AO320" s="31">
        <f t="shared" si="235"/>
        <v>1.5445936809037979</v>
      </c>
      <c r="AP320" s="31" t="str">
        <f t="shared" si="216"/>
        <v>1+30.7911366726992i</v>
      </c>
      <c r="AQ320" s="31">
        <f t="shared" si="236"/>
        <v>30.80737083226742</v>
      </c>
      <c r="AR320" s="31">
        <f t="shared" si="237"/>
        <v>1.5383308595270095</v>
      </c>
      <c r="AS320" s="58" t="str">
        <f t="shared" si="238"/>
        <v>-3.6841655130332+0.160796051316965i</v>
      </c>
      <c r="AT320" s="49">
        <f t="shared" si="239"/>
        <v>11.335047669328242</v>
      </c>
      <c r="AU320" s="61">
        <f t="shared" si="240"/>
        <v>177.50090167328557</v>
      </c>
      <c r="AV320" s="58" t="str">
        <f t="shared" si="217"/>
        <v>0.784535437738324+0.0315957387185418i</v>
      </c>
      <c r="AW320" s="64">
        <f t="shared" si="241"/>
        <v>-2.1007104451739225</v>
      </c>
      <c r="AX320" s="61">
        <f t="shared" si="242"/>
        <v>2.3062370620861965</v>
      </c>
    </row>
    <row r="321" spans="14:50" x14ac:dyDescent="0.35">
      <c r="N321" s="10">
        <v>3</v>
      </c>
      <c r="O321" s="50">
        <f t="shared" si="244"/>
        <v>10715.193052376071</v>
      </c>
      <c r="P321" s="48" t="str">
        <f t="shared" si="208"/>
        <v>547.187404092767</v>
      </c>
      <c r="Q321" s="17" t="str">
        <f t="shared" si="209"/>
        <v>1+1291.19156428677i</v>
      </c>
      <c r="R321" s="17">
        <f t="shared" si="218"/>
        <v>1291.191951525921</v>
      </c>
      <c r="S321" s="17">
        <f t="shared" si="219"/>
        <v>1.570021848531779</v>
      </c>
      <c r="T321" s="17" t="str">
        <f t="shared" si="210"/>
        <v>1+0.0244318459382733i</v>
      </c>
      <c r="U321" s="17">
        <f t="shared" si="220"/>
        <v>1.0002984130228096</v>
      </c>
      <c r="V321" s="17">
        <f t="shared" si="221"/>
        <v>2.4426986432694444E-2</v>
      </c>
      <c r="W321" s="31" t="str">
        <f t="shared" si="211"/>
        <v>1-0.424265062202328i</v>
      </c>
      <c r="X321" s="17">
        <f t="shared" si="222"/>
        <v>1.0862784371447061</v>
      </c>
      <c r="Y321" s="17">
        <f t="shared" si="223"/>
        <v>-0.40124798385907667</v>
      </c>
      <c r="Z321" s="31" t="str">
        <f t="shared" si="212"/>
        <v>0.962044508380268+2.02996670961304i</v>
      </c>
      <c r="AA321" s="17">
        <f t="shared" si="224"/>
        <v>2.2463958863570381</v>
      </c>
      <c r="AB321" s="17">
        <f t="shared" si="225"/>
        <v>1.1282284619635932</v>
      </c>
      <c r="AC321" s="66" t="str">
        <f t="shared" si="226"/>
        <v>-0.204535228042394-0.0136260633873667i</v>
      </c>
      <c r="AD321" s="64">
        <f t="shared" si="227"/>
        <v>-13.765405504130872</v>
      </c>
      <c r="AE321" s="61">
        <f t="shared" si="228"/>
        <v>-176.1886076456905</v>
      </c>
      <c r="AF321" s="31" t="str">
        <f t="shared" si="213"/>
        <v>-6627.51882264077</v>
      </c>
      <c r="AG321" s="31" t="str">
        <f t="shared" si="229"/>
        <v>67325.5435502821i</v>
      </c>
      <c r="AH321" s="31">
        <f t="shared" si="230"/>
        <v>67325.543550282106</v>
      </c>
      <c r="AI321" s="31">
        <f t="shared" si="231"/>
        <v>1.5707963267948966</v>
      </c>
      <c r="AJ321" s="31" t="str">
        <f t="shared" si="214"/>
        <v>0.459064143296553+32.8646274563525i</v>
      </c>
      <c r="AK321" s="31">
        <f t="shared" si="232"/>
        <v>32.867833480965849</v>
      </c>
      <c r="AL321" s="31">
        <f t="shared" si="233"/>
        <v>1.556828899635516</v>
      </c>
      <c r="AM321" s="31" t="str">
        <f t="shared" si="215"/>
        <v>1+39.0441024711151i</v>
      </c>
      <c r="AN321" s="31">
        <f t="shared" si="234"/>
        <v>39.056906403028599</v>
      </c>
      <c r="AO321" s="31">
        <f t="shared" si="235"/>
        <v>1.5451898622204061</v>
      </c>
      <c r="AP321" s="31" t="str">
        <f t="shared" si="216"/>
        <v>1+31.508354381532i</v>
      </c>
      <c r="AQ321" s="31">
        <f t="shared" si="236"/>
        <v>31.524219194647898</v>
      </c>
      <c r="AR321" s="31">
        <f t="shared" si="237"/>
        <v>1.5390693621953213</v>
      </c>
      <c r="AS321" s="58" t="str">
        <f t="shared" si="238"/>
        <v>-3.6841194735611+0.159865760135428i</v>
      </c>
      <c r="AT321" s="49">
        <f t="shared" si="239"/>
        <v>11.334844059980668</v>
      </c>
      <c r="AU321" s="61">
        <f t="shared" si="240"/>
        <v>177.51531111020273</v>
      </c>
      <c r="AV321" s="58" t="str">
        <f t="shared" si="217"/>
        <v>0.755710557641319+0.0175018657679052i</v>
      </c>
      <c r="AW321" s="64">
        <f t="shared" si="241"/>
        <v>-2.4305614441502046</v>
      </c>
      <c r="AX321" s="61">
        <f t="shared" si="242"/>
        <v>1.3267034645122306</v>
      </c>
    </row>
    <row r="322" spans="14:50" x14ac:dyDescent="0.35">
      <c r="N322" s="10">
        <v>4</v>
      </c>
      <c r="O322" s="50">
        <f t="shared" si="244"/>
        <v>10964.781961431856</v>
      </c>
      <c r="P322" s="48" t="str">
        <f t="shared" si="208"/>
        <v>547.187404092767</v>
      </c>
      <c r="Q322" s="17" t="str">
        <f t="shared" si="209"/>
        <v>1+1321.26727942667i</v>
      </c>
      <c r="R322" s="17">
        <f t="shared" si="218"/>
        <v>1321.2676578511844</v>
      </c>
      <c r="S322" s="17">
        <f t="shared" si="219"/>
        <v>1.5700394778025459</v>
      </c>
      <c r="T322" s="17" t="str">
        <f t="shared" si="210"/>
        <v>1+0.0250009367371181i</v>
      </c>
      <c r="U322" s="17">
        <f t="shared" si="220"/>
        <v>1.0003124745986793</v>
      </c>
      <c r="V322" s="17">
        <f t="shared" si="221"/>
        <v>2.4995729770921335E-2</v>
      </c>
      <c r="W322" s="31" t="str">
        <f t="shared" si="211"/>
        <v>1-0.434147465021201i</v>
      </c>
      <c r="X322" s="17">
        <f t="shared" si="222"/>
        <v>1.0901761423661476</v>
      </c>
      <c r="Y322" s="17">
        <f t="shared" si="223"/>
        <v>-0.40959304956745968</v>
      </c>
      <c r="Z322" s="31" t="str">
        <f t="shared" si="212"/>
        <v>0.960255721169672+2.07725070851025i</v>
      </c>
      <c r="AA322" s="17">
        <f t="shared" si="224"/>
        <v>2.2884627058454372</v>
      </c>
      <c r="AB322" s="17">
        <f t="shared" si="225"/>
        <v>1.1377836483794448</v>
      </c>
      <c r="AC322" s="66" t="str">
        <f t="shared" si="226"/>
        <v>-0.197109952373243-0.00970015077844325i</v>
      </c>
      <c r="AD322" s="64">
        <f t="shared" si="227"/>
        <v>-14.095323873171923</v>
      </c>
      <c r="AE322" s="61">
        <f t="shared" si="228"/>
        <v>-177.18264003453342</v>
      </c>
      <c r="AF322" s="31" t="str">
        <f t="shared" si="213"/>
        <v>-6627.51882264077</v>
      </c>
      <c r="AG322" s="31" t="str">
        <f t="shared" si="229"/>
        <v>68893.7569164964i</v>
      </c>
      <c r="AH322" s="31">
        <f t="shared" si="230"/>
        <v>68893.756916496393</v>
      </c>
      <c r="AI322" s="31">
        <f t="shared" si="231"/>
        <v>1.5707963267948966</v>
      </c>
      <c r="AJ322" s="31" t="str">
        <f t="shared" si="214"/>
        <v>0.433570621781451+33.6301429700031i</v>
      </c>
      <c r="AK322" s="31">
        <f t="shared" si="232"/>
        <v>33.632937719844229</v>
      </c>
      <c r="AL322" s="31">
        <f t="shared" si="233"/>
        <v>1.5579047193157753</v>
      </c>
      <c r="AM322" s="31" t="str">
        <f t="shared" si="215"/>
        <v>1+39.9535564485838i</v>
      </c>
      <c r="AN322" s="31">
        <f t="shared" si="234"/>
        <v>39.966069019734377</v>
      </c>
      <c r="AO322" s="31">
        <f t="shared" si="235"/>
        <v>1.545772490386836</v>
      </c>
      <c r="AP322" s="31" t="str">
        <f t="shared" si="216"/>
        <v>1+32.2422782369203i</v>
      </c>
      <c r="AQ322" s="31">
        <f t="shared" si="236"/>
        <v>32.257782098386492</v>
      </c>
      <c r="AR322" s="31">
        <f t="shared" si="237"/>
        <v>1.5397910879434822</v>
      </c>
      <c r="AS322" s="58" t="str">
        <f t="shared" si="238"/>
        <v>-3.6840713653787+0.159020159147274i</v>
      </c>
      <c r="AT322" s="49">
        <f t="shared" si="239"/>
        <v>11.334644727380603</v>
      </c>
      <c r="AU322" s="61">
        <f t="shared" si="240"/>
        <v>177.52840515730415</v>
      </c>
      <c r="AV322" s="58" t="str">
        <f t="shared" si="217"/>
        <v>0.727709650889965+0.00439159172681398i</v>
      </c>
      <c r="AW322" s="64">
        <f t="shared" si="241"/>
        <v>-2.760679145791316</v>
      </c>
      <c r="AX322" s="61">
        <f t="shared" si="242"/>
        <v>0.34576512277073379</v>
      </c>
    </row>
    <row r="323" spans="14:50" x14ac:dyDescent="0.35">
      <c r="N323" s="10">
        <v>5</v>
      </c>
      <c r="O323" s="50">
        <f t="shared" si="244"/>
        <v>11220.184543019639</v>
      </c>
      <c r="P323" s="48" t="str">
        <f t="shared" si="208"/>
        <v>547.187404092767</v>
      </c>
      <c r="Q323" s="17" t="str">
        <f t="shared" si="209"/>
        <v>1+1352.04354796717i</v>
      </c>
      <c r="R323" s="17">
        <f t="shared" si="218"/>
        <v>1352.0439177776932</v>
      </c>
      <c r="S323" s="17">
        <f t="shared" si="219"/>
        <v>1.5700567057825727</v>
      </c>
      <c r="T323" s="17" t="str">
        <f t="shared" si="210"/>
        <v>1+0.0255832833635474i</v>
      </c>
      <c r="U323" s="17">
        <f t="shared" si="220"/>
        <v>1.0003271986643467</v>
      </c>
      <c r="V323" s="17">
        <f t="shared" si="221"/>
        <v>2.5577704097305382E-2</v>
      </c>
      <c r="W323" s="31" t="str">
        <f t="shared" si="211"/>
        <v>1-0.444260058572648i</v>
      </c>
      <c r="X323" s="17">
        <f t="shared" si="222"/>
        <v>1.0942426603103046</v>
      </c>
      <c r="Y323" s="17">
        <f t="shared" si="223"/>
        <v>-0.41807034733577675</v>
      </c>
      <c r="Z323" s="31" t="str">
        <f t="shared" si="212"/>
        <v>0.958382631015069+2.12563609322877i</v>
      </c>
      <c r="AA323" s="17">
        <f t="shared" si="224"/>
        <v>2.3317002526629009</v>
      </c>
      <c r="AB323" s="17">
        <f t="shared" si="225"/>
        <v>1.1472202829553251</v>
      </c>
      <c r="AC323" s="66" t="str">
        <f t="shared" si="226"/>
        <v>-0.189892734938251-0.00604500134638778i</v>
      </c>
      <c r="AD323" s="64">
        <f t="shared" si="227"/>
        <v>-14.425434147140264</v>
      </c>
      <c r="AE323" s="61">
        <f t="shared" si="228"/>
        <v>-178.17667517019731</v>
      </c>
      <c r="AF323" s="31" t="str">
        <f t="shared" si="213"/>
        <v>-6627.51882264077</v>
      </c>
      <c r="AG323" s="31" t="str">
        <f t="shared" si="229"/>
        <v>70498.4986645445i</v>
      </c>
      <c r="AH323" s="31">
        <f t="shared" si="230"/>
        <v>70498.498664544502</v>
      </c>
      <c r="AI323" s="31">
        <f t="shared" si="231"/>
        <v>1.5707963267948966</v>
      </c>
      <c r="AJ323" s="31" t="str">
        <f t="shared" si="214"/>
        <v>0.406875627612637+34.4134896306041i</v>
      </c>
      <c r="AK323" s="31">
        <f t="shared" si="232"/>
        <v>34.415894821027699</v>
      </c>
      <c r="AL323" s="31">
        <f t="shared" si="233"/>
        <v>1.5589737341149266</v>
      </c>
      <c r="AM323" s="31" t="str">
        <f t="shared" si="215"/>
        <v>1+40.8841943305293i</v>
      </c>
      <c r="AN323" s="31">
        <f t="shared" si="234"/>
        <v>40.896422166938812</v>
      </c>
      <c r="AO323" s="31">
        <f t="shared" si="235"/>
        <v>1.5463418727371356</v>
      </c>
      <c r="AP323" s="31" t="str">
        <f t="shared" si="216"/>
        <v>1+32.9932973750068i</v>
      </c>
      <c r="AQ323" s="31">
        <f t="shared" si="236"/>
        <v>33.008448489373599</v>
      </c>
      <c r="AR323" s="31">
        <f t="shared" si="237"/>
        <v>1.5404964164308101</v>
      </c>
      <c r="AS323" s="58" t="str">
        <f t="shared" si="238"/>
        <v>-3.68402108662028+0.158258795214123i</v>
      </c>
      <c r="AT323" s="49">
        <f t="shared" si="239"/>
        <v>11.334449249526104</v>
      </c>
      <c r="AU323" s="61">
        <f t="shared" si="240"/>
        <v>177.54019067217141</v>
      </c>
      <c r="AV323" s="58" t="str">
        <f t="shared" si="217"/>
        <v>0.700525514338659-0.00778228302250185i</v>
      </c>
      <c r="AW323" s="64">
        <f t="shared" si="241"/>
        <v>-3.0909848976141632</v>
      </c>
      <c r="AX323" s="61">
        <f t="shared" si="242"/>
        <v>-0.63648449802588503</v>
      </c>
    </row>
    <row r="324" spans="14:50" x14ac:dyDescent="0.35">
      <c r="N324" s="10">
        <v>6</v>
      </c>
      <c r="O324" s="50">
        <f t="shared" si="244"/>
        <v>11481.536214968832</v>
      </c>
      <c r="P324" s="48" t="str">
        <f t="shared" si="208"/>
        <v>547.187404092767</v>
      </c>
      <c r="Q324" s="17" t="str">
        <f t="shared" si="209"/>
        <v>1+1383.53668789322i</v>
      </c>
      <c r="R324" s="17">
        <f t="shared" si="218"/>
        <v>1383.5370492858301</v>
      </c>
      <c r="S324" s="17">
        <f t="shared" si="219"/>
        <v>1.5700735416063207</v>
      </c>
      <c r="T324" s="17" t="str">
        <f t="shared" si="210"/>
        <v>1+0.0261791945854508i</v>
      </c>
      <c r="U324" s="17">
        <f t="shared" si="220"/>
        <v>1.0003426164215652</v>
      </c>
      <c r="V324" s="17">
        <f t="shared" si="221"/>
        <v>2.6173216404544272E-2</v>
      </c>
      <c r="W324" s="31" t="str">
        <f t="shared" si="211"/>
        <v>1-0.454608204687629i</v>
      </c>
      <c r="X324" s="17">
        <f t="shared" si="222"/>
        <v>1.0984846925512022</v>
      </c>
      <c r="Y324" s="17">
        <f t="shared" si="223"/>
        <v>-0.42667949715233477</v>
      </c>
      <c r="Z324" s="31" t="str">
        <f t="shared" si="212"/>
        <v>0.95642126484111+2.17514851834004i</v>
      </c>
      <c r="AA324" s="17">
        <f t="shared" si="224"/>
        <v>2.3761339845802341</v>
      </c>
      <c r="AB324" s="17">
        <f t="shared" si="225"/>
        <v>1.1565375607221131</v>
      </c>
      <c r="AC324" s="66" t="str">
        <f t="shared" si="226"/>
        <v>-0.182882290109577-0.00264745553422951i</v>
      </c>
      <c r="AD324" s="64">
        <f t="shared" si="227"/>
        <v>-14.755656946832156</v>
      </c>
      <c r="AE324" s="61">
        <f t="shared" si="228"/>
        <v>-179.1706280922624</v>
      </c>
      <c r="AF324" s="31" t="str">
        <f t="shared" si="213"/>
        <v>-6627.51882264077</v>
      </c>
      <c r="AG324" s="31" t="str">
        <f t="shared" si="229"/>
        <v>72140.6196497425i</v>
      </c>
      <c r="AH324" s="31">
        <f t="shared" si="230"/>
        <v>72140.619649742497</v>
      </c>
      <c r="AI324" s="31">
        <f t="shared" si="231"/>
        <v>1.5707963267948966</v>
      </c>
      <c r="AJ324" s="31" t="str">
        <f t="shared" si="214"/>
        <v>0.378922537128419+35.2150827789236i</v>
      </c>
      <c r="AK324" s="31">
        <f t="shared" si="232"/>
        <v>35.217121367533515</v>
      </c>
      <c r="AL324" s="31">
        <f t="shared" si="233"/>
        <v>1.5600365078756611</v>
      </c>
      <c r="AM324" s="31" t="str">
        <f t="shared" si="215"/>
        <v>1+41.8365095534752i</v>
      </c>
      <c r="AN324" s="31">
        <f t="shared" si="234"/>
        <v>41.848459130749632</v>
      </c>
      <c r="AO324" s="31">
        <f t="shared" si="235"/>
        <v>1.5468983096877853</v>
      </c>
      <c r="AP324" s="31" t="str">
        <f t="shared" si="216"/>
        <v>1+33.7618099960794i</v>
      </c>
      <c r="AQ324" s="31">
        <f t="shared" si="236"/>
        <v>33.776616381919709</v>
      </c>
      <c r="AR324" s="31">
        <f t="shared" si="237"/>
        <v>1.5411857188230587</v>
      </c>
      <c r="AS324" s="58" t="str">
        <f t="shared" si="238"/>
        <v>-3.68396853083114+0.157581259491669i</v>
      </c>
      <c r="AT324" s="49">
        <f t="shared" si="239"/>
        <v>11.33425721253888</v>
      </c>
      <c r="AU324" s="61">
        <f t="shared" si="240"/>
        <v>177.55067382782556</v>
      </c>
      <c r="AV324" s="58" t="str">
        <f t="shared" si="217"/>
        <v>0.674149790987545-0.0190656787393117i</v>
      </c>
      <c r="AW324" s="64">
        <f t="shared" si="241"/>
        <v>-3.4213997342932725</v>
      </c>
      <c r="AX324" s="61">
        <f t="shared" si="242"/>
        <v>-1.619954264436875</v>
      </c>
    </row>
    <row r="325" spans="14:50" x14ac:dyDescent="0.35">
      <c r="N325" s="10">
        <v>7</v>
      </c>
      <c r="O325" s="50">
        <f t="shared" si="244"/>
        <v>11748.975549395318</v>
      </c>
      <c r="P325" s="48" t="str">
        <f t="shared" si="208"/>
        <v>547.187404092767</v>
      </c>
      <c r="Q325" s="17" t="str">
        <f t="shared" si="209"/>
        <v>1+1415.76339728445i</v>
      </c>
      <c r="R325" s="17">
        <f t="shared" si="218"/>
        <v>1415.7637504507622</v>
      </c>
      <c r="S325" s="17">
        <f t="shared" si="219"/>
        <v>1.5700899942003288</v>
      </c>
      <c r="T325" s="17" t="str">
        <f t="shared" si="210"/>
        <v>1+0.0267889863628461i</v>
      </c>
      <c r="U325" s="17">
        <f t="shared" si="220"/>
        <v>1.0003587605406117</v>
      </c>
      <c r="V325" s="17">
        <f t="shared" si="221"/>
        <v>2.6782580750662727E-2</v>
      </c>
      <c r="W325" s="31" t="str">
        <f t="shared" si="211"/>
        <v>1-0.465197390090186i</v>
      </c>
      <c r="X325" s="17">
        <f t="shared" si="222"/>
        <v>1.1029091584290707</v>
      </c>
      <c r="Y325" s="17">
        <f t="shared" si="223"/>
        <v>-0.43541995795578875</v>
      </c>
      <c r="Z325" s="31" t="str">
        <f t="shared" si="212"/>
        <v>0.954367462327177+2.22581423598723i</v>
      </c>
      <c r="AA325" s="17">
        <f t="shared" si="224"/>
        <v>2.4217898889606899</v>
      </c>
      <c r="AB325" s="17">
        <f t="shared" si="225"/>
        <v>1.1657348613790182</v>
      </c>
      <c r="AC325" s="66" t="str">
        <f t="shared" si="226"/>
        <v>-0.176076978215112+0.000505268220223595i</v>
      </c>
      <c r="AD325" s="64">
        <f t="shared" si="227"/>
        <v>-15.085912710712757</v>
      </c>
      <c r="AE325" s="61">
        <f t="shared" si="228"/>
        <v>179.83558522316625</v>
      </c>
      <c r="AF325" s="31" t="str">
        <f t="shared" si="213"/>
        <v>-6627.51882264077</v>
      </c>
      <c r="AG325" s="31" t="str">
        <f t="shared" si="229"/>
        <v>73820.9905463729i</v>
      </c>
      <c r="AH325" s="31">
        <f t="shared" si="230"/>
        <v>73820.990546372894</v>
      </c>
      <c r="AI325" s="31">
        <f t="shared" si="231"/>
        <v>1.5707963267948966</v>
      </c>
      <c r="AJ325" s="31" t="str">
        <f t="shared" si="214"/>
        <v>0.349652058076142+36.0353474302592i</v>
      </c>
      <c r="AK325" s="31">
        <f t="shared" si="232"/>
        <v>36.037043732542834</v>
      </c>
      <c r="AL325" s="31">
        <f t="shared" si="233"/>
        <v>1.5610936012622405</v>
      </c>
      <c r="AM325" s="31" t="str">
        <f t="shared" si="215"/>
        <v>1+42.8110070475581i</v>
      </c>
      <c r="AN325" s="31">
        <f t="shared" si="234"/>
        <v>42.82268469428405</v>
      </c>
      <c r="AO325" s="31">
        <f t="shared" si="235"/>
        <v>1.5474420948899503</v>
      </c>
      <c r="AP325" s="31" t="str">
        <f t="shared" si="216"/>
        <v>1+34.5482235757025i</v>
      </c>
      <c r="AQ325" s="31">
        <f t="shared" si="236"/>
        <v>34.562693069793134</v>
      </c>
      <c r="AR325" s="31">
        <f t="shared" si="237"/>
        <v>1.5418593579758721</v>
      </c>
      <c r="AS325" s="58" t="str">
        <f t="shared" si="238"/>
        <v>-3.68391358674326+0.156987187188327i</v>
      </c>
      <c r="AT325" s="49">
        <f t="shared" si="239"/>
        <v>11.334068209792367</v>
      </c>
      <c r="AU325" s="61">
        <f t="shared" si="240"/>
        <v>177.55986011564005</v>
      </c>
      <c r="AV325" s="58" t="str">
        <f t="shared" si="217"/>
        <v>0.64857305172268-0.029503194000042i</v>
      </c>
      <c r="AW325" s="64">
        <f t="shared" si="241"/>
        <v>-3.7518445009203871</v>
      </c>
      <c r="AX325" s="61">
        <f t="shared" si="242"/>
        <v>-2.6045546611937036</v>
      </c>
    </row>
    <row r="326" spans="14:50" x14ac:dyDescent="0.35">
      <c r="N326" s="10">
        <v>8</v>
      </c>
      <c r="O326" s="50">
        <f t="shared" si="244"/>
        <v>12022.644346174151</v>
      </c>
      <c r="P326" s="48" t="str">
        <f t="shared" si="208"/>
        <v>547.187404092767</v>
      </c>
      <c r="Q326" s="17" t="str">
        <f t="shared" si="209"/>
        <v>1+1448.74076316877i</v>
      </c>
      <c r="R326" s="17">
        <f t="shared" si="218"/>
        <v>1448.7411082960371</v>
      </c>
      <c r="S326" s="17">
        <f t="shared" si="219"/>
        <v>1.5701060722879443</v>
      </c>
      <c r="T326" s="17" t="str">
        <f t="shared" si="210"/>
        <v>1+0.0274129820154051i</v>
      </c>
      <c r="U326" s="17">
        <f t="shared" si="220"/>
        <v>1.0003756652293061</v>
      </c>
      <c r="V326" s="17">
        <f t="shared" si="221"/>
        <v>2.7406118417488953E-2</v>
      </c>
      <c r="W326" s="31" t="str">
        <f t="shared" si="211"/>
        <v>1-0.476033229306583i</v>
      </c>
      <c r="X326" s="17">
        <f t="shared" si="222"/>
        <v>1.1075231985850471</v>
      </c>
      <c r="Y326" s="17">
        <f t="shared" si="223"/>
        <v>-0.44429102116090324</v>
      </c>
      <c r="Z326" s="31" t="str">
        <f t="shared" si="212"/>
        <v>0.952216867082779+2.27766010980447i</v>
      </c>
      <c r="AA326" s="17">
        <f t="shared" si="224"/>
        <v>2.4686945006929175</v>
      </c>
      <c r="AB326" s="17">
        <f t="shared" si="225"/>
        <v>1.1748117433790877</v>
      </c>
      <c r="AC326" s="66" t="str">
        <f t="shared" si="226"/>
        <v>-0.169474831202528+0.00342556372352839i</v>
      </c>
      <c r="AD326" s="64">
        <f t="shared" si="227"/>
        <v>-15.416121817205326</v>
      </c>
      <c r="AE326" s="61">
        <f t="shared" si="228"/>
        <v>178.84204858209068</v>
      </c>
      <c r="AF326" s="31" t="str">
        <f t="shared" si="213"/>
        <v>-6627.51882264077</v>
      </c>
      <c r="AG326" s="31" t="str">
        <f t="shared" si="229"/>
        <v>75540.5023093271i</v>
      </c>
      <c r="AH326" s="31">
        <f t="shared" si="230"/>
        <v>75540.502309327101</v>
      </c>
      <c r="AI326" s="31">
        <f t="shared" si="231"/>
        <v>1.5707963267948966</v>
      </c>
      <c r="AJ326" s="31" t="str">
        <f t="shared" si="214"/>
        <v>0.319002103845382+36.8747184997865i</v>
      </c>
      <c r="AK326" s="31">
        <f t="shared" si="232"/>
        <v>36.876098312874085</v>
      </c>
      <c r="AL326" s="31">
        <f t="shared" si="233"/>
        <v>1.5621455720443014</v>
      </c>
      <c r="AM326" s="31" t="str">
        <f t="shared" si="215"/>
        <v>1+43.8082035042481i</v>
      </c>
      <c r="AN326" s="31">
        <f t="shared" si="234"/>
        <v>43.819615405313805</v>
      </c>
      <c r="AO326" s="31">
        <f t="shared" si="235"/>
        <v>1.5479735153786169</v>
      </c>
      <c r="AP326" s="31" t="str">
        <f t="shared" si="216"/>
        <v>1+35.352955080765i</v>
      </c>
      <c r="AQ326" s="31">
        <f t="shared" si="236"/>
        <v>35.367095342176292</v>
      </c>
      <c r="AR326" s="31">
        <f t="shared" si="237"/>
        <v>1.5425176886147223</v>
      </c>
      <c r="AS326" s="58" t="str">
        <f t="shared" si="238"/>
        <v>-3.6838561380411+0.156476257345382i</v>
      </c>
      <c r="AT326" s="49">
        <f t="shared" si="239"/>
        <v>11.333881841055323</v>
      </c>
      <c r="AU326" s="61">
        <f t="shared" si="240"/>
        <v>177.56775434793451</v>
      </c>
      <c r="AV326" s="58" t="str">
        <f t="shared" si="217"/>
        <v>0.623784877778156-0.0391380712499829i</v>
      </c>
      <c r="AW326" s="64">
        <f t="shared" si="241"/>
        <v>-4.0822399761500074</v>
      </c>
      <c r="AX326" s="61">
        <f t="shared" si="242"/>
        <v>-3.5901970699747916</v>
      </c>
    </row>
    <row r="327" spans="14:50" x14ac:dyDescent="0.35">
      <c r="N327" s="10">
        <v>9</v>
      </c>
      <c r="O327" s="50">
        <f t="shared" si="244"/>
        <v>12302.687708123816</v>
      </c>
      <c r="P327" s="48" t="str">
        <f t="shared" si="208"/>
        <v>547.187404092767</v>
      </c>
      <c r="Q327" s="17" t="str">
        <f t="shared" si="209"/>
        <v>1+1482.48627058208i</v>
      </c>
      <c r="R327" s="17">
        <f t="shared" si="218"/>
        <v>1482.4866078532932</v>
      </c>
      <c r="S327" s="17">
        <f t="shared" si="219"/>
        <v>1.5701217843939486</v>
      </c>
      <c r="T327" s="17" t="str">
        <f t="shared" si="210"/>
        <v>1+0.0280515123938824i</v>
      </c>
      <c r="U327" s="17">
        <f t="shared" si="220"/>
        <v>1.0003933663052669</v>
      </c>
      <c r="V327" s="17">
        <f t="shared" si="221"/>
        <v>2.8044158072389341E-2</v>
      </c>
      <c r="W327" s="31" t="str">
        <f t="shared" si="211"/>
        <v>1-0.487121467642203i</v>
      </c>
      <c r="X327" s="17">
        <f t="shared" si="222"/>
        <v>1.1123341783105893</v>
      </c>
      <c r="Y327" s="17">
        <f t="shared" si="223"/>
        <v>-0.45329180439222239</v>
      </c>
      <c r="Z327" s="31" t="str">
        <f t="shared" si="212"/>
        <v>0.949964917407067+2.33071362916033i</v>
      </c>
      <c r="AA327" s="17">
        <f t="shared" si="224"/>
        <v>2.5168749205031884</v>
      </c>
      <c r="AB327" s="17">
        <f t="shared" si="225"/>
        <v>1.1837679377663131</v>
      </c>
      <c r="AC327" s="66" t="str">
        <f t="shared" si="226"/>
        <v>-0.16307357821651+0.00612542941735586i</v>
      </c>
      <c r="AD327" s="64">
        <f t="shared" si="227"/>
        <v>-15.746204706941121</v>
      </c>
      <c r="AE327" s="61">
        <f t="shared" si="228"/>
        <v>177.84884629376378</v>
      </c>
      <c r="AF327" s="31" t="str">
        <f t="shared" si="213"/>
        <v>-6627.51882264077</v>
      </c>
      <c r="AG327" s="31" t="str">
        <f t="shared" si="229"/>
        <v>77300.0666465025i</v>
      </c>
      <c r="AH327" s="31">
        <f t="shared" si="230"/>
        <v>77300.066646502499</v>
      </c>
      <c r="AI327" s="31">
        <f t="shared" si="231"/>
        <v>1.5707963267948966</v>
      </c>
      <c r="AJ327" s="31" t="str">
        <f t="shared" si="214"/>
        <v>0.286907661773898+37.7336410331569i</v>
      </c>
      <c r="AK327" s="31">
        <f t="shared" si="232"/>
        <v>37.734731768299703</v>
      </c>
      <c r="AL327" s="31">
        <f t="shared" si="233"/>
        <v>1.5631929753796774</v>
      </c>
      <c r="AM327" s="31" t="str">
        <f t="shared" si="215"/>
        <v>1+44.8286276503062i</v>
      </c>
      <c r="AN327" s="31">
        <f t="shared" si="234"/>
        <v>44.839779850148666</v>
      </c>
      <c r="AO327" s="31">
        <f t="shared" si="235"/>
        <v>1.5484928517186565</v>
      </c>
      <c r="AP327" s="31" t="str">
        <f t="shared" si="216"/>
        <v>1+36.1764311905631i</v>
      </c>
      <c r="AQ327" s="31">
        <f t="shared" si="236"/>
        <v>36.190249704658669</v>
      </c>
      <c r="AR327" s="31">
        <f t="shared" si="237"/>
        <v>1.5431610575113617</v>
      </c>
      <c r="AS327" s="58" t="str">
        <f t="shared" si="238"/>
        <v>-3.68379606311693+0.15604819263837i</v>
      </c>
      <c r="AT327" s="49">
        <f t="shared" si="239"/>
        <v>11.333697711648833</v>
      </c>
      <c r="AU327" s="61">
        <f t="shared" si="240"/>
        <v>177.57436066024903</v>
      </c>
      <c r="AV327" s="58" t="str">
        <f t="shared" si="217"/>
        <v>0.599773943242658-0.0480121699203144i</v>
      </c>
      <c r="AW327" s="64">
        <f t="shared" si="241"/>
        <v>-4.41250699529229</v>
      </c>
      <c r="AX327" s="61">
        <f t="shared" si="242"/>
        <v>-4.576793045987178</v>
      </c>
    </row>
    <row r="328" spans="14:50" x14ac:dyDescent="0.35">
      <c r="N328" s="10">
        <v>10</v>
      </c>
      <c r="O328" s="50">
        <f t="shared" si="244"/>
        <v>12589.254117941671</v>
      </c>
      <c r="P328" s="48" t="str">
        <f t="shared" si="208"/>
        <v>547.187404092767</v>
      </c>
      <c r="Q328" s="17" t="str">
        <f t="shared" si="209"/>
        <v>1+1517.01781183907i</v>
      </c>
      <c r="R328" s="17">
        <f t="shared" si="218"/>
        <v>1517.0181414330548</v>
      </c>
      <c r="S328" s="17">
        <f t="shared" si="219"/>
        <v>1.5701371388490777</v>
      </c>
      <c r="T328" s="17" t="str">
        <f t="shared" si="210"/>
        <v>1+0.0287049160555365i</v>
      </c>
      <c r="U328" s="17">
        <f t="shared" si="220"/>
        <v>1.0004119012715489</v>
      </c>
      <c r="V328" s="17">
        <f t="shared" si="221"/>
        <v>2.8697035933304711E-2</v>
      </c>
      <c r="W328" s="31" t="str">
        <f t="shared" si="211"/>
        <v>1-0.498467984227782i</v>
      </c>
      <c r="X328" s="17">
        <f t="shared" si="222"/>
        <v>1.1173496906967435</v>
      </c>
      <c r="Y328" s="17">
        <f t="shared" si="223"/>
        <v>-0.46242124547415281</v>
      </c>
      <c r="Z328" s="31" t="str">
        <f t="shared" si="212"/>
        <v>0.947606836612856+2.385002923733i</v>
      </c>
      <c r="AA328" s="17">
        <f t="shared" si="224"/>
        <v>2.5663588336416212</v>
      </c>
      <c r="AB328" s="17">
        <f t="shared" si="225"/>
        <v>1.1926033418126256</v>
      </c>
      <c r="AC328" s="66" t="str">
        <f t="shared" si="226"/>
        <v>-0.156870670918546+0.0086164628198353i</v>
      </c>
      <c r="AD328" s="64">
        <f t="shared" si="227"/>
        <v>-16.076082005032436</v>
      </c>
      <c r="AE328" s="61">
        <f t="shared" si="228"/>
        <v>176.85606388880154</v>
      </c>
      <c r="AF328" s="31" t="str">
        <f t="shared" si="213"/>
        <v>-6627.51882264077</v>
      </c>
      <c r="AG328" s="31" t="str">
        <f t="shared" si="229"/>
        <v>79100.6165022012i</v>
      </c>
      <c r="AH328" s="31">
        <f t="shared" si="230"/>
        <v>79100.616502201199</v>
      </c>
      <c r="AI328" s="31">
        <f t="shared" si="231"/>
        <v>1.5707963267948966</v>
      </c>
      <c r="AJ328" s="31" t="str">
        <f t="shared" si="214"/>
        <v>0.253300655247082+38.612570442467i</v>
      </c>
      <c r="AK328" s="31">
        <f t="shared" si="232"/>
        <v>38.613401266871392</v>
      </c>
      <c r="AL328" s="31">
        <f t="shared" si="233"/>
        <v>1.5642363640963319</v>
      </c>
      <c r="AM328" s="31" t="str">
        <f t="shared" si="215"/>
        <v>1+45.8728205281216i</v>
      </c>
      <c r="AN328" s="31">
        <f t="shared" si="234"/>
        <v>45.883718933901314</v>
      </c>
      <c r="AO328" s="31">
        <f t="shared" si="235"/>
        <v>1.5490003781478656</v>
      </c>
      <c r="AP328" s="31" t="str">
        <f t="shared" si="216"/>
        <v>1+37.0190885230301i</v>
      </c>
      <c r="AQ328" s="31">
        <f t="shared" si="236"/>
        <v>37.032592605378561</v>
      </c>
      <c r="AR328" s="31">
        <f t="shared" si="237"/>
        <v>1.5437898036568316</v>
      </c>
      <c r="AS328" s="58" t="str">
        <f t="shared" si="238"/>
        <v>-3.68373323481476+0.155702759199468i</v>
      </c>
      <c r="AT328" s="49">
        <f t="shared" si="239"/>
        <v>11.333515431613959</v>
      </c>
      <c r="AU328" s="61">
        <f t="shared" si="240"/>
        <v>177.57968251329871</v>
      </c>
      <c r="AV328" s="58" t="str">
        <f t="shared" si="217"/>
        <v>0.576528096994749-0.0561659467554624i</v>
      </c>
      <c r="AW328" s="64">
        <f t="shared" si="241"/>
        <v>-4.7425665734184772</v>
      </c>
      <c r="AX328" s="61">
        <f t="shared" si="242"/>
        <v>-5.5642535978997403</v>
      </c>
    </row>
    <row r="329" spans="14:50" x14ac:dyDescent="0.35">
      <c r="N329" s="10">
        <v>11</v>
      </c>
      <c r="O329" s="50">
        <f t="shared" si="244"/>
        <v>12882.49551693136</v>
      </c>
      <c r="P329" s="48" t="str">
        <f t="shared" si="208"/>
        <v>547.187404092767</v>
      </c>
      <c r="Q329" s="17" t="str">
        <f t="shared" si="209"/>
        <v>1+1552.35369602i</v>
      </c>
      <c r="R329" s="17">
        <f t="shared" si="218"/>
        <v>1552.3540181115113</v>
      </c>
      <c r="S329" s="17">
        <f t="shared" si="219"/>
        <v>1.5701521437944375</v>
      </c>
      <c r="T329" s="17" t="str">
        <f t="shared" si="210"/>
        <v>1+0.0293735394436379i</v>
      </c>
      <c r="U329" s="17">
        <f t="shared" si="220"/>
        <v>1.0004313093958261</v>
      </c>
      <c r="V329" s="17">
        <f t="shared" si="221"/>
        <v>2.9365095937133878E-2</v>
      </c>
      <c r="W329" s="31" t="str">
        <f t="shared" si="211"/>
        <v>1-0.510078795136604i</v>
      </c>
      <c r="X329" s="17">
        <f t="shared" si="222"/>
        <v>1.1225775595690526</v>
      </c>
      <c r="Y329" s="17">
        <f t="shared" si="223"/>
        <v>-0.47167809672808941</v>
      </c>
      <c r="Z329" s="31" t="str">
        <f t="shared" si="212"/>
        <v>0.945137622894626+2.4405567784251i</v>
      </c>
      <c r="AA329" s="17">
        <f t="shared" si="224"/>
        <v>2.6171745289391013</v>
      </c>
      <c r="AB329" s="17">
        <f t="shared" si="225"/>
        <v>1.2013180125007212</v>
      </c>
      <c r="AC329" s="66" t="str">
        <f t="shared" si="226"/>
        <v>-0.150863308396299+0.0109098569063559i</v>
      </c>
      <c r="AD329" s="64">
        <f t="shared" si="227"/>
        <v>-16.405674643428185</v>
      </c>
      <c r="AE329" s="61">
        <f t="shared" si="228"/>
        <v>175.86378882873632</v>
      </c>
      <c r="AF329" s="31" t="str">
        <f t="shared" si="213"/>
        <v>-6627.51882264077</v>
      </c>
      <c r="AG329" s="31" t="str">
        <f t="shared" si="229"/>
        <v>80943.10655179i</v>
      </c>
      <c r="AH329" s="31">
        <f t="shared" si="230"/>
        <v>80943.106551789999</v>
      </c>
      <c r="AI329" s="31">
        <f t="shared" si="231"/>
        <v>1.5707963267948966</v>
      </c>
      <c r="AJ329" s="31" t="str">
        <f t="shared" si="214"/>
        <v>0.218109799298316+39.5119727477235i</v>
      </c>
      <c r="AK329" s="31">
        <f t="shared" si="232"/>
        <v>39.512574736422764</v>
      </c>
      <c r="AL329" s="31">
        <f t="shared" si="233"/>
        <v>1.5652762889734892</v>
      </c>
      <c r="AM329" s="31" t="str">
        <f t="shared" si="215"/>
        <v>1+46.9413357825796i</v>
      </c>
      <c r="AN329" s="31">
        <f t="shared" si="234"/>
        <v>46.951986167284637</v>
      </c>
      <c r="AO329" s="31">
        <f t="shared" si="235"/>
        <v>1.5494963627170342</v>
      </c>
      <c r="AP329" s="31" t="str">
        <f t="shared" si="216"/>
        <v>1+37.8813738662377i</v>
      </c>
      <c r="AQ329" s="31">
        <f t="shared" si="236"/>
        <v>37.894570666438185</v>
      </c>
      <c r="AR329" s="31">
        <f t="shared" si="237"/>
        <v>1.5444042584310662</v>
      </c>
      <c r="AS329" s="58" t="str">
        <f t="shared" si="238"/>
        <v>-3.68366752016318+0.155439766460643i</v>
      </c>
      <c r="AT329" s="49">
        <f t="shared" si="239"/>
        <v>11.333334614890322</v>
      </c>
      <c r="AU329" s="61">
        <f t="shared" si="240"/>
        <v>177.58372269460924</v>
      </c>
      <c r="AV329" s="58" t="str">
        <f t="shared" si="217"/>
        <v>0.554034443514165-0.0636384429601719i</v>
      </c>
      <c r="AW329" s="64">
        <f t="shared" si="241"/>
        <v>-5.0723400285378588</v>
      </c>
      <c r="AX329" s="61">
        <f t="shared" si="242"/>
        <v>-6.5524884766544602</v>
      </c>
    </row>
    <row r="330" spans="14:50" x14ac:dyDescent="0.35">
      <c r="N330" s="10">
        <v>12</v>
      </c>
      <c r="O330" s="50">
        <f t="shared" si="244"/>
        <v>13182.567385564091</v>
      </c>
      <c r="P330" s="48" t="str">
        <f t="shared" si="208"/>
        <v>547.187404092767</v>
      </c>
      <c r="Q330" s="17" t="str">
        <f t="shared" si="209"/>
        <v>1+1588.5126586784i</v>
      </c>
      <c r="R330" s="17">
        <f t="shared" si="218"/>
        <v>1588.5129734382151</v>
      </c>
      <c r="S330" s="17">
        <f t="shared" si="219"/>
        <v>1.5701668071858217</v>
      </c>
      <c r="T330" s="17" t="str">
        <f t="shared" si="210"/>
        <v>1+0.030057737071157i</v>
      </c>
      <c r="U330" s="17">
        <f t="shared" si="220"/>
        <v>1.000451631793281</v>
      </c>
      <c r="V330" s="17">
        <f t="shared" si="221"/>
        <v>3.0048689911504712E-2</v>
      </c>
      <c r="W330" s="31" t="str">
        <f t="shared" si="211"/>
        <v>1-0.521960056574297i</v>
      </c>
      <c r="X330" s="17">
        <f t="shared" si="222"/>
        <v>1.1280258421946916</v>
      </c>
      <c r="Y330" s="17">
        <f t="shared" si="223"/>
        <v>-0.48106091962900205</v>
      </c>
      <c r="Z330" s="31" t="str">
        <f t="shared" si="212"/>
        <v>0.942552038719029+2.4974046486257i</v>
      </c>
      <c r="AA330" s="17">
        <f t="shared" si="224"/>
        <v>2.6693509182328681</v>
      </c>
      <c r="AB330" s="17">
        <f t="shared" si="225"/>
        <v>1.2099121598959608</v>
      </c>
      <c r="AC330" s="66" t="str">
        <f t="shared" si="226"/>
        <v>-0.145048461527298+0.0130163983108996i</v>
      </c>
      <c r="AD330" s="64">
        <f t="shared" si="227"/>
        <v>-16.734903983397519</v>
      </c>
      <c r="AE330" s="61">
        <f t="shared" si="228"/>
        <v>174.87211120152722</v>
      </c>
      <c r="AF330" s="31" t="str">
        <f t="shared" si="213"/>
        <v>-6627.51882264077</v>
      </c>
      <c r="AG330" s="31" t="str">
        <f t="shared" si="229"/>
        <v>82828.5137078811i</v>
      </c>
      <c r="AH330" s="31">
        <f t="shared" si="230"/>
        <v>82828.513707881095</v>
      </c>
      <c r="AI330" s="31">
        <f t="shared" si="231"/>
        <v>1.5707963267948966</v>
      </c>
      <c r="AJ330" s="31" t="str">
        <f t="shared" si="214"/>
        <v>0.181260449404019+40.4323248239336i</v>
      </c>
      <c r="AK330" s="31">
        <f t="shared" si="232"/>
        <v>40.432731122428457</v>
      </c>
      <c r="AL330" s="31">
        <f t="shared" si="233"/>
        <v>1.5663132990220578</v>
      </c>
      <c r="AM330" s="31" t="str">
        <f t="shared" si="215"/>
        <v>1+48.0347399546115i</v>
      </c>
      <c r="AN330" s="31">
        <f t="shared" si="234"/>
        <v>48.045147960092187</v>
      </c>
      <c r="AO330" s="31">
        <f t="shared" si="235"/>
        <v>1.5499810674270855</v>
      </c>
      <c r="AP330" s="31" t="str">
        <f t="shared" si="216"/>
        <v>1+38.7637444152883i</v>
      </c>
      <c r="AQ330" s="31">
        <f t="shared" si="236"/>
        <v>38.776640920711472</v>
      </c>
      <c r="AR330" s="31">
        <f t="shared" si="237"/>
        <v>1.5450047457691354</v>
      </c>
      <c r="AS330" s="58" t="str">
        <f t="shared" si="238"/>
        <v>-3.68359878009563+0.155259067017333i</v>
      </c>
      <c r="AT330" s="49">
        <f t="shared" si="239"/>
        <v>11.333154878501681</v>
      </c>
      <c r="AU330" s="61">
        <f t="shared" si="240"/>
        <v>177.58648331983207</v>
      </c>
      <c r="AV330" s="58" t="str">
        <f t="shared" si="217"/>
        <v>0.532279422079027-0.0704672777482964i</v>
      </c>
      <c r="AW330" s="64">
        <f t="shared" si="241"/>
        <v>-5.4017491048958348</v>
      </c>
      <c r="AX330" s="61">
        <f t="shared" si="242"/>
        <v>-7.5414054786406979</v>
      </c>
    </row>
    <row r="331" spans="14:50" x14ac:dyDescent="0.35">
      <c r="N331" s="10">
        <v>13</v>
      </c>
      <c r="O331" s="50">
        <f t="shared" si="244"/>
        <v>13489.628825916556</v>
      </c>
      <c r="P331" s="48" t="str">
        <f t="shared" si="208"/>
        <v>547.187404092767</v>
      </c>
      <c r="Q331" s="17" t="str">
        <f t="shared" si="209"/>
        <v>1+1625.51387177487i</v>
      </c>
      <c r="R331" s="17">
        <f t="shared" si="218"/>
        <v>1625.5141793698781</v>
      </c>
      <c r="S331" s="17">
        <f t="shared" si="219"/>
        <v>1.5701811367979295</v>
      </c>
      <c r="T331" s="17" t="str">
        <f t="shared" si="210"/>
        <v>1+0.0307578717087324i</v>
      </c>
      <c r="U331" s="17">
        <f t="shared" si="220"/>
        <v>1.0004729115133757</v>
      </c>
      <c r="V331" s="17">
        <f t="shared" si="221"/>
        <v>3.0748177749977065E-2</v>
      </c>
      <c r="W331" s="31" t="str">
        <f t="shared" si="211"/>
        <v>1-0.534118068142944i</v>
      </c>
      <c r="X331" s="17">
        <f t="shared" si="222"/>
        <v>1.1337028317494628</v>
      </c>
      <c r="Y331" s="17">
        <f t="shared" si="223"/>
        <v>-0.4905680798753651</v>
      </c>
      <c r="Z331" s="31" t="str">
        <f t="shared" si="212"/>
        <v>0.939844599715372+2.55557667582805i</v>
      </c>
      <c r="AA331" s="17">
        <f t="shared" si="224"/>
        <v>2.7229175561611285</v>
      </c>
      <c r="AB331" s="17">
        <f t="shared" si="225"/>
        <v>1.218386140447965</v>
      </c>
      <c r="AC331" s="66" t="str">
        <f t="shared" si="226"/>
        <v>-0.139422896678979+0.0149464672233502i</v>
      </c>
      <c r="AD331" s="64">
        <f t="shared" si="227"/>
        <v>-17.063691938175051</v>
      </c>
      <c r="AE331" s="61">
        <f t="shared" si="228"/>
        <v>173.8811243976196</v>
      </c>
      <c r="AF331" s="31" t="str">
        <f t="shared" si="213"/>
        <v>-6627.51882264077</v>
      </c>
      <c r="AG331" s="31" t="str">
        <f t="shared" si="229"/>
        <v>84757.8376383051i</v>
      </c>
      <c r="AH331" s="31">
        <f t="shared" si="230"/>
        <v>84757.837638305107</v>
      </c>
      <c r="AI331" s="31">
        <f t="shared" si="231"/>
        <v>1.5707963267948966</v>
      </c>
      <c r="AJ331" s="31" t="str">
        <f t="shared" si="214"/>
        <v>0.142674443152585+41.3741146539505i</v>
      </c>
      <c r="AK331" s="31">
        <f t="shared" si="232"/>
        <v>41.374360652401272</v>
      </c>
      <c r="AL331" s="31">
        <f t="shared" si="233"/>
        <v>1.5673479417644391</v>
      </c>
      <c r="AM331" s="31" t="str">
        <f t="shared" si="215"/>
        <v>1+49.1536127815823i</v>
      </c>
      <c r="AN331" s="31">
        <f t="shared" si="234"/>
        <v>49.163783921518188</v>
      </c>
      <c r="AO331" s="31">
        <f t="shared" si="235"/>
        <v>1.5504547483633437</v>
      </c>
      <c r="AP331" s="31" t="str">
        <f t="shared" si="216"/>
        <v>1+39.6666680147267i</v>
      </c>
      <c r="AQ331" s="31">
        <f t="shared" si="236"/>
        <v>39.679271054173142</v>
      </c>
      <c r="AR331" s="31">
        <f t="shared" si="237"/>
        <v>1.5455915823241679</v>
      </c>
      <c r="AS331" s="58" t="str">
        <f t="shared" si="238"/>
        <v>-3.68352686915822+0.155160556512409i</v>
      </c>
      <c r="AT331" s="49">
        <f t="shared" si="239"/>
        <v>11.332975841748489</v>
      </c>
      <c r="AU331" s="61">
        <f t="shared" si="240"/>
        <v>177.58796583374055</v>
      </c>
      <c r="AV331" s="58" t="str">
        <f t="shared" si="217"/>
        <v>0.51124888392062-0.0766886478554856i</v>
      </c>
      <c r="AW331" s="64">
        <f t="shared" si="241"/>
        <v>-5.7307160964265647</v>
      </c>
      <c r="AX331" s="61">
        <f t="shared" si="242"/>
        <v>-8.5309097686398641</v>
      </c>
    </row>
    <row r="332" spans="14:50" x14ac:dyDescent="0.35">
      <c r="N332" s="10">
        <v>14</v>
      </c>
      <c r="O332" s="50">
        <f t="shared" si="244"/>
        <v>13803.842646028841</v>
      </c>
      <c r="P332" s="48" t="str">
        <f t="shared" si="208"/>
        <v>547.187404092767</v>
      </c>
      <c r="Q332" s="17" t="str">
        <f t="shared" si="209"/>
        <v>1+1663.37695384238i</v>
      </c>
      <c r="R332" s="17">
        <f t="shared" si="218"/>
        <v>1663.3772544356723</v>
      </c>
      <c r="S332" s="17">
        <f t="shared" si="219"/>
        <v>1.5701951402284873</v>
      </c>
      <c r="T332" s="17" t="str">
        <f t="shared" si="210"/>
        <v>1+0.0314743145770163i</v>
      </c>
      <c r="U332" s="17">
        <f t="shared" si="220"/>
        <v>1.0004951936306805</v>
      </c>
      <c r="V332" s="17">
        <f t="shared" si="221"/>
        <v>3.1463927590714036E-2</v>
      </c>
      <c r="W332" s="31" t="str">
        <f t="shared" si="211"/>
        <v>1-0.546559276181208i</v>
      </c>
      <c r="X332" s="17">
        <f t="shared" si="222"/>
        <v>1.1396170595334758</v>
      </c>
      <c r="Y332" s="17">
        <f t="shared" si="223"/>
        <v>-0.50019774292726904</v>
      </c>
      <c r="Z332" s="31" t="str">
        <f t="shared" si="212"/>
        <v>0.937009563042537+2.61510370361099i</v>
      </c>
      <c r="AA332" s="17">
        <f t="shared" si="224"/>
        <v>2.7779046603281907</v>
      </c>
      <c r="AB332" s="17">
        <f t="shared" si="225"/>
        <v>1.2267404502595454</v>
      </c>
      <c r="AC332" s="66" t="str">
        <f t="shared" si="226"/>
        <v>-0.133983198644094+0.0167100388545985i</v>
      </c>
      <c r="AD332" s="64">
        <f t="shared" si="227"/>
        <v>-17.391961095774093</v>
      </c>
      <c r="AE332" s="61">
        <f t="shared" si="228"/>
        <v>172.89092576125597</v>
      </c>
      <c r="AF332" s="31" t="str">
        <f t="shared" si="213"/>
        <v>-6627.51882264077</v>
      </c>
      <c r="AG332" s="31" t="str">
        <f t="shared" si="229"/>
        <v>86732.1012961474i</v>
      </c>
      <c r="AH332" s="31">
        <f t="shared" si="230"/>
        <v>86732.101296147404</v>
      </c>
      <c r="AI332" s="31">
        <f t="shared" si="231"/>
        <v>1.5707963267948966</v>
      </c>
      <c r="AJ332" s="31" t="str">
        <f t="shared" si="214"/>
        <v>0.102269934451442+42.3378415872079i</v>
      </c>
      <c r="AK332" s="31">
        <f t="shared" si="232"/>
        <v>42.337965107017169</v>
      </c>
      <c r="AL332" s="31">
        <f t="shared" si="233"/>
        <v>1.5683807635138181</v>
      </c>
      <c r="AM332" s="31" t="str">
        <f t="shared" si="215"/>
        <v>1+50.2985475046748i</v>
      </c>
      <c r="AN332" s="31">
        <f t="shared" si="234"/>
        <v>50.308487167475313</v>
      </c>
      <c r="AO332" s="31">
        <f t="shared" si="235"/>
        <v>1.5509176558269713</v>
      </c>
      <c r="AP332" s="31" t="str">
        <f t="shared" si="216"/>
        <v>1+40.5906234065969i</v>
      </c>
      <c r="AQ332" s="31">
        <f t="shared" si="236"/>
        <v>40.602939653874472</v>
      </c>
      <c r="AR332" s="31">
        <f t="shared" si="237"/>
        <v>1.5461650776270024</v>
      </c>
      <c r="AS332" s="58" t="str">
        <f t="shared" si="238"/>
        <v>-3.68345163520425+0.155144173540182i</v>
      </c>
      <c r="AT332" s="49">
        <f t="shared" si="239"/>
        <v>11.332797125405136</v>
      </c>
      <c r="AU332" s="61">
        <f t="shared" si="240"/>
        <v>177.58817101090577</v>
      </c>
      <c r="AV332" s="58" t="str">
        <f t="shared" si="217"/>
        <v>0.490928166967563-0.0823373325652054i</v>
      </c>
      <c r="AW332" s="64">
        <f t="shared" si="241"/>
        <v>-6.0591639703689557</v>
      </c>
      <c r="AX332" s="61">
        <f t="shared" si="242"/>
        <v>-9.520903227838259</v>
      </c>
    </row>
    <row r="333" spans="14:50" x14ac:dyDescent="0.35">
      <c r="N333" s="10">
        <v>15</v>
      </c>
      <c r="O333" s="50">
        <f t="shared" si="244"/>
        <v>14125.375446227561</v>
      </c>
      <c r="P333" s="48" t="str">
        <f t="shared" si="208"/>
        <v>547.187404092767</v>
      </c>
      <c r="Q333" s="17" t="str">
        <f t="shared" si="209"/>
        <v>1+1702.12198038822i</v>
      </c>
      <c r="R333" s="17">
        <f t="shared" si="218"/>
        <v>1702.1222741391748</v>
      </c>
      <c r="S333" s="17">
        <f t="shared" si="219"/>
        <v>1.5702088249022772</v>
      </c>
      <c r="T333" s="17" t="str">
        <f t="shared" si="210"/>
        <v>1+0.0322074455435008i</v>
      </c>
      <c r="U333" s="17">
        <f t="shared" si="220"/>
        <v>1.0005185253399547</v>
      </c>
      <c r="V333" s="17">
        <f t="shared" si="221"/>
        <v>3.2196315998660859E-2</v>
      </c>
      <c r="W333" s="31" t="str">
        <f t="shared" si="211"/>
        <v>1-0.559290277182273i</v>
      </c>
      <c r="X333" s="17">
        <f t="shared" si="222"/>
        <v>1.1457772969258135</v>
      </c>
      <c r="Y333" s="17">
        <f t="shared" si="223"/>
        <v>-0.50994787006812214</v>
      </c>
      <c r="Z333" s="31" t="str">
        <f t="shared" si="212"/>
        <v>0.93404091520764+2.67601729399257i</v>
      </c>
      <c r="AA333" s="17">
        <f t="shared" si="224"/>
        <v>2.8343431318436449</v>
      </c>
      <c r="AB333" s="17">
        <f t="shared" si="225"/>
        <v>1.234975718357771</v>
      </c>
      <c r="AC333" s="66" t="str">
        <f t="shared" si="226"/>
        <v>-0.128725792726751+0.0183166863394966i</v>
      </c>
      <c r="AD333" s="64">
        <f t="shared" si="227"/>
        <v>-17.71963484194535</v>
      </c>
      <c r="AE333" s="61">
        <f t="shared" si="228"/>
        <v>171.90161721186948</v>
      </c>
      <c r="AF333" s="31" t="str">
        <f t="shared" si="213"/>
        <v>-6627.51882264077</v>
      </c>
      <c r="AG333" s="31" t="str">
        <f t="shared" si="229"/>
        <v>88752.3514621323i</v>
      </c>
      <c r="AH333" s="31">
        <f t="shared" si="230"/>
        <v>88752.351462132297</v>
      </c>
      <c r="AI333" s="31">
        <f t="shared" si="231"/>
        <v>1.5707963267948966</v>
      </c>
      <c r="AJ333" s="31" t="str">
        <f t="shared" si="214"/>
        <v>0.059961219920495+43.3240166044826i</v>
      </c>
      <c r="AK333" s="31">
        <f t="shared" si="232"/>
        <v>43.324058098167335</v>
      </c>
      <c r="AL333" s="31">
        <f t="shared" si="233"/>
        <v>1.5694123096530286</v>
      </c>
      <c r="AM333" s="31" t="str">
        <f t="shared" si="215"/>
        <v>1+51.4701511834344i</v>
      </c>
      <c r="AN333" s="31">
        <f t="shared" si="234"/>
        <v>51.479864635074499</v>
      </c>
      <c r="AO333" s="31">
        <f t="shared" si="235"/>
        <v>1.551370034463631</v>
      </c>
      <c r="AP333" s="31" t="str">
        <f t="shared" si="216"/>
        <v>1+41.5361004842779i</v>
      </c>
      <c r="AQ333" s="31">
        <f t="shared" si="236"/>
        <v>41.548136461699826</v>
      </c>
      <c r="AR333" s="31">
        <f t="shared" si="237"/>
        <v>1.5467255342426085</v>
      </c>
      <c r="AS333" s="58" t="str">
        <f t="shared" si="238"/>
        <v>-3.68337291907465+0.155209899570216i</v>
      </c>
      <c r="AT333" s="49">
        <f t="shared" si="239"/>
        <v>11.33261835091985</v>
      </c>
      <c r="AU333" s="61">
        <f t="shared" si="240"/>
        <v>177.58709895605287</v>
      </c>
      <c r="AV333" s="58" t="str">
        <f t="shared" si="217"/>
        <v>0.471302167868919-0.0874467037913018i</v>
      </c>
      <c r="AW333" s="64">
        <f t="shared" si="241"/>
        <v>-6.3870164910254985</v>
      </c>
      <c r="AX333" s="61">
        <f t="shared" si="242"/>
        <v>-10.511283832077634</v>
      </c>
    </row>
    <row r="334" spans="14:50" x14ac:dyDescent="0.35">
      <c r="N334" s="10">
        <v>16</v>
      </c>
      <c r="O334" s="50">
        <f t="shared" si="244"/>
        <v>14454.397707459291</v>
      </c>
      <c r="P334" s="48" t="str">
        <f t="shared" si="208"/>
        <v>547.187404092767</v>
      </c>
      <c r="Q334" s="17" t="str">
        <f t="shared" si="209"/>
        <v>1+1741.76949453831i</v>
      </c>
      <c r="R334" s="17">
        <f t="shared" si="218"/>
        <v>1741.7697816026778</v>
      </c>
      <c r="S334" s="17">
        <f t="shared" si="219"/>
        <v>1.5702221980750739</v>
      </c>
      <c r="T334" s="17" t="str">
        <f t="shared" si="210"/>
        <v>1+0.0329576533239283i</v>
      </c>
      <c r="U334" s="17">
        <f t="shared" si="220"/>
        <v>1.0005429560556709</v>
      </c>
      <c r="V334" s="17">
        <f t="shared" si="221"/>
        <v>3.2945728151265632E-2</v>
      </c>
      <c r="W334" s="31" t="str">
        <f t="shared" si="211"/>
        <v>1-0.57231782129138i</v>
      </c>
      <c r="X334" s="17">
        <f t="shared" si="222"/>
        <v>1.1521925570700897</v>
      </c>
      <c r="Y334" s="17">
        <f t="shared" si="223"/>
        <v>-0.51981621504526809</v>
      </c>
      <c r="Z334" s="31" t="str">
        <f t="shared" si="212"/>
        <v>0.93093235931061+2.73834974416471i</v>
      </c>
      <c r="AA334" s="17">
        <f t="shared" si="224"/>
        <v>2.8922645762410037</v>
      </c>
      <c r="AB334" s="17">
        <f t="shared" si="225"/>
        <v>1.2430926999990333</v>
      </c>
      <c r="AC334" s="66" t="str">
        <f t="shared" si="226"/>
        <v>-0.123646965909759+0.0197755849475265i</v>
      </c>
      <c r="AD334" s="64">
        <f t="shared" si="227"/>
        <v>-18.04663748322649</v>
      </c>
      <c r="AE334" s="61">
        <f t="shared" si="228"/>
        <v>170.91330583057044</v>
      </c>
      <c r="AF334" s="31" t="str">
        <f t="shared" si="213"/>
        <v>-6627.51882264077</v>
      </c>
      <c r="AG334" s="31" t="str">
        <f t="shared" si="229"/>
        <v>90819.6592996385i</v>
      </c>
      <c r="AH334" s="31">
        <f t="shared" si="230"/>
        <v>90819.659299638501</v>
      </c>
      <c r="AI334" s="31">
        <f t="shared" si="231"/>
        <v>1.5707963267948966</v>
      </c>
      <c r="AJ334" s="31" t="str">
        <f t="shared" si="214"/>
        <v>0.01565855710381+44.333162588822i</v>
      </c>
      <c r="AK334" s="31">
        <f t="shared" si="232"/>
        <v>44.333165354137947</v>
      </c>
      <c r="AL334" s="31">
        <f t="shared" si="233"/>
        <v>1.5704431249130932</v>
      </c>
      <c r="AM334" s="31" t="str">
        <f t="shared" si="215"/>
        <v>1+52.6690450176394i</v>
      </c>
      <c r="AN334" s="31">
        <f t="shared" si="234"/>
        <v>52.67853740443185</v>
      </c>
      <c r="AO334" s="31">
        <f t="shared" si="235"/>
        <v>1.5518121233894178</v>
      </c>
      <c r="AP334" s="31" t="str">
        <f t="shared" si="216"/>
        <v>1+42.5036005522308i</v>
      </c>
      <c r="AQ334" s="31">
        <f t="shared" si="236"/>
        <v>42.515362634036109</v>
      </c>
      <c r="AR334" s="31">
        <f t="shared" si="237"/>
        <v>1.5472732479233278</v>
      </c>
      <c r="AS334" s="58" t="str">
        <f t="shared" si="238"/>
        <v>-3.68329055426403+0.155357758890693i</v>
      </c>
      <c r="AT334" s="49">
        <f t="shared" si="239"/>
        <v>11.332439139616371</v>
      </c>
      <c r="AU334" s="61">
        <f t="shared" si="240"/>
        <v>177.58474910409734</v>
      </c>
      <c r="AV334" s="58" t="str">
        <f t="shared" si="217"/>
        <v>0.452355411040622-0.0920487407596444i</v>
      </c>
      <c r="AW334" s="64">
        <f t="shared" si="241"/>
        <v>-6.7141983436101107</v>
      </c>
      <c r="AX334" s="61">
        <f t="shared" si="242"/>
        <v>-11.501945065332229</v>
      </c>
    </row>
    <row r="335" spans="14:50" x14ac:dyDescent="0.35">
      <c r="N335" s="10">
        <v>17</v>
      </c>
      <c r="O335" s="50">
        <f t="shared" si="244"/>
        <v>14791.083881682089</v>
      </c>
      <c r="P335" s="48" t="str">
        <f t="shared" si="208"/>
        <v>547.187404092767</v>
      </c>
      <c r="Q335" s="17" t="str">
        <f t="shared" si="209"/>
        <v>1+1782.34051792944i</v>
      </c>
      <c r="R335" s="17">
        <f t="shared" si="218"/>
        <v>1782.3407984594262</v>
      </c>
      <c r="S335" s="17">
        <f t="shared" si="219"/>
        <v>1.5702352668374917</v>
      </c>
      <c r="T335" s="17" t="str">
        <f t="shared" si="210"/>
        <v>1+0.0337253356883944i</v>
      </c>
      <c r="U335" s="17">
        <f t="shared" si="220"/>
        <v>1.0005685375161937</v>
      </c>
      <c r="V335" s="17">
        <f t="shared" si="221"/>
        <v>3.3712558027776354E-2</v>
      </c>
      <c r="W335" s="31" t="str">
        <f t="shared" si="211"/>
        <v>1-0.585648815884858i</v>
      </c>
      <c r="X335" s="17">
        <f t="shared" si="222"/>
        <v>1.1588720962847179</v>
      </c>
      <c r="Y335" s="17">
        <f t="shared" si="223"/>
        <v>-0.52980032134428501</v>
      </c>
      <c r="Z335" s="31" t="str">
        <f t="shared" si="212"/>
        <v>0.927677301687618+2.80213410361754i</v>
      </c>
      <c r="AA335" s="17">
        <f t="shared" si="224"/>
        <v>2.9517013247825217</v>
      </c>
      <c r="AB335" s="17">
        <f t="shared" si="225"/>
        <v>1.251092270037012</v>
      </c>
      <c r="AC335" s="66" t="str">
        <f t="shared" si="226"/>
        <v>-0.118742887048526+0.0210955174723621i</v>
      </c>
      <c r="AD335" s="64">
        <f t="shared" si="227"/>
        <v>-18.372894369986035</v>
      </c>
      <c r="AE335" s="61">
        <f t="shared" si="228"/>
        <v>169.92610440692994</v>
      </c>
      <c r="AF335" s="31" t="str">
        <f t="shared" si="213"/>
        <v>-6627.51882264077</v>
      </c>
      <c r="AG335" s="31" t="str">
        <f t="shared" si="229"/>
        <v>92935.1209226457i</v>
      </c>
      <c r="AH335" s="31">
        <f t="shared" si="230"/>
        <v>92935.120922645699</v>
      </c>
      <c r="AI335" s="31">
        <f t="shared" si="231"/>
        <v>1.5707963267948966</v>
      </c>
      <c r="AJ335" s="31" t="str">
        <f t="shared" si="214"/>
        <v>-0.03073202588622+45.3658146027849i</v>
      </c>
      <c r="AK335" s="31">
        <f t="shared" si="232"/>
        <v>45.36582501213514</v>
      </c>
      <c r="AL335" s="31">
        <f t="shared" si="233"/>
        <v>1.5714737536515342</v>
      </c>
      <c r="AM335" s="31" t="str">
        <f t="shared" si="215"/>
        <v>1+53.89586467667i</v>
      </c>
      <c r="AN335" s="31">
        <f t="shared" si="234"/>
        <v>53.905141027975482</v>
      </c>
      <c r="AO335" s="31">
        <f t="shared" si="235"/>
        <v>1.5522441563141114</v>
      </c>
      <c r="AP335" s="31" t="str">
        <f t="shared" si="216"/>
        <v>1+43.4936365917981i</v>
      </c>
      <c r="AQ335" s="31">
        <f t="shared" si="236"/>
        <v>43.505131007496104</v>
      </c>
      <c r="AR335" s="31">
        <f t="shared" si="237"/>
        <v>1.5478085077589805</v>
      </c>
      <c r="AS335" s="58" t="str">
        <f t="shared" si="238"/>
        <v>-3.68320436657137+0.155587818571087i</v>
      </c>
      <c r="AT335" s="49">
        <f t="shared" si="239"/>
        <v>11.332259111895135</v>
      </c>
      <c r="AU335" s="61">
        <f t="shared" si="240"/>
        <v>177.58112021986116</v>
      </c>
      <c r="AV335" s="58" t="str">
        <f t="shared" si="217"/>
        <v>0.434072114531269-0.0961740488359999i</v>
      </c>
      <c r="AW335" s="64">
        <f t="shared" si="241"/>
        <v>-7.0406352580908971</v>
      </c>
      <c r="AX335" s="61">
        <f t="shared" si="242"/>
        <v>-12.492775373208897</v>
      </c>
    </row>
    <row r="336" spans="14:50" x14ac:dyDescent="0.35">
      <c r="N336" s="10">
        <v>18</v>
      </c>
      <c r="O336" s="50">
        <f t="shared" si="244"/>
        <v>15135.612484362096</v>
      </c>
      <c r="P336" s="48" t="str">
        <f t="shared" si="208"/>
        <v>547.187404092767</v>
      </c>
      <c r="Q336" s="17" t="str">
        <f t="shared" si="209"/>
        <v>1+1823.85656185524i</v>
      </c>
      <c r="R336" s="17">
        <f t="shared" si="218"/>
        <v>1823.8568359995852</v>
      </c>
      <c r="S336" s="17">
        <f t="shared" si="219"/>
        <v>1.5702480381187434</v>
      </c>
      <c r="T336" s="17" t="str">
        <f t="shared" si="210"/>
        <v>1+0.03451089967225i</v>
      </c>
      <c r="U336" s="17">
        <f t="shared" si="220"/>
        <v>1.0005953238928254</v>
      </c>
      <c r="V336" s="17">
        <f t="shared" si="221"/>
        <v>3.4497208602141831E-2</v>
      </c>
      <c r="W336" s="31" t="str">
        <f t="shared" si="211"/>
        <v>1-0.599290329232497i</v>
      </c>
      <c r="X336" s="17">
        <f t="shared" si="222"/>
        <v>1.1658254151937135</v>
      </c>
      <c r="Y336" s="17">
        <f t="shared" si="223"/>
        <v>-0.53989752015038606</v>
      </c>
      <c r="Z336" s="31" t="str">
        <f t="shared" si="212"/>
        <v>0.924268837925032+2.86740419166274i</v>
      </c>
      <c r="AA336" s="17">
        <f t="shared" si="224"/>
        <v>3.0126864561590772</v>
      </c>
      <c r="AB336" s="17">
        <f t="shared" si="225"/>
        <v>1.2589754163796174</v>
      </c>
      <c r="AC336" s="66" t="str">
        <f t="shared" si="226"/>
        <v>-0.114009626050248+0.0222848806740157i</v>
      </c>
      <c r="AD336" s="64">
        <f t="shared" si="227"/>
        <v>-18.698332019324454</v>
      </c>
      <c r="AE336" s="61">
        <f t="shared" si="228"/>
        <v>168.94013194150961</v>
      </c>
      <c r="AF336" s="31" t="str">
        <f t="shared" si="213"/>
        <v>-6627.51882264077</v>
      </c>
      <c r="AG336" s="31" t="str">
        <f t="shared" si="229"/>
        <v>95099.8579769078i</v>
      </c>
      <c r="AH336" s="31">
        <f t="shared" si="230"/>
        <v>95099.857976907806</v>
      </c>
      <c r="AI336" s="31">
        <f t="shared" si="231"/>
        <v>1.5707963267948966</v>
      </c>
      <c r="AJ336" s="31" t="str">
        <f t="shared" si="214"/>
        <v>-0.0793089296957901+46.4225201721377i</v>
      </c>
      <c r="AK336" s="31">
        <f t="shared" si="232"/>
        <v>46.422587918370745</v>
      </c>
      <c r="AL336" s="31">
        <f t="shared" si="233"/>
        <v>1.5725047401305505</v>
      </c>
      <c r="AM336" s="31" t="str">
        <f t="shared" si="215"/>
        <v>1+55.1512606365482i</v>
      </c>
      <c r="AN336" s="31">
        <f t="shared" si="234"/>
        <v>55.160325867424596</v>
      </c>
      <c r="AO336" s="31">
        <f t="shared" si="235"/>
        <v>1.5526663616617971</v>
      </c>
      <c r="AP336" s="31" t="str">
        <f t="shared" si="216"/>
        <v>1+44.5067335331928i</v>
      </c>
      <c r="AQ336" s="31">
        <f t="shared" si="236"/>
        <v>44.517966370833122</v>
      </c>
      <c r="AR336" s="31">
        <f t="shared" si="237"/>
        <v>1.5483315963238846</v>
      </c>
      <c r="AS336" s="58" t="str">
        <f t="shared" si="238"/>
        <v>-3.68311417373489+0.155900188443884i</v>
      </c>
      <c r="AT336" s="49">
        <f t="shared" si="239"/>
        <v>11.332077886432792</v>
      </c>
      <c r="AU336" s="61">
        <f t="shared" si="240"/>
        <v>177.57621039746925</v>
      </c>
      <c r="AV336" s="58" t="str">
        <f t="shared" si="217"/>
        <v>0.416436252551354-0.0998518820561084i</v>
      </c>
      <c r="AW336" s="64">
        <f t="shared" si="241"/>
        <v>-7.3662541328916706</v>
      </c>
      <c r="AX336" s="61">
        <f t="shared" si="242"/>
        <v>-13.483657661021125</v>
      </c>
    </row>
    <row r="337" spans="14:50" x14ac:dyDescent="0.35">
      <c r="N337" s="10">
        <v>19</v>
      </c>
      <c r="O337" s="50">
        <f t="shared" si="244"/>
        <v>15488.166189124853</v>
      </c>
      <c r="P337" s="48" t="str">
        <f t="shared" si="208"/>
        <v>547.187404092767</v>
      </c>
      <c r="Q337" s="17" t="str">
        <f t="shared" si="209"/>
        <v>1+1866.33963867174i</v>
      </c>
      <c r="R337" s="17">
        <f t="shared" si="218"/>
        <v>1866.339906575799</v>
      </c>
      <c r="S337" s="17">
        <f t="shared" si="219"/>
        <v>1.5702605186903145</v>
      </c>
      <c r="T337" s="17" t="str">
        <f t="shared" si="210"/>
        <v>1+0.0353147617919176i</v>
      </c>
      <c r="U337" s="17">
        <f t="shared" si="220"/>
        <v>1.0006233719039446</v>
      </c>
      <c r="V337" s="17">
        <f t="shared" si="221"/>
        <v>3.5300092039546864E-2</v>
      </c>
      <c r="W337" s="31" t="str">
        <f t="shared" si="211"/>
        <v>1-0.613249594245241i</v>
      </c>
      <c r="X337" s="17">
        <f t="shared" si="222"/>
        <v>1.1730622595761713</v>
      </c>
      <c r="Y337" s="17">
        <f t="shared" si="223"/>
        <v>-0.55010492904845565</v>
      </c>
      <c r="Z337" s="31" t="str">
        <f t="shared" si="212"/>
        <v>0.920699738214231+2.93419461536495i</v>
      </c>
      <c r="AA337" s="17">
        <f t="shared" si="224"/>
        <v>3.0752538185952099</v>
      </c>
      <c r="AB337" s="17">
        <f t="shared" si="225"/>
        <v>1.2667432335581252</v>
      </c>
      <c r="AC337" s="66" t="str">
        <f t="shared" si="226"/>
        <v>-0.109443172009635+0.0233516926508775i</v>
      </c>
      <c r="AD337" s="64">
        <f t="shared" si="227"/>
        <v>-19.022878237645934</v>
      </c>
      <c r="AE337" s="61">
        <f t="shared" si="228"/>
        <v>167.95551409985544</v>
      </c>
      <c r="AF337" s="31" t="str">
        <f t="shared" si="213"/>
        <v>-6627.51882264077</v>
      </c>
      <c r="AG337" s="31" t="str">
        <f t="shared" si="229"/>
        <v>97315.0182346649i</v>
      </c>
      <c r="AH337" s="31">
        <f t="shared" si="230"/>
        <v>97315.018234664894</v>
      </c>
      <c r="AI337" s="31">
        <f t="shared" si="231"/>
        <v>1.5707963267948966</v>
      </c>
      <c r="AJ337" s="31" t="str">
        <f t="shared" si="214"/>
        <v>-0.13017519245073+47.5038395761605i</v>
      </c>
      <c r="AK337" s="31">
        <f t="shared" si="232"/>
        <v>47.504017935942251</v>
      </c>
      <c r="AL337" s="31">
        <f t="shared" si="233"/>
        <v>1.5735366287951651</v>
      </c>
      <c r="AM337" s="31" t="str">
        <f t="shared" si="215"/>
        <v>1+56.4358985248292i</v>
      </c>
      <c r="AN337" s="31">
        <f t="shared" si="234"/>
        <v>56.444757438621515</v>
      </c>
      <c r="AO337" s="31">
        <f t="shared" si="235"/>
        <v>1.5530789626889034</v>
      </c>
      <c r="AP337" s="31" t="str">
        <f t="shared" si="216"/>
        <v>1+45.5434285338231i</v>
      </c>
      <c r="AQ337" s="31">
        <f t="shared" si="236"/>
        <v>45.554405743192973</v>
      </c>
      <c r="AR337" s="31">
        <f t="shared" si="237"/>
        <v>1.5488427898208379</v>
      </c>
      <c r="AS337" s="58" t="str">
        <f t="shared" si="238"/>
        <v>-3.68301978504999+0.156295021105087i</v>
      </c>
      <c r="AT337" s="49">
        <f t="shared" si="239"/>
        <v>11.331895079377601</v>
      </c>
      <c r="AU337" s="61">
        <f t="shared" si="240"/>
        <v>177.5700170594254</v>
      </c>
      <c r="AV337" s="58" t="str">
        <f t="shared" si="217"/>
        <v>0.399431614554407-0.103110168926642i</v>
      </c>
      <c r="AW337" s="64">
        <f t="shared" si="241"/>
        <v>-7.6909831582683266</v>
      </c>
      <c r="AX337" s="61">
        <f t="shared" si="242"/>
        <v>-14.474468840719192</v>
      </c>
    </row>
    <row r="338" spans="14:50" x14ac:dyDescent="0.35">
      <c r="N338" s="10">
        <v>20</v>
      </c>
      <c r="O338" s="50">
        <f t="shared" si="244"/>
        <v>15848.931924611146</v>
      </c>
      <c r="P338" s="48" t="str">
        <f t="shared" si="208"/>
        <v>547.187404092767</v>
      </c>
      <c r="Q338" s="17" t="str">
        <f t="shared" si="209"/>
        <v>1+1909.81227346859i</v>
      </c>
      <c r="R338" s="17">
        <f t="shared" si="218"/>
        <v>1909.8125352744089</v>
      </c>
      <c r="S338" s="17">
        <f t="shared" si="219"/>
        <v>1.5702727151695539</v>
      </c>
      <c r="T338" s="17" t="str">
        <f t="shared" si="210"/>
        <v>1+0.0361373482657334i</v>
      </c>
      <c r="U338" s="17">
        <f t="shared" si="220"/>
        <v>1.0006527409344756</v>
      </c>
      <c r="V338" s="17">
        <f t="shared" si="221"/>
        <v>3.6121629896602607E-2</v>
      </c>
      <c r="W338" s="31" t="str">
        <f t="shared" si="211"/>
        <v>1-0.62753401231017i</v>
      </c>
      <c r="X338" s="17">
        <f t="shared" si="222"/>
        <v>1.1805926209349695</v>
      </c>
      <c r="Y338" s="17">
        <f t="shared" si="223"/>
        <v>-0.56041945151054129</v>
      </c>
      <c r="Z338" s="31" t="str">
        <f t="shared" si="212"/>
        <v>0.916962432016212+3.00254078789087i</v>
      </c>
      <c r="AA338" s="17">
        <f t="shared" si="224"/>
        <v>3.1394380523713812</v>
      </c>
      <c r="AB338" s="17">
        <f t="shared" si="225"/>
        <v>1.2743969164290445</v>
      </c>
      <c r="AC338" s="66" t="str">
        <f t="shared" si="226"/>
        <v>-0.105039450283755+0.0243036010234357i</v>
      </c>
      <c r="AD338" s="64">
        <f t="shared" si="227"/>
        <v>-19.34646224266849</v>
      </c>
      <c r="AE338" s="61">
        <f t="shared" si="228"/>
        <v>166.97238361398396</v>
      </c>
      <c r="AF338" s="31" t="str">
        <f t="shared" si="213"/>
        <v>-6627.51882264077</v>
      </c>
      <c r="AG338" s="31" t="str">
        <f t="shared" si="229"/>
        <v>99581.7762032062i</v>
      </c>
      <c r="AH338" s="31">
        <f t="shared" si="230"/>
        <v>99581.776203206202</v>
      </c>
      <c r="AI338" s="31">
        <f t="shared" si="231"/>
        <v>1.5707963267948966</v>
      </c>
      <c r="AJ338" s="31" t="str">
        <f t="shared" si="214"/>
        <v>-0.18343870831407+48.6103461447141i</v>
      </c>
      <c r="AK338" s="31">
        <f t="shared" si="232"/>
        <v>48.610692260742688</v>
      </c>
      <c r="AL338" s="31">
        <f t="shared" si="233"/>
        <v>1.5745699645514315</v>
      </c>
      <c r="AM338" s="31" t="str">
        <f t="shared" si="215"/>
        <v>1+57.7504594735254i</v>
      </c>
      <c r="AN338" s="31">
        <f t="shared" si="234"/>
        <v>57.759116764397461</v>
      </c>
      <c r="AO338" s="31">
        <f t="shared" si="235"/>
        <v>1.5534821775997061</v>
      </c>
      <c r="AP338" s="31" t="str">
        <f t="shared" si="216"/>
        <v>1+46.6042712631004i</v>
      </c>
      <c r="AQ338" s="31">
        <f t="shared" si="236"/>
        <v>46.614998658850624</v>
      </c>
      <c r="AR338" s="31">
        <f t="shared" si="237"/>
        <v>1.5493423582221106</v>
      </c>
      <c r="AS338" s="58" t="str">
        <f t="shared" si="238"/>
        <v>-3.68292100097002+0.15677251193323i</v>
      </c>
      <c r="AT338" s="49">
        <f t="shared" si="239"/>
        <v>11.331710303540234</v>
      </c>
      <c r="AU338" s="61">
        <f t="shared" si="240"/>
        <v>177.56253695536813</v>
      </c>
      <c r="AV338" s="58" t="str">
        <f t="shared" si="217"/>
        <v>0.383041860798921-0.105975541081478i</v>
      </c>
      <c r="AW338" s="64">
        <f t="shared" si="241"/>
        <v>-8.014751939128244</v>
      </c>
      <c r="AX338" s="61">
        <f t="shared" si="242"/>
        <v>-15.465079430647927</v>
      </c>
    </row>
    <row r="339" spans="14:50" x14ac:dyDescent="0.35">
      <c r="N339" s="10">
        <v>21</v>
      </c>
      <c r="O339" s="50">
        <f t="shared" si="244"/>
        <v>16218.100973589309</v>
      </c>
      <c r="P339" s="48" t="str">
        <f t="shared" ref="P339:P402" si="245">COMPLEX(Adc,0)</f>
        <v>547.187404092767</v>
      </c>
      <c r="Q339" s="17" t="str">
        <f t="shared" ref="Q339:Q402" si="246">IMSUM(COMPLEX(1,0),IMDIV(COMPLEX(0,2*PI()*O339),COMPLEX(wp_lf,0)))</f>
        <v>1+1954.29751601217i</v>
      </c>
      <c r="R339" s="17">
        <f t="shared" si="218"/>
        <v>1954.2977718585614</v>
      </c>
      <c r="S339" s="17">
        <f t="shared" si="219"/>
        <v>1.570284634023182</v>
      </c>
      <c r="T339" s="17" t="str">
        <f t="shared" ref="T339:T402" si="247">IMSUM(COMPLEX(1,0),IMDIV(COMPLEX(0,2*PI()*O339),COMPLEX(wz_esr,0)))</f>
        <v>1+0.0369790952399339i</v>
      </c>
      <c r="U339" s="17">
        <f t="shared" si="220"/>
        <v>1.0006834931609314</v>
      </c>
      <c r="V339" s="17">
        <f t="shared" si="221"/>
        <v>3.6962253325213773E-2</v>
      </c>
      <c r="W339" s="31" t="str">
        <f t="shared" ref="W339:W402" si="248">IMSUB(COMPLEX(1,0),IMDIV(COMPLEX(0,2*PI()*O339),COMPLEX(wz_rhp,0)))</f>
        <v>1-0.64215115721482i</v>
      </c>
      <c r="X339" s="17">
        <f t="shared" si="222"/>
        <v>1.1884267367878982</v>
      </c>
      <c r="Y339" s="17">
        <f t="shared" si="223"/>
        <v>-0.57083777721622631</v>
      </c>
      <c r="Z339" s="31" t="str">
        <f t="shared" ref="Z339:Z402" si="249">IMSUM(COMPLEX(1,0),IMDIV(COMPLEX(0,2*PI()*O339),COMPLEX(Q*(wsl/2),0)),IMDIV(IMPOWER(COMPLEX(0,2*PI()*O339),2),IMPOWER(COMPLEX(wsl/2,0),2)))</f>
        <v>0.913048992003459+3.07247894728585i</v>
      </c>
      <c r="AA339" s="17">
        <f t="shared" si="224"/>
        <v>3.2052746127770857</v>
      </c>
      <c r="AB339" s="17">
        <f t="shared" si="225"/>
        <v>1.2819377540266372</v>
      </c>
      <c r="AC339" s="66" t="str">
        <f t="shared" si="226"/>
        <v>-0.100794338498838+0.025147891816679i</v>
      </c>
      <c r="AD339" s="64">
        <f t="shared" si="227"/>
        <v>-19.669014784590992</v>
      </c>
      <c r="AE339" s="61">
        <f t="shared" si="228"/>
        <v>165.99088062772967</v>
      </c>
      <c r="AF339" s="31" t="str">
        <f t="shared" ref="AF339:AF402" si="250">COMPLEX(Adc_ea_iso,0)</f>
        <v>-6627.51882264077</v>
      </c>
      <c r="AG339" s="31" t="str">
        <f t="shared" si="229"/>
        <v>101901.333747611i</v>
      </c>
      <c r="AH339" s="31">
        <f t="shared" si="230"/>
        <v>101901.333747611</v>
      </c>
      <c r="AI339" s="31">
        <f t="shared" si="231"/>
        <v>1.5707963267948966</v>
      </c>
      <c r="AJ339" s="31" t="str">
        <f t="shared" ref="AJ339:AJ402" si="251">IMSUM(IMPRODUCT(COMPLEX(wpA_ea_iso,0),IMPOWER(COMPLEX(0,2*PI()*O339),2)),COMPLEX(0,wpB_ea_iso*2*PI()*O339),COMPLEX(1,0))</f>
        <v>-0.23921245634414+49.7426265622277i</v>
      </c>
      <c r="AK339" s="31">
        <f t="shared" si="232"/>
        <v>49.743201745650737</v>
      </c>
      <c r="AL339" s="31">
        <f t="shared" si="233"/>
        <v>1.5756052930448088</v>
      </c>
      <c r="AM339" s="31" t="str">
        <f t="shared" ref="AM339:AM402" si="252">IMSUM(COMPLEX(1,0),IMDIV(COMPLEX(0,2*PI()*O339),COMPLEX(wz1_ea_iso,0)))</f>
        <v>1+59.0956404802521i</v>
      </c>
      <c r="AN339" s="31">
        <f t="shared" si="234"/>
        <v>59.104100735661405</v>
      </c>
      <c r="AO339" s="31">
        <f t="shared" si="235"/>
        <v>1.5538762196593421</v>
      </c>
      <c r="AP339" s="31" t="str">
        <f t="shared" ref="AP339:AP402" si="253">IMSUM(COMPLEX(1,0),IMDIV(COMPLEX(0,2*PI()*O339),COMPLEX(wz2_ea_iso,0)))</f>
        <v>1+47.6898241938819i</v>
      </c>
      <c r="AQ339" s="31">
        <f t="shared" si="236"/>
        <v>47.700307458583147</v>
      </c>
      <c r="AR339" s="31">
        <f t="shared" si="237"/>
        <v>1.5498305654074973</v>
      </c>
      <c r="AS339" s="58" t="str">
        <f t="shared" si="238"/>
        <v>-3.68281761268855+0.157332899126631i</v>
      </c>
      <c r="AT339" s="49">
        <f t="shared" si="239"/>
        <v>11.331523167577126</v>
      </c>
      <c r="AU339" s="61">
        <f t="shared" si="240"/>
        <v>177.55376616050637</v>
      </c>
      <c r="AV339" s="58" t="str">
        <f t="shared" ref="AV339:AV402" si="254">IMPRODUCT(AC339,AS339)</f>
        <v>0.367250574356371-0.108473364396025i</v>
      </c>
      <c r="AW339" s="64">
        <f t="shared" si="241"/>
        <v>-8.3374916170138658</v>
      </c>
      <c r="AX339" s="61">
        <f t="shared" si="242"/>
        <v>-16.455353211763978</v>
      </c>
    </row>
    <row r="340" spans="14:50" x14ac:dyDescent="0.35">
      <c r="N340" s="10">
        <v>22</v>
      </c>
      <c r="O340" s="50">
        <f t="shared" si="244"/>
        <v>16595.869074375616</v>
      </c>
      <c r="P340" s="48" t="str">
        <f t="shared" si="245"/>
        <v>547.187404092767</v>
      </c>
      <c r="Q340" s="17" t="str">
        <f t="shared" si="246"/>
        <v>1+1999.81895296695i</v>
      </c>
      <c r="R340" s="17">
        <f t="shared" ref="R340:R403" si="255">IMABS(Q340)</f>
        <v>1999.8192029895672</v>
      </c>
      <c r="S340" s="17">
        <f t="shared" ref="S340:S403" si="256">IMARGUMENT(Q340)</f>
        <v>1.5702962815707187</v>
      </c>
      <c r="T340" s="17" t="str">
        <f t="shared" si="247"/>
        <v>1+0.0378404490199071i</v>
      </c>
      <c r="U340" s="17">
        <f t="shared" ref="U340:U403" si="257">IMABS(T340)</f>
        <v>1.0007156936822907</v>
      </c>
      <c r="V340" s="17">
        <f t="shared" ref="V340:V403" si="258">IMARGUMENT(T340)</f>
        <v>3.7822403280139041E-2</v>
      </c>
      <c r="W340" s="31" t="str">
        <f t="shared" si="248"/>
        <v>1-0.657108779162904i</v>
      </c>
      <c r="X340" s="17">
        <f t="shared" ref="X340:X403" si="259">IMABS(W340)</f>
        <v>1.1965750906871504</v>
      </c>
      <c r="Y340" s="17">
        <f t="shared" ref="Y340:Y403" si="260">IMARGUMENT(W340)</f>
        <v>-0.58135638324711747</v>
      </c>
      <c r="Z340" s="31" t="str">
        <f t="shared" si="249"/>
        <v>0.908951117245019+3.14404617568777i</v>
      </c>
      <c r="AA340" s="17">
        <f t="shared" ref="AA340:AA403" si="261">IMABS(Z340)</f>
        <v>3.2727997935098108</v>
      </c>
      <c r="AB340" s="17">
        <f t="shared" ref="AB340:AB403" si="262">IMARGUMENT(Z340)</f>
        <v>1.2893671235815105</v>
      </c>
      <c r="AC340" s="66" t="str">
        <f t="shared" ref="AC340:AC403" si="263">(IMDIV(IMPRODUCT(P340,T340,W340),IMPRODUCT(Q340,Z340)))</f>
        <v>-0.0967036814911124+0.0258914989339469i</v>
      </c>
      <c r="AD340" s="64">
        <f t="shared" ref="AD340:AD403" si="264">20*LOG(IMABS(AC340))</f>
        <v>-19.990468266081336</v>
      </c>
      <c r="AE340" s="61">
        <f t="shared" ref="AE340:AE403" si="265">(180/PI())*IMARGUMENT(AC340)</f>
        <v>165.01115298271156</v>
      </c>
      <c r="AF340" s="31" t="str">
        <f t="shared" si="250"/>
        <v>-6627.51882264077</v>
      </c>
      <c r="AG340" s="31" t="str">
        <f t="shared" ref="AG340:AG403" si="266">COMPLEX(0,1*2*PI()*O340)</f>
        <v>104274.920727993i</v>
      </c>
      <c r="AH340" s="31">
        <f t="shared" ref="AH340:AH403" si="267">IMABS(AG340)</f>
        <v>104274.920727993</v>
      </c>
      <c r="AI340" s="31">
        <f t="shared" ref="AI340:AI403" si="268">IMARGUMENT(AG340)</f>
        <v>1.5707963267948966</v>
      </c>
      <c r="AJ340" s="31" t="str">
        <f t="shared" si="251"/>
        <v>-0.29761474013824+50.9012811787661i</v>
      </c>
      <c r="AK340" s="31">
        <f t="shared" ref="AK340:AK403" si="269">IMABS(AJ340)</f>
        <v>50.90215123325688</v>
      </c>
      <c r="AL340" s="31">
        <f t="shared" ref="AL340:AL403" si="270">IMARGUMENT(AJ340)</f>
        <v>1.5766431609387908</v>
      </c>
      <c r="AM340" s="31" t="str">
        <f t="shared" si="252"/>
        <v>1+60.472154777785i</v>
      </c>
      <c r="AN340" s="31">
        <f t="shared" ref="AN340:AN403" si="271">IMABS(AM340)</f>
        <v>60.480422480901908</v>
      </c>
      <c r="AO340" s="31">
        <f t="shared" ref="AO340:AO403" si="272">IMARGUMENT(AM340)</f>
        <v>1.5542612973043861</v>
      </c>
      <c r="AP340" s="31" t="str">
        <f t="shared" si="253"/>
        <v>1+48.8006629007007i</v>
      </c>
      <c r="AQ340" s="31">
        <f t="shared" ref="AQ340:AQ403" si="273">IMABS(AP340)</f>
        <v>48.810907587831494</v>
      </c>
      <c r="AR340" s="31">
        <f t="shared" ref="AR340:AR403" si="274">IMARGUMENT(AP340)</f>
        <v>1.5503076692994775</v>
      </c>
      <c r="AS340" s="58" t="str">
        <f t="shared" ref="AS340:AS403" si="275">IMDIV(IMPRODUCT(AF340,AM340,AP340),IMPRODUCT(AG340,AJ340))</f>
        <v>-3.68270940170268+0.157976463758574i</v>
      </c>
      <c r="AT340" s="49">
        <f t="shared" ref="AT340:AT403" si="276">20*LOG(IMABS(AS340))</f>
        <v>11.331333275165502</v>
      </c>
      <c r="AU340" s="61">
        <f t="shared" ref="AU340:AU403" si="277">(180/PI())*IMARGUMENT(AS340)</f>
        <v>177.54370007373467</v>
      </c>
      <c r="AV340" s="58" t="str">
        <f t="shared" si="254"/>
        <v>0.352041309563587-0.110627772182623i</v>
      </c>
      <c r="AW340" s="64">
        <f t="shared" ref="AW340:AW403" si="278">20*LOG(IMABS(AV340))</f>
        <v>-8.6591349909158382</v>
      </c>
      <c r="AX340" s="61">
        <f t="shared" ref="AX340:AX403" si="279">(180/PI())*IMARGUMENT(AV340)</f>
        <v>-17.445146943553819</v>
      </c>
    </row>
    <row r="341" spans="14:50" x14ac:dyDescent="0.35">
      <c r="N341" s="10">
        <v>23</v>
      </c>
      <c r="O341" s="50">
        <f t="shared" si="244"/>
        <v>16982.436524617482</v>
      </c>
      <c r="P341" s="48" t="str">
        <f t="shared" si="245"/>
        <v>547.187404092767</v>
      </c>
      <c r="Q341" s="17" t="str">
        <f t="shared" si="246"/>
        <v>1+2046.40072040133i</v>
      </c>
      <c r="R341" s="17">
        <f t="shared" si="255"/>
        <v>2046.4009647327384</v>
      </c>
      <c r="S341" s="17">
        <f t="shared" si="256"/>
        <v>1.5703076639878357</v>
      </c>
      <c r="T341" s="17" t="str">
        <f t="shared" si="247"/>
        <v>1+0.0387218663068283i</v>
      </c>
      <c r="U341" s="17">
        <f t="shared" si="257"/>
        <v>1.0007494106569754</v>
      </c>
      <c r="V341" s="17">
        <f t="shared" si="258"/>
        <v>3.8702530730253509E-2</v>
      </c>
      <c r="W341" s="31" t="str">
        <f t="shared" si="248"/>
        <v>1-0.672414808883565i</v>
      </c>
      <c r="X341" s="17">
        <f t="shared" si="259"/>
        <v>1.2050484119760172</v>
      </c>
      <c r="Y341" s="17">
        <f t="shared" si="260"/>
        <v>-0.59197153619176068</v>
      </c>
      <c r="Z341" s="31" t="str">
        <f t="shared" si="249"/>
        <v>0.904660115599119+3.21728041898842i</v>
      </c>
      <c r="AA341" s="17">
        <f t="shared" si="261"/>
        <v>3.34205075053658</v>
      </c>
      <c r="AB341" s="17">
        <f t="shared" si="262"/>
        <v>1.2966864847183583</v>
      </c>
      <c r="AC341" s="66" t="str">
        <f t="shared" si="263"/>
        <v>-0.0927633051917784+0.0265410141211863i</v>
      </c>
      <c r="AD341" s="64">
        <f t="shared" si="264"/>
        <v>-20.310756860705808</v>
      </c>
      <c r="AE341" s="61">
        <f t="shared" si="265"/>
        <v>164.03335644208792</v>
      </c>
      <c r="AF341" s="31" t="str">
        <f t="shared" si="250"/>
        <v>-6627.51882264077</v>
      </c>
      <c r="AG341" s="31" t="str">
        <f t="shared" si="266"/>
        <v>106703.795651587i</v>
      </c>
      <c r="AH341" s="31">
        <f t="shared" si="267"/>
        <v>106703.795651587</v>
      </c>
      <c r="AI341" s="31">
        <f t="shared" si="268"/>
        <v>1.5707963267948966</v>
      </c>
      <c r="AJ341" s="31" t="str">
        <f t="shared" si="251"/>
        <v>-0.35876943877041+52.0869243283437i</v>
      </c>
      <c r="AK341" s="31">
        <f t="shared" si="269"/>
        <v>52.088159897397013</v>
      </c>
      <c r="AL341" s="31">
        <f t="shared" si="270"/>
        <v>1.5776841161938964</v>
      </c>
      <c r="AM341" s="31" t="str">
        <f t="shared" si="252"/>
        <v>1+61.8807322122249i</v>
      </c>
      <c r="AN341" s="31">
        <f t="shared" si="271"/>
        <v>61.888811744297435</v>
      </c>
      <c r="AO341" s="31">
        <f t="shared" si="272"/>
        <v>1.554637614251031</v>
      </c>
      <c r="AP341" s="31" t="str">
        <f t="shared" si="253"/>
        <v>1+49.9373763649426i</v>
      </c>
      <c r="AQ341" s="31">
        <f t="shared" si="273"/>
        <v>49.947387901810515</v>
      </c>
      <c r="AR341" s="31">
        <f t="shared" si="274"/>
        <v>1.5507739219955334</v>
      </c>
      <c r="AS341" s="58" t="str">
        <f t="shared" si="275"/>
        <v>-3.6825961393562+0.158703529850132i</v>
      </c>
      <c r="AT341" s="49">
        <f t="shared" si="276"/>
        <v>11.331140224167697</v>
      </c>
      <c r="AU341" s="61">
        <f t="shared" si="277"/>
        <v>177.53233341542776</v>
      </c>
      <c r="AV341" s="58" t="str">
        <f t="shared" si="254"/>
        <v>0.33739763694633-0.112461700111779i</v>
      </c>
      <c r="AW341" s="64">
        <f t="shared" si="278"/>
        <v>-8.9796166365381005</v>
      </c>
      <c r="AX341" s="61">
        <f t="shared" si="279"/>
        <v>-18.434310142484236</v>
      </c>
    </row>
    <row r="342" spans="14:50" x14ac:dyDescent="0.35">
      <c r="N342" s="10">
        <v>24</v>
      </c>
      <c r="O342" s="50">
        <f t="shared" si="244"/>
        <v>17378.008287493791</v>
      </c>
      <c r="P342" s="48" t="str">
        <f t="shared" si="245"/>
        <v>547.187404092767</v>
      </c>
      <c r="Q342" s="17" t="str">
        <f t="shared" si="246"/>
        <v>1+2094.06751658495i</v>
      </c>
      <c r="R342" s="17">
        <f t="shared" si="255"/>
        <v>2094.0677553546971</v>
      </c>
      <c r="S342" s="17">
        <f t="shared" si="256"/>
        <v>1.5703187873096291</v>
      </c>
      <c r="T342" s="17" t="str">
        <f t="shared" si="247"/>
        <v>1+0.0396238144398094i</v>
      </c>
      <c r="U342" s="17">
        <f t="shared" si="257"/>
        <v>1.0007847154462144</v>
      </c>
      <c r="V342" s="17">
        <f t="shared" si="258"/>
        <v>3.9603096873523182E-2</v>
      </c>
      <c r="W342" s="31" t="str">
        <f t="shared" si="248"/>
        <v>1-0.688077361836351i</v>
      </c>
      <c r="X342" s="17">
        <f t="shared" si="259"/>
        <v>1.2138576752946257</v>
      </c>
      <c r="Y342" s="17">
        <f t="shared" si="260"/>
        <v>-0.60267929519163765</v>
      </c>
      <c r="Z342" s="31" t="str">
        <f t="shared" si="249"/>
        <v>0.900166885275966+3.29222050695292i</v>
      </c>
      <c r="AA342" s="17">
        <f t="shared" si="261"/>
        <v>3.4130655264364287</v>
      </c>
      <c r="AB342" s="17">
        <f t="shared" si="262"/>
        <v>1.3038973738437454</v>
      </c>
      <c r="AC342" s="66" t="str">
        <f t="shared" si="263"/>
        <v>-0.0889690294733159+0.0271026973270531i</v>
      </c>
      <c r="AD342" s="64">
        <f t="shared" si="264"/>
        <v>-20.629816629370232</v>
      </c>
      <c r="AE342" s="61">
        <f t="shared" si="265"/>
        <v>163.05765484971906</v>
      </c>
      <c r="AF342" s="31" t="str">
        <f t="shared" si="250"/>
        <v>-6627.51882264077</v>
      </c>
      <c r="AG342" s="31" t="str">
        <f t="shared" si="266"/>
        <v>109189.246340026i</v>
      </c>
      <c r="AH342" s="31">
        <f t="shared" si="267"/>
        <v>109189.246340026</v>
      </c>
      <c r="AI342" s="31">
        <f t="shared" si="268"/>
        <v>1.5707963267948966</v>
      </c>
      <c r="AJ342" s="31" t="str">
        <f t="shared" si="251"/>
        <v>-0.42280626955559+53.300184654652i</v>
      </c>
      <c r="AK342" s="31">
        <f t="shared" si="269"/>
        <v>53.301861593771527</v>
      </c>
      <c r="AL342" s="31">
        <f t="shared" si="270"/>
        <v>1.5787287083471124</v>
      </c>
      <c r="AM342" s="31" t="str">
        <f t="shared" si="252"/>
        <v>1+63.3221196299713i</v>
      </c>
      <c r="AN342" s="31">
        <f t="shared" si="271"/>
        <v>63.330015272636679</v>
      </c>
      <c r="AO342" s="31">
        <f t="shared" si="272"/>
        <v>1.5550053696009232</v>
      </c>
      <c r="AP342" s="31" t="str">
        <f t="shared" si="253"/>
        <v>1+51.1005672871321i</v>
      </c>
      <c r="AQ342" s="31">
        <f t="shared" si="273"/>
        <v>51.110350977729702</v>
      </c>
      <c r="AR342" s="31">
        <f t="shared" si="274"/>
        <v>1.5512295698976759</v>
      </c>
      <c r="AS342" s="58" t="str">
        <f t="shared" si="275"/>
        <v>-3.68247758636214+0.159514464460298i</v>
      </c>
      <c r="AT342" s="49">
        <f t="shared" si="276"/>
        <v>11.330943605784057</v>
      </c>
      <c r="AU342" s="61">
        <f t="shared" si="277"/>
        <v>177.5196602249149</v>
      </c>
      <c r="AV342" s="58" t="str">
        <f t="shared" si="254"/>
        <v>0.323303184666324-0.113996922526819i</v>
      </c>
      <c r="AW342" s="64">
        <f t="shared" si="278"/>
        <v>-9.2988730235861699</v>
      </c>
      <c r="AX342" s="61">
        <f t="shared" si="279"/>
        <v>-19.422684925366102</v>
      </c>
    </row>
    <row r="343" spans="14:50" x14ac:dyDescent="0.35">
      <c r="N343" s="10">
        <v>25</v>
      </c>
      <c r="O343" s="50">
        <f t="shared" si="244"/>
        <v>17782.794100389234</v>
      </c>
      <c r="P343" s="48" t="str">
        <f t="shared" si="245"/>
        <v>547.187404092767</v>
      </c>
      <c r="Q343" s="17" t="str">
        <f t="shared" si="246"/>
        <v>1+2142.84461508413i</v>
      </c>
      <c r="R343" s="17">
        <f t="shared" si="255"/>
        <v>2142.8448484188148</v>
      </c>
      <c r="S343" s="17">
        <f t="shared" si="256"/>
        <v>1.5703296574338206</v>
      </c>
      <c r="T343" s="17" t="str">
        <f t="shared" si="247"/>
        <v>1+0.0405467716436897i</v>
      </c>
      <c r="U343" s="17">
        <f t="shared" si="257"/>
        <v>1.0008216827640803</v>
      </c>
      <c r="V343" s="17">
        <f t="shared" si="258"/>
        <v>4.0524573355692241E-2</v>
      </c>
      <c r="W343" s="31" t="str">
        <f t="shared" si="248"/>
        <v>1-0.704104742514163i</v>
      </c>
      <c r="X343" s="17">
        <f t="shared" si="259"/>
        <v>1.2230140998496035</v>
      </c>
      <c r="Y343" s="17">
        <f t="shared" si="260"/>
        <v>-0.61347551595251237</v>
      </c>
      <c r="Z343" s="31" t="str">
        <f t="shared" si="249"/>
        <v>0.895461895531624+3.3689061738079i</v>
      </c>
      <c r="AA343" s="17">
        <f t="shared" si="261"/>
        <v>3.4858830752436427</v>
      </c>
      <c r="AB343" s="17">
        <f t="shared" si="262"/>
        <v>1.3110013987327407</v>
      </c>
      <c r="AC343" s="66" t="str">
        <f t="shared" si="263"/>
        <v>-0.0853166799803853+0.0275824873709447i</v>
      </c>
      <c r="AD343" s="64">
        <f t="shared" si="264"/>
        <v>-20.947585634300729</v>
      </c>
      <c r="AE343" s="61">
        <f t="shared" si="265"/>
        <v>162.08422022284404</v>
      </c>
      <c r="AF343" s="31" t="str">
        <f t="shared" si="250"/>
        <v>-6627.51882264077</v>
      </c>
      <c r="AG343" s="31" t="str">
        <f t="shared" si="266"/>
        <v>111732.590612165i</v>
      </c>
      <c r="AH343" s="31">
        <f t="shared" si="267"/>
        <v>111732.590612165</v>
      </c>
      <c r="AI343" s="31">
        <f t="shared" si="268"/>
        <v>1.5707963267948966</v>
      </c>
      <c r="AJ343" s="31" t="str">
        <f t="shared" si="251"/>
        <v>-0.48986106319745+54.5417054443755i</v>
      </c>
      <c r="AK343" s="31">
        <f t="shared" si="269"/>
        <v>54.543905219944207</v>
      </c>
      <c r="AL343" s="31">
        <f t="shared" si="270"/>
        <v>1.5797774887918856</v>
      </c>
      <c r="AM343" s="31" t="str">
        <f t="shared" si="252"/>
        <v>1+64.7970812737129i</v>
      </c>
      <c r="AN343" s="31">
        <f t="shared" si="271"/>
        <v>64.80479721125711</v>
      </c>
      <c r="AO343" s="31">
        <f t="shared" si="272"/>
        <v>1.555364757944695</v>
      </c>
      <c r="AP343" s="31" t="str">
        <f t="shared" si="253"/>
        <v>1+52.2908524064931i</v>
      </c>
      <c r="AQ343" s="31">
        <f t="shared" si="273"/>
        <v>52.300413434289837</v>
      </c>
      <c r="AR343" s="31">
        <f t="shared" si="274"/>
        <v>1.5516748538392251</v>
      </c>
      <c r="AS343" s="58" t="str">
        <f t="shared" si="275"/>
        <v>-3.68235349230322+0.1604096777931i</v>
      </c>
      <c r="AT343" s="49">
        <f t="shared" si="276"/>
        <v>11.330743003691424</v>
      </c>
      <c r="AU343" s="61">
        <f t="shared" si="277"/>
        <v>177.50567385763361</v>
      </c>
      <c r="AV343" s="58" t="str">
        <f t="shared" si="254"/>
        <v>0.309741676565583-0.115254089842838i</v>
      </c>
      <c r="AW343" s="64">
        <f t="shared" si="278"/>
        <v>-9.6168426306092929</v>
      </c>
      <c r="AX343" s="61">
        <f t="shared" si="279"/>
        <v>-20.410105919522291</v>
      </c>
    </row>
    <row r="344" spans="14:50" x14ac:dyDescent="0.35">
      <c r="N344" s="10">
        <v>26</v>
      </c>
      <c r="O344" s="50">
        <f t="shared" si="244"/>
        <v>18197.008586099837</v>
      </c>
      <c r="P344" s="48" t="str">
        <f t="shared" si="245"/>
        <v>547.187404092767</v>
      </c>
      <c r="Q344" s="17" t="str">
        <f t="shared" si="246"/>
        <v>1+2192.75787816215i</v>
      </c>
      <c r="R344" s="17">
        <f t="shared" si="255"/>
        <v>2192.7581061854894</v>
      </c>
      <c r="S344" s="17">
        <f t="shared" si="256"/>
        <v>1.5703402801238835</v>
      </c>
      <c r="T344" s="17" t="str">
        <f t="shared" si="247"/>
        <v>1+0.0414912272825958i</v>
      </c>
      <c r="U344" s="17">
        <f t="shared" si="257"/>
        <v>1.0008603908345139</v>
      </c>
      <c r="V344" s="17">
        <f t="shared" si="258"/>
        <v>4.1467442492674693E-2</v>
      </c>
      <c r="W344" s="31" t="str">
        <f t="shared" si="248"/>
        <v>1-0.720505448846389i</v>
      </c>
      <c r="X344" s="17">
        <f t="shared" si="259"/>
        <v>1.2325291484655998</v>
      </c>
      <c r="Y344" s="17">
        <f t="shared" si="260"/>
        <v>-0.62435585573827723</v>
      </c>
      <c r="Z344" s="31" t="str">
        <f t="shared" si="249"/>
        <v>0.890535166452036+3.44737807930899i</v>
      </c>
      <c r="AA344" s="17">
        <f t="shared" si="261"/>
        <v>3.560543287812675</v>
      </c>
      <c r="AB344" s="17">
        <f t="shared" si="262"/>
        <v>1.3180002333212681</v>
      </c>
      <c r="AC344" s="66" t="str">
        <f t="shared" si="263"/>
        <v>-0.0818020989737509+0.027986012837779i</v>
      </c>
      <c r="AD344" s="64">
        <f t="shared" si="264"/>
        <v>-21.264004050048449</v>
      </c>
      <c r="AE344" s="61">
        <f t="shared" si="265"/>
        <v>161.11323277689308</v>
      </c>
      <c r="AF344" s="31" t="str">
        <f t="shared" si="250"/>
        <v>-6627.51882264077</v>
      </c>
      <c r="AG344" s="31" t="str">
        <f t="shared" si="266"/>
        <v>114335.176982803i</v>
      </c>
      <c r="AH344" s="31">
        <f t="shared" si="267"/>
        <v>114335.17698280299</v>
      </c>
      <c r="AI344" s="31">
        <f t="shared" si="268"/>
        <v>1.5707963267948966</v>
      </c>
      <c r="AJ344" s="31" t="str">
        <f t="shared" si="251"/>
        <v>-0.56007605190351+55.8121449682705i</v>
      </c>
      <c r="AK344" s="31">
        <f t="shared" si="269"/>
        <v>55.814955085023207</v>
      </c>
      <c r="AL344" s="31">
        <f t="shared" si="270"/>
        <v>1.5808310110587585</v>
      </c>
      <c r="AM344" s="31" t="str">
        <f t="shared" si="252"/>
        <v>1+66.306399187637i</v>
      </c>
      <c r="AN344" s="31">
        <f t="shared" si="271"/>
        <v>66.313939509203252</v>
      </c>
      <c r="AO344" s="31">
        <f t="shared" si="272"/>
        <v>1.5557159694632416</v>
      </c>
      <c r="AP344" s="31" t="str">
        <f t="shared" si="253"/>
        <v>1+53.5088628279517i</v>
      </c>
      <c r="AQ344" s="31">
        <f t="shared" si="273"/>
        <v>53.518206258623344</v>
      </c>
      <c r="AR344" s="31">
        <f t="shared" si="274"/>
        <v>1.5521100092088966</v>
      </c>
      <c r="AS344" s="58" t="str">
        <f t="shared" si="275"/>
        <v>-3.6822235951096+0.161389623321334i</v>
      </c>
      <c r="AT344" s="49">
        <f t="shared" si="276"/>
        <v>11.330537993166359</v>
      </c>
      <c r="AU344" s="61">
        <f t="shared" si="277"/>
        <v>177.4903669819625</v>
      </c>
      <c r="AV344" s="58" t="str">
        <f t="shared" si="254"/>
        <v>0.296696966900481-0.116252766744578i</v>
      </c>
      <c r="AW344" s="64">
        <f t="shared" si="278"/>
        <v>-9.9334660568820983</v>
      </c>
      <c r="AX344" s="61">
        <f t="shared" si="279"/>
        <v>-21.396400241144413</v>
      </c>
    </row>
    <row r="345" spans="14:50" x14ac:dyDescent="0.35">
      <c r="N345" s="10">
        <v>27</v>
      </c>
      <c r="O345" s="50">
        <f t="shared" si="244"/>
        <v>18620.871366628675</v>
      </c>
      <c r="P345" s="48" t="str">
        <f t="shared" si="245"/>
        <v>547.187404092767</v>
      </c>
      <c r="Q345" s="17" t="str">
        <f t="shared" si="246"/>
        <v>1+2243.83377049174i</v>
      </c>
      <c r="R345" s="17">
        <f t="shared" si="255"/>
        <v>2243.8339933246352</v>
      </c>
      <c r="S345" s="17">
        <f t="shared" si="256"/>
        <v>1.570350661012099</v>
      </c>
      <c r="T345" s="17" t="str">
        <f t="shared" si="247"/>
        <v>1+0.0424576821194082i</v>
      </c>
      <c r="U345" s="17">
        <f t="shared" si="257"/>
        <v>1.0009009215556517</v>
      </c>
      <c r="V345" s="17">
        <f t="shared" si="258"/>
        <v>4.2432197496642135E-2</v>
      </c>
      <c r="W345" s="31" t="str">
        <f t="shared" si="248"/>
        <v>1-0.737288176704609i</v>
      </c>
      <c r="X345" s="17">
        <f t="shared" si="259"/>
        <v>1.2424145264397091</v>
      </c>
      <c r="Y345" s="17">
        <f t="shared" si="260"/>
        <v>-0.63531577935686034</v>
      </c>
      <c r="Z345" s="31" t="str">
        <f t="shared" si="249"/>
        <v>0.885376247784287+3.52767783029918i</v>
      </c>
      <c r="AA345" s="17">
        <f t="shared" si="261"/>
        <v>3.6370870177279109</v>
      </c>
      <c r="AB345" s="17">
        <f t="shared" si="262"/>
        <v>1.324895612709351</v>
      </c>
      <c r="AC345" s="66" t="str">
        <f t="shared" si="263"/>
        <v>-0.0784211552198587+0.0283186031250305i</v>
      </c>
      <c r="AD345" s="64">
        <f t="shared" si="264"/>
        <v>-21.579014270973772</v>
      </c>
      <c r="AE345" s="61">
        <f t="shared" si="265"/>
        <v>160.14488088159302</v>
      </c>
      <c r="AF345" s="31" t="str">
        <f t="shared" si="250"/>
        <v>-6627.51882264077</v>
      </c>
      <c r="AG345" s="31" t="str">
        <f t="shared" si="266"/>
        <v>116998.385377682i</v>
      </c>
      <c r="AH345" s="31">
        <f t="shared" si="267"/>
        <v>116998.385377682</v>
      </c>
      <c r="AI345" s="31">
        <f t="shared" si="268"/>
        <v>1.5707963267948966</v>
      </c>
      <c r="AJ345" s="31" t="str">
        <f t="shared" si="251"/>
        <v>-0.6336001710787+57.1121768301888i</v>
      </c>
      <c r="AK345" s="31">
        <f t="shared" si="269"/>
        <v>57.115691289343118</v>
      </c>
      <c r="AL345" s="31">
        <f t="shared" si="270"/>
        <v>1.5818898310967429</v>
      </c>
      <c r="AM345" s="31" t="str">
        <f t="shared" si="252"/>
        <v>1+67.8508736320792i</v>
      </c>
      <c r="AN345" s="31">
        <f t="shared" si="271"/>
        <v>67.858242333826922</v>
      </c>
      <c r="AO345" s="31">
        <f t="shared" si="272"/>
        <v>1.5560591900267859</v>
      </c>
      <c r="AP345" s="31" t="str">
        <f t="shared" si="253"/>
        <v>1+54.7552443567551i</v>
      </c>
      <c r="AQ345" s="31">
        <f t="shared" si="273"/>
        <v>54.764375140851925</v>
      </c>
      <c r="AR345" s="31">
        <f t="shared" si="274"/>
        <v>1.5525352660722405</v>
      </c>
      <c r="AS345" s="58" t="str">
        <f t="shared" si="275"/>
        <v>-3.68208762051263+0.162454797926546i</v>
      </c>
      <c r="AT345" s="49">
        <f t="shared" si="276"/>
        <v>11.330328140190609</v>
      </c>
      <c r="AU345" s="61">
        <f t="shared" si="277"/>
        <v>177.47373157573386</v>
      </c>
      <c r="AV345" s="58" t="str">
        <f t="shared" si="254"/>
        <v>0.284153071873102-0.117011470921294i</v>
      </c>
      <c r="AW345" s="64">
        <f t="shared" si="278"/>
        <v>-10.248686130783165</v>
      </c>
      <c r="AX345" s="61">
        <f t="shared" si="279"/>
        <v>-22.381387542673227</v>
      </c>
    </row>
    <row r="346" spans="14:50" x14ac:dyDescent="0.35">
      <c r="N346" s="10">
        <v>28</v>
      </c>
      <c r="O346" s="50">
        <f t="shared" si="244"/>
        <v>19054.607179632505</v>
      </c>
      <c r="P346" s="48" t="str">
        <f t="shared" si="245"/>
        <v>547.187404092767</v>
      </c>
      <c r="Q346" s="17" t="str">
        <f t="shared" si="246"/>
        <v>1+2296.09937318712i</v>
      </c>
      <c r="R346" s="17">
        <f t="shared" si="255"/>
        <v>2296.0995909477192</v>
      </c>
      <c r="S346" s="17">
        <f t="shared" si="256"/>
        <v>1.5703608056025427</v>
      </c>
      <c r="T346" s="17" t="str">
        <f t="shared" si="247"/>
        <v>1+0.0434466485812747i</v>
      </c>
      <c r="U346" s="17">
        <f t="shared" si="257"/>
        <v>1.0009433606717939</v>
      </c>
      <c r="V346" s="17">
        <f t="shared" si="258"/>
        <v>4.3419342705792077E-2</v>
      </c>
      <c r="W346" s="31" t="str">
        <f t="shared" si="248"/>
        <v>1-0.754461824513286i</v>
      </c>
      <c r="X346" s="17">
        <f t="shared" si="259"/>
        <v>1.2526821802228674</v>
      </c>
      <c r="Y346" s="17">
        <f t="shared" si="260"/>
        <v>-0.6463505661395319</v>
      </c>
      <c r="Z346" s="31" t="str">
        <f t="shared" si="249"/>
        <v>0.879974196770213+3.60984800276935i</v>
      </c>
      <c r="AA346" s="17">
        <f t="shared" si="261"/>
        <v>3.7155561077824202</v>
      </c>
      <c r="AB346" s="17">
        <f t="shared" si="262"/>
        <v>1.3316893283787621</v>
      </c>
      <c r="AC346" s="66" t="str">
        <f t="shared" si="263"/>
        <v>-0.0751697529621954+0.0285852995741584i</v>
      </c>
      <c r="AD346" s="64">
        <f t="shared" si="264"/>
        <v>-21.892561014632825</v>
      </c>
      <c r="AE346" s="61">
        <f t="shared" si="265"/>
        <v>159.1793609480836</v>
      </c>
      <c r="AF346" s="31" t="str">
        <f t="shared" si="250"/>
        <v>-6627.51882264077</v>
      </c>
      <c r="AG346" s="31" t="str">
        <f t="shared" si="266"/>
        <v>119723.627865146i</v>
      </c>
      <c r="AH346" s="31">
        <f t="shared" si="267"/>
        <v>119723.627865146</v>
      </c>
      <c r="AI346" s="31">
        <f t="shared" si="268"/>
        <v>1.5707963267948966</v>
      </c>
      <c r="AJ346" s="31" t="str">
        <f t="shared" si="251"/>
        <v>-0.71058937523737+58.4424903242315i</v>
      </c>
      <c r="AK346" s="31">
        <f t="shared" si="269"/>
        <v>58.446810114480094</v>
      </c>
      <c r="AL346" s="31">
        <f t="shared" si="270"/>
        <v>1.5829545075555229</v>
      </c>
      <c r="AM346" s="31" t="str">
        <f t="shared" si="252"/>
        <v>1+69.4313235078342i</v>
      </c>
      <c r="AN346" s="31">
        <f t="shared" si="271"/>
        <v>69.43852449504908</v>
      </c>
      <c r="AO346" s="31">
        <f t="shared" si="272"/>
        <v>1.5563946012917762</v>
      </c>
      <c r="AP346" s="31" t="str">
        <f t="shared" si="253"/>
        <v>1+56.0306578408882i</v>
      </c>
      <c r="AQ346" s="31">
        <f t="shared" si="273"/>
        <v>56.039580816443355</v>
      </c>
      <c r="AR346" s="31">
        <f t="shared" si="274"/>
        <v>1.5529508492904827</v>
      </c>
      <c r="AS346" s="58" t="str">
        <f t="shared" si="275"/>
        <v>-3.68194528147389+0.163605742054873i</v>
      </c>
      <c r="AT346" s="49">
        <f t="shared" si="276"/>
        <v>11.330113000537935</v>
      </c>
      <c r="AU346" s="61">
        <f t="shared" si="277"/>
        <v>177.45575892242564</v>
      </c>
      <c r="AV346" s="58" t="str">
        <f t="shared" si="254"/>
        <v>0.272094198080022-0.117547712100052i</v>
      </c>
      <c r="AW346" s="64">
        <f t="shared" si="278"/>
        <v>-10.562448014094892</v>
      </c>
      <c r="AX346" s="61">
        <f t="shared" si="279"/>
        <v>-23.364880129490853</v>
      </c>
    </row>
    <row r="347" spans="14:50" x14ac:dyDescent="0.35">
      <c r="N347" s="10">
        <v>29</v>
      </c>
      <c r="O347" s="50">
        <f t="shared" si="244"/>
        <v>19498.445997580486</v>
      </c>
      <c r="P347" s="48" t="str">
        <f t="shared" si="245"/>
        <v>547.187404092767</v>
      </c>
      <c r="Q347" s="17" t="str">
        <f t="shared" si="246"/>
        <v>1+2349.58239816259i</v>
      </c>
      <c r="R347" s="17">
        <f t="shared" si="255"/>
        <v>2349.582610966354</v>
      </c>
      <c r="S347" s="17">
        <f t="shared" si="256"/>
        <v>1.5703707192740022</v>
      </c>
      <c r="T347" s="17" t="str">
        <f t="shared" si="247"/>
        <v>1+0.0444586510313027i</v>
      </c>
      <c r="U347" s="17">
        <f t="shared" si="257"/>
        <v>1.0009877979533632</v>
      </c>
      <c r="V347" s="17">
        <f t="shared" si="258"/>
        <v>4.4429393817762196E-2</v>
      </c>
      <c r="W347" s="31" t="str">
        <f t="shared" si="248"/>
        <v>1-0.772035497967793i</v>
      </c>
      <c r="X347" s="17">
        <f t="shared" si="259"/>
        <v>1.263344295955136</v>
      </c>
      <c r="Y347" s="17">
        <f t="shared" si="260"/>
        <v>-0.65745531790620915</v>
      </c>
      <c r="Z347" s="31" t="str">
        <f t="shared" si="249"/>
        <v>0.874317554935352+3.69393216443253i</v>
      </c>
      <c r="AA347" s="17">
        <f t="shared" si="261"/>
        <v>3.7959934170513692</v>
      </c>
      <c r="AB347" s="17">
        <f t="shared" si="262"/>
        <v>1.3383832236271291</v>
      </c>
      <c r="AC347" s="66" t="str">
        <f t="shared" si="263"/>
        <v>-0.072043840013266+0.0287908666250016i</v>
      </c>
      <c r="AD347" s="64">
        <f t="shared" si="264"/>
        <v>-22.204591420467761</v>
      </c>
      <c r="AE347" s="61">
        <f t="shared" si="265"/>
        <v>158.21687724735267</v>
      </c>
      <c r="AF347" s="31" t="str">
        <f t="shared" si="250"/>
        <v>-6627.51882264077</v>
      </c>
      <c r="AG347" s="31" t="str">
        <f t="shared" si="266"/>
        <v>122512.349404832i</v>
      </c>
      <c r="AH347" s="31">
        <f t="shared" si="267"/>
        <v>122512.349404832</v>
      </c>
      <c r="AI347" s="31">
        <f t="shared" si="268"/>
        <v>1.5707963267948966</v>
      </c>
      <c r="AJ347" s="31" t="str">
        <f t="shared" si="251"/>
        <v>-0.79120696880358+59.8037908002219i</v>
      </c>
      <c r="AK347" s="31">
        <f t="shared" si="269"/>
        <v>59.80902442394617</v>
      </c>
      <c r="AL347" s="31">
        <f t="shared" si="270"/>
        <v>1.5840256020685748</v>
      </c>
      <c r="AM347" s="31" t="str">
        <f t="shared" si="252"/>
        <v>1+71.0485867903443i</v>
      </c>
      <c r="AN347" s="31">
        <f t="shared" si="271"/>
        <v>71.055623879500814</v>
      </c>
      <c r="AO347" s="31">
        <f t="shared" si="272"/>
        <v>1.5567223807956589</v>
      </c>
      <c r="AP347" s="31" t="str">
        <f t="shared" si="253"/>
        <v>1+57.3357795214613i</v>
      </c>
      <c r="AQ347" s="31">
        <f t="shared" si="273"/>
        <v>57.344499416540565</v>
      </c>
      <c r="AR347" s="31">
        <f t="shared" si="274"/>
        <v>1.5533569786368153</v>
      </c>
      <c r="AS347" s="58" t="str">
        <f t="shared" si="275"/>
        <v>-3.68179627758783+0.1648430398883i</v>
      </c>
      <c r="AT347" s="49">
        <f t="shared" si="276"/>
        <v>11.329892118838995</v>
      </c>
      <c r="AU347" s="61">
        <f t="shared" si="277"/>
        <v>177.43643960703281</v>
      </c>
      <c r="AV347" s="58" t="str">
        <f t="shared" si="254"/>
        <v>0.260504768008492-0.117878031161472i</v>
      </c>
      <c r="AW347" s="64">
        <f t="shared" si="278"/>
        <v>-10.874699301628766</v>
      </c>
      <c r="AX347" s="61">
        <f t="shared" si="279"/>
        <v>-24.346683145614573</v>
      </c>
    </row>
    <row r="348" spans="14:50" x14ac:dyDescent="0.35">
      <c r="N348" s="10">
        <v>30</v>
      </c>
      <c r="O348" s="50">
        <f t="shared" si="244"/>
        <v>19952.623149688792</v>
      </c>
      <c r="P348" s="48" t="str">
        <f t="shared" si="245"/>
        <v>547.187404092767</v>
      </c>
      <c r="Q348" s="17" t="str">
        <f t="shared" si="246"/>
        <v>1+2404.311202826i</v>
      </c>
      <c r="R348" s="17">
        <f t="shared" si="255"/>
        <v>2404.3114107857591</v>
      </c>
      <c r="S348" s="17">
        <f t="shared" si="256"/>
        <v>1.5703804072828296</v>
      </c>
      <c r="T348" s="17" t="str">
        <f t="shared" si="247"/>
        <v>1+0.0454942260465876i</v>
      </c>
      <c r="U348" s="17">
        <f t="shared" si="257"/>
        <v>1.0010343273852191</v>
      </c>
      <c r="V348" s="17">
        <f t="shared" si="258"/>
        <v>4.5462878126669298E-2</v>
      </c>
      <c r="W348" s="31" t="str">
        <f t="shared" si="248"/>
        <v>1-0.790018514862427i</v>
      </c>
      <c r="X348" s="17">
        <f t="shared" si="259"/>
        <v>1.2744132978847305</v>
      </c>
      <c r="Y348" s="17">
        <f t="shared" si="260"/>
        <v>-0.66862496790053305</v>
      </c>
      <c r="Z348" s="31" t="str">
        <f t="shared" si="249"/>
        <v>0.868394323783968+3.7799748978243i</v>
      </c>
      <c r="AA348" s="17">
        <f t="shared" si="261"/>
        <v>3.8784428485878246</v>
      </c>
      <c r="AB348" s="17">
        <f t="shared" si="262"/>
        <v>1.344979189219264</v>
      </c>
      <c r="AC348" s="66" t="str">
        <f t="shared" si="263"/>
        <v>-0.0690394150080157+0.0289398029379657i</v>
      </c>
      <c r="AD348" s="64">
        <f t="shared" si="264"/>
        <v>-22.515055143192871</v>
      </c>
      <c r="AE348" s="61">
        <f t="shared" si="265"/>
        <v>157.25764166087251</v>
      </c>
      <c r="AF348" s="31" t="str">
        <f t="shared" si="250"/>
        <v>-6627.51882264077</v>
      </c>
      <c r="AG348" s="31" t="str">
        <f t="shared" si="266"/>
        <v>125366.028613816i</v>
      </c>
      <c r="AH348" s="31">
        <f t="shared" si="267"/>
        <v>125366.028613816</v>
      </c>
      <c r="AI348" s="31">
        <f t="shared" si="268"/>
        <v>1.5707963267948966</v>
      </c>
      <c r="AJ348" s="31" t="str">
        <f t="shared" si="251"/>
        <v>-0.87562395250195+61.1968000376912i</v>
      </c>
      <c r="AK348" s="31">
        <f t="shared" si="269"/>
        <v>61.203064074924846</v>
      </c>
      <c r="AL348" s="31">
        <f t="shared" si="270"/>
        <v>1.5851036795373004</v>
      </c>
      <c r="AM348" s="31" t="str">
        <f t="shared" si="252"/>
        <v>1+72.7035209740104i</v>
      </c>
      <c r="AN348" s="31">
        <f t="shared" si="271"/>
        <v>72.710397894787846</v>
      </c>
      <c r="AO348" s="31">
        <f t="shared" si="272"/>
        <v>1.5570427020495734</v>
      </c>
      <c r="AP348" s="31" t="str">
        <f t="shared" si="253"/>
        <v>1+58.6713013912658i</v>
      </c>
      <c r="AQ348" s="31">
        <f t="shared" si="273"/>
        <v>58.679822826460097</v>
      </c>
      <c r="AR348" s="31">
        <f t="shared" si="274"/>
        <v>1.5537538689101873</v>
      </c>
      <c r="AS348" s="58" t="str">
        <f t="shared" si="275"/>
        <v>-3.68164029445766+0.166167319530929i</v>
      </c>
      <c r="AT348" s="49">
        <f t="shared" si="276"/>
        <v>11.329665027624326</v>
      </c>
      <c r="AU348" s="61">
        <f t="shared" si="277"/>
        <v>177.41576351161831</v>
      </c>
      <c r="AV348" s="58" t="str">
        <f t="shared" si="254"/>
        <v>0.24936944271734-0.118018039143944i</v>
      </c>
      <c r="AW348" s="64">
        <f t="shared" si="278"/>
        <v>-11.185390115568554</v>
      </c>
      <c r="AX348" s="61">
        <f t="shared" si="279"/>
        <v>-25.326594827509197</v>
      </c>
    </row>
    <row r="349" spans="14:50" x14ac:dyDescent="0.35">
      <c r="N349" s="10">
        <v>31</v>
      </c>
      <c r="O349" s="50">
        <f t="shared" si="244"/>
        <v>20417.379446695286</v>
      </c>
      <c r="P349" s="48" t="str">
        <f t="shared" si="245"/>
        <v>547.187404092767</v>
      </c>
      <c r="Q349" s="17" t="str">
        <f t="shared" si="246"/>
        <v>1+2460.31480511394i</v>
      </c>
      <c r="R349" s="17">
        <f t="shared" si="255"/>
        <v>2460.3150083399578</v>
      </c>
      <c r="S349" s="17">
        <f t="shared" si="256"/>
        <v>1.5703898747657279</v>
      </c>
      <c r="T349" s="17" t="str">
        <f t="shared" si="247"/>
        <v>1+0.0465539227027095i</v>
      </c>
      <c r="U349" s="17">
        <f t="shared" si="257"/>
        <v>1.0010830473637089</v>
      </c>
      <c r="V349" s="17">
        <f t="shared" si="258"/>
        <v>4.6520334763714623E-2</v>
      </c>
      <c r="W349" s="31" t="str">
        <f t="shared" si="248"/>
        <v>1-0.808420410030767i</v>
      </c>
      <c r="X349" s="17">
        <f t="shared" si="259"/>
        <v>1.2859018467030496</v>
      </c>
      <c r="Y349" s="17">
        <f t="shared" si="260"/>
        <v>-0.67985429066903635</v>
      </c>
      <c r="Z349" s="31" t="str">
        <f t="shared" si="249"/>
        <v>0.86219193934865+3.86802182394075i</v>
      </c>
      <c r="AA349" s="17">
        <f t="shared" si="261"/>
        <v>3.962949377769001</v>
      </c>
      <c r="AB349" s="17">
        <f t="shared" si="262"/>
        <v>1.3514791592552042</v>
      </c>
      <c r="AC349" s="66" t="str">
        <f t="shared" si="263"/>
        <v>-0.0661525338610166+0.0290363524348163i</v>
      </c>
      <c r="AD349" s="64">
        <f t="shared" si="264"/>
        <v>-22.823904440256342</v>
      </c>
      <c r="AE349" s="61">
        <f t="shared" si="265"/>
        <v>156.30187336493429</v>
      </c>
      <c r="AF349" s="31" t="str">
        <f t="shared" si="250"/>
        <v>-6627.51882264077</v>
      </c>
      <c r="AG349" s="31" t="str">
        <f t="shared" si="266"/>
        <v>128286.178550586i</v>
      </c>
      <c r="AH349" s="31">
        <f t="shared" si="267"/>
        <v>128286.178550586</v>
      </c>
      <c r="AI349" s="31">
        <f t="shared" si="268"/>
        <v>1.5707963267948966</v>
      </c>
      <c r="AJ349" s="31" t="str">
        <f t="shared" si="251"/>
        <v>-0.96401938607284+62.622256628576i</v>
      </c>
      <c r="AK349" s="31">
        <f t="shared" si="269"/>
        <v>62.629676341427427</v>
      </c>
      <c r="AL349" s="31">
        <f t="shared" si="270"/>
        <v>1.5861893084162468</v>
      </c>
      <c r="AM349" s="31" t="str">
        <f t="shared" si="252"/>
        <v>1+74.3970035268414i</v>
      </c>
      <c r="AN349" s="31">
        <f t="shared" si="271"/>
        <v>74.403723924094365</v>
      </c>
      <c r="AO349" s="31">
        <f t="shared" si="272"/>
        <v>1.5573557346290026</v>
      </c>
      <c r="AP349" s="31" t="str">
        <f t="shared" si="253"/>
        <v>1+60.0379315616742i</v>
      </c>
      <c r="AQ349" s="31">
        <f t="shared" si="273"/>
        <v>60.046259052536115</v>
      </c>
      <c r="AR349" s="31">
        <f t="shared" si="274"/>
        <v>1.5541417300466371</v>
      </c>
      <c r="AS349" s="58" t="str">
        <f t="shared" si="275"/>
        <v>-3.68147700304224+0.167579253209717i</v>
      </c>
      <c r="AT349" s="49">
        <f t="shared" si="276"/>
        <v>11.329431246341073</v>
      </c>
      <c r="AU349" s="61">
        <f t="shared" si="277"/>
        <v>177.39371981054427</v>
      </c>
      <c r="AV349" s="58" t="str">
        <f t="shared" si="254"/>
        <v>0.238673141845345-0.117982455963365i</v>
      </c>
      <c r="AW349" s="64">
        <f t="shared" si="278"/>
        <v>-11.494473193915278</v>
      </c>
      <c r="AX349" s="61">
        <f t="shared" si="279"/>
        <v>-26.304406824521358</v>
      </c>
    </row>
    <row r="350" spans="14:50" x14ac:dyDescent="0.35">
      <c r="N350" s="10">
        <v>32</v>
      </c>
      <c r="O350" s="50">
        <f t="shared" si="244"/>
        <v>20892.961308540423</v>
      </c>
      <c r="P350" s="48" t="str">
        <f t="shared" si="245"/>
        <v>547.187404092767</v>
      </c>
      <c r="Q350" s="17" t="str">
        <f t="shared" si="246"/>
        <v>1+2517.6228988777i</v>
      </c>
      <c r="R350" s="17">
        <f t="shared" si="255"/>
        <v>2517.6230974777291</v>
      </c>
      <c r="S350" s="17">
        <f t="shared" si="256"/>
        <v>1.5703991267424755</v>
      </c>
      <c r="T350" s="17" t="str">
        <f t="shared" si="247"/>
        <v>1+0.0476383028648628i</v>
      </c>
      <c r="U350" s="17">
        <f t="shared" si="257"/>
        <v>1.0011340609028565</v>
      </c>
      <c r="V350" s="17">
        <f t="shared" si="258"/>
        <v>4.7602314941316018E-2</v>
      </c>
      <c r="W350" s="31" t="str">
        <f t="shared" si="248"/>
        <v>1-0.827250940401223i</v>
      </c>
      <c r="X350" s="17">
        <f t="shared" si="259"/>
        <v>1.2978228378306138</v>
      </c>
      <c r="Y350" s="17">
        <f t="shared" si="260"/>
        <v>-0.69113791284969184</v>
      </c>
      <c r="Z350" s="31" t="str">
        <f t="shared" si="249"/>
        <v>0.85569724554044+3.95811962642761i</v>
      </c>
      <c r="AA350" s="17">
        <f t="shared" si="261"/>
        <v>4.0495590813244027</v>
      </c>
      <c r="AB350" s="17">
        <f t="shared" si="262"/>
        <v>1.3578851072535383</v>
      </c>
      <c r="AC350" s="66" t="str">
        <f t="shared" si="263"/>
        <v>-0.0633793154705266+0.0290845152145936i</v>
      </c>
      <c r="AD350" s="64">
        <f t="shared" si="264"/>
        <v>-23.131094252771234</v>
      </c>
      <c r="AE350" s="61">
        <f t="shared" si="265"/>
        <v>155.34979845075134</v>
      </c>
      <c r="AF350" s="31" t="str">
        <f t="shared" si="250"/>
        <v>-6627.51882264077</v>
      </c>
      <c r="AG350" s="31" t="str">
        <f t="shared" si="266"/>
        <v>131274.347517293i</v>
      </c>
      <c r="AH350" s="31">
        <f t="shared" si="267"/>
        <v>131274.347517293</v>
      </c>
      <c r="AI350" s="31">
        <f t="shared" si="268"/>
        <v>1.5707963267948966</v>
      </c>
      <c r="AJ350" s="31" t="str">
        <f t="shared" si="251"/>
        <v>-1.0565807680823+64.0809163688289i</v>
      </c>
      <c r="AK350" s="31">
        <f t="shared" si="269"/>
        <v>64.089626349264393</v>
      </c>
      <c r="AL350" s="31">
        <f t="shared" si="270"/>
        <v>1.5872830609995121</v>
      </c>
      <c r="AM350" s="31" t="str">
        <f t="shared" si="252"/>
        <v>1+76.1299323557038i</v>
      </c>
      <c r="AN350" s="31">
        <f t="shared" si="271"/>
        <v>76.13649979138809</v>
      </c>
      <c r="AO350" s="31">
        <f t="shared" si="272"/>
        <v>1.557661644262432</v>
      </c>
      <c r="AP350" s="31" t="str">
        <f t="shared" si="253"/>
        <v>1+61.436394638093i</v>
      </c>
      <c r="AQ350" s="31">
        <f t="shared" si="273"/>
        <v>61.444532597518418</v>
      </c>
      <c r="AR350" s="31">
        <f t="shared" si="274"/>
        <v>1.5545207672282182</v>
      </c>
      <c r="AS350" s="58" t="str">
        <f t="shared" si="275"/>
        <v>-3.68130605897366+0.169079557489236i</v>
      </c>
      <c r="AT350" s="49">
        <f t="shared" si="276"/>
        <v>11.329190280343603</v>
      </c>
      <c r="AU350" s="61">
        <f t="shared" si="277"/>
        <v>177.37029696538269</v>
      </c>
      <c r="AV350" s="58" t="str">
        <f t="shared" si="254"/>
        <v>0.22840106109298-0.117785148695522i</v>
      </c>
      <c r="AW350" s="64">
        <f t="shared" si="278"/>
        <v>-11.801903972427644</v>
      </c>
      <c r="AX350" s="61">
        <f t="shared" si="279"/>
        <v>-27.279904583865921</v>
      </c>
    </row>
    <row r="351" spans="14:50" x14ac:dyDescent="0.35">
      <c r="N351" s="10">
        <v>33</v>
      </c>
      <c r="O351" s="50">
        <f t="shared" si="244"/>
        <v>21379.620895022348</v>
      </c>
      <c r="P351" s="48" t="str">
        <f t="shared" si="245"/>
        <v>547.187404092767</v>
      </c>
      <c r="Q351" s="17" t="str">
        <f t="shared" si="246"/>
        <v>1+2576.2658696271i</v>
      </c>
      <c r="R351" s="17">
        <f t="shared" si="255"/>
        <v>2576.2660637064409</v>
      </c>
      <c r="S351" s="17">
        <f t="shared" si="256"/>
        <v>1.5704081681185864</v>
      </c>
      <c r="T351" s="17" t="str">
        <f t="shared" si="247"/>
        <v>1+0.0487479414857622i</v>
      </c>
      <c r="U351" s="17">
        <f t="shared" si="257"/>
        <v>1.0011874758501023</v>
      </c>
      <c r="V351" s="17">
        <f t="shared" si="258"/>
        <v>4.870938220069241E-2</v>
      </c>
      <c r="W351" s="31" t="str">
        <f t="shared" si="248"/>
        <v>1-0.846520090170233i</v>
      </c>
      <c r="X351" s="17">
        <f t="shared" si="259"/>
        <v>1.3101893996906782</v>
      </c>
      <c r="Y351" s="17">
        <f t="shared" si="260"/>
        <v>-0.70247032482557348</v>
      </c>
      <c r="Z351" s="31" t="str">
        <f t="shared" si="249"/>
        <v>0.848896466243016+4.05031607633228i</v>
      </c>
      <c r="AA351" s="17">
        <f t="shared" si="261"/>
        <v>4.1383191670768458</v>
      </c>
      <c r="AB351" s="17">
        <f t="shared" si="262"/>
        <v>1.3641990424474957</v>
      </c>
      <c r="AC351" s="66" t="str">
        <f t="shared" si="263"/>
        <v>-0.0607159467130211+0.029088058306569i</v>
      </c>
      <c r="AD351" s="64">
        <f t="shared" si="264"/>
        <v>-23.436582279312187</v>
      </c>
      <c r="AE351" s="61">
        <f t="shared" si="265"/>
        <v>154.40164948300406</v>
      </c>
      <c r="AF351" s="31" t="str">
        <f t="shared" si="250"/>
        <v>-6627.51882264077</v>
      </c>
      <c r="AG351" s="31" t="str">
        <f t="shared" si="266"/>
        <v>134332.119880674i</v>
      </c>
      <c r="AH351" s="31">
        <f t="shared" si="267"/>
        <v>134332.119880674</v>
      </c>
      <c r="AI351" s="31">
        <f t="shared" si="268"/>
        <v>1.5707963267948966</v>
      </c>
      <c r="AJ351" s="31" t="str">
        <f t="shared" si="251"/>
        <v>-1.15350443363142+65.5735526591517i</v>
      </c>
      <c r="AK351" s="31">
        <f t="shared" si="269"/>
        <v>65.583697523248475</v>
      </c>
      <c r="AL351" s="31">
        <f t="shared" si="270"/>
        <v>1.5883855137084</v>
      </c>
      <c r="AM351" s="31" t="str">
        <f t="shared" si="252"/>
        <v>1+77.9032262823993i</v>
      </c>
      <c r="AN351" s="31">
        <f t="shared" si="271"/>
        <v>77.909644237454387</v>
      </c>
      <c r="AO351" s="31">
        <f t="shared" si="272"/>
        <v>1.5579605929180489</v>
      </c>
      <c r="AP351" s="31" t="str">
        <f t="shared" si="253"/>
        <v>1+62.8674321041553i</v>
      </c>
      <c r="AQ351" s="31">
        <f t="shared" si="273"/>
        <v>62.875384844711498</v>
      </c>
      <c r="AR351" s="31">
        <f t="shared" si="274"/>
        <v>1.5548911809895634</v>
      </c>
      <c r="AS351" s="58" t="str">
        <f t="shared" si="275"/>
        <v>-3.68112710184356+0.170668993499856i</v>
      </c>
      <c r="AT351" s="49">
        <f t="shared" si="276"/>
        <v>11.328941619854579</v>
      </c>
      <c r="AU351" s="61">
        <f t="shared" si="277"/>
        <v>177.34548271950726</v>
      </c>
      <c r="AV351" s="58" t="str">
        <f t="shared" si="254"/>
        <v>0.218538687325344-0.117439169287219i</v>
      </c>
      <c r="AW351" s="64">
        <f t="shared" si="278"/>
        <v>-12.107640659457612</v>
      </c>
      <c r="AX351" s="61">
        <f t="shared" si="279"/>
        <v>-28.252867797488694</v>
      </c>
    </row>
    <row r="352" spans="14:50" x14ac:dyDescent="0.35">
      <c r="N352" s="10">
        <v>34</v>
      </c>
      <c r="O352" s="50">
        <f t="shared" si="244"/>
        <v>21877.61623949555</v>
      </c>
      <c r="P352" s="48" t="str">
        <f t="shared" si="245"/>
        <v>547.187404092767</v>
      </c>
      <c r="Q352" s="17" t="str">
        <f t="shared" si="246"/>
        <v>1+2636.2748106415i</v>
      </c>
      <c r="R352" s="17">
        <f t="shared" si="255"/>
        <v>2636.2750003030555</v>
      </c>
      <c r="S352" s="17">
        <f t="shared" si="256"/>
        <v>1.5704170036879119</v>
      </c>
      <c r="T352" s="17" t="str">
        <f t="shared" si="247"/>
        <v>1+0.0498834269104927i</v>
      </c>
      <c r="U352" s="17">
        <f t="shared" si="257"/>
        <v>1.0012434051120309</v>
      </c>
      <c r="V352" s="17">
        <f t="shared" si="258"/>
        <v>4.9842112662834878E-2</v>
      </c>
      <c r="W352" s="31" t="str">
        <f t="shared" si="248"/>
        <v>1-0.866238076096072i</v>
      </c>
      <c r="X352" s="17">
        <f t="shared" si="259"/>
        <v>1.3230148920093925</v>
      </c>
      <c r="Y352" s="17">
        <f t="shared" si="260"/>
        <v>-0.71384589319055902</v>
      </c>
      <c r="Z352" s="31" t="str">
        <f t="shared" si="249"/>
        <v>0.841775176091689+4.14466005743291i</v>
      </c>
      <c r="AA352" s="17">
        <f t="shared" si="261"/>
        <v>4.2292780044310128</v>
      </c>
      <c r="AB352" s="17">
        <f t="shared" si="262"/>
        <v>1.3704230062906182</v>
      </c>
      <c r="AC352" s="66" t="str">
        <f t="shared" si="263"/>
        <v>-0.0581586867716849+0.029050526227223i</v>
      </c>
      <c r="AD352" s="64">
        <f t="shared" si="264"/>
        <v>-23.740329042007723</v>
      </c>
      <c r="AE352" s="61">
        <f t="shared" si="265"/>
        <v>153.45766500004979</v>
      </c>
      <c r="AF352" s="31" t="str">
        <f t="shared" si="250"/>
        <v>-6627.51882264077</v>
      </c>
      <c r="AG352" s="31" t="str">
        <f t="shared" si="266"/>
        <v>137461.116912112i</v>
      </c>
      <c r="AH352" s="31">
        <f t="shared" si="267"/>
        <v>137461.11691211199</v>
      </c>
      <c r="AI352" s="31">
        <f t="shared" si="268"/>
        <v>1.5707963267948966</v>
      </c>
      <c r="AJ352" s="31" t="str">
        <f t="shared" si="251"/>
        <v>-1.25499597080964+67.1009569150629i</v>
      </c>
      <c r="AK352" s="31">
        <f t="shared" si="269"/>
        <v>67.112692047062723</v>
      </c>
      <c r="AL352" s="31">
        <f t="shared" si="270"/>
        <v>1.5894972473804221</v>
      </c>
      <c r="AM352" s="31" t="str">
        <f t="shared" si="252"/>
        <v>1+79.7178255308412i</v>
      </c>
      <c r="AN352" s="31">
        <f t="shared" si="271"/>
        <v>79.724097407030186</v>
      </c>
      <c r="AO352" s="31">
        <f t="shared" si="272"/>
        <v>1.5582527388885281</v>
      </c>
      <c r="AP352" s="31" t="str">
        <f t="shared" si="253"/>
        <v>1+64.3318027148683i</v>
      </c>
      <c r="AQ352" s="31">
        <f t="shared" si="273"/>
        <v>64.339574451069666</v>
      </c>
      <c r="AR352" s="31">
        <f t="shared" si="274"/>
        <v>1.5552531673221341</v>
      </c>
      <c r="AS352" s="58" t="str">
        <f t="shared" si="275"/>
        <v>-3.68093975445727+0.172348367178811i</v>
      </c>
      <c r="AT352" s="49">
        <f t="shared" si="276"/>
        <v>11.328684738895356</v>
      </c>
      <c r="AU352" s="61">
        <f t="shared" si="277"/>
        <v>177.31926409236573</v>
      </c>
      <c r="AV352" s="58" t="str">
        <f t="shared" si="254"/>
        <v>0.209071811443976-0.116956791580053i</v>
      </c>
      <c r="AW352" s="64">
        <f t="shared" si="278"/>
        <v>-12.411644303112357</v>
      </c>
      <c r="AX352" s="61">
        <f t="shared" si="279"/>
        <v>-29.223070907584578</v>
      </c>
    </row>
    <row r="353" spans="14:50" x14ac:dyDescent="0.35">
      <c r="N353" s="10">
        <v>35</v>
      </c>
      <c r="O353" s="50">
        <f t="shared" si="244"/>
        <v>22387.211385683382</v>
      </c>
      <c r="P353" s="48" t="str">
        <f t="shared" si="245"/>
        <v>547.187404092767</v>
      </c>
      <c r="Q353" s="17" t="str">
        <f t="shared" si="246"/>
        <v>1+2697.68153945571i</v>
      </c>
      <c r="R353" s="17">
        <f t="shared" si="255"/>
        <v>2697.6817248000425</v>
      </c>
      <c r="S353" s="17">
        <f t="shared" si="256"/>
        <v>1.5704256381351824</v>
      </c>
      <c r="T353" s="17" t="str">
        <f t="shared" si="247"/>
        <v>1+0.0510453611884562i</v>
      </c>
      <c r="U353" s="17">
        <f t="shared" si="257"/>
        <v>1.0013019668905379</v>
      </c>
      <c r="V353" s="17">
        <f t="shared" si="258"/>
        <v>5.1001095282767576E-2</v>
      </c>
      <c r="W353" s="31" t="str">
        <f t="shared" si="248"/>
        <v>1-0.886415352915869i</v>
      </c>
      <c r="X353" s="17">
        <f t="shared" si="259"/>
        <v>1.3363129041826112</v>
      </c>
      <c r="Y353" s="17">
        <f t="shared" si="260"/>
        <v>-0.72525887396499256</v>
      </c>
      <c r="Z353" s="31" t="str">
        <f t="shared" si="249"/>
        <v>0.834318269875282+4.24120159215702i</v>
      </c>
      <c r="AA353" s="17">
        <f t="shared" si="261"/>
        <v>4.3224851556440216</v>
      </c>
      <c r="AB353" s="17">
        <f t="shared" si="262"/>
        <v>1.376559069167989</v>
      </c>
      <c r="AC353" s="66" t="str">
        <f t="shared" si="263"/>
        <v>-0.055703870842036+0.0289752513129715i</v>
      </c>
      <c r="AD353" s="64">
        <f t="shared" si="264"/>
        <v>-24.042297944382</v>
      </c>
      <c r="AE353" s="61">
        <f t="shared" si="265"/>
        <v>152.51808895957458</v>
      </c>
      <c r="AF353" s="31" t="str">
        <f t="shared" si="250"/>
        <v>-6627.51882264077</v>
      </c>
      <c r="AG353" s="31" t="str">
        <f t="shared" si="266"/>
        <v>140662.997647249i</v>
      </c>
      <c r="AH353" s="31">
        <f t="shared" si="267"/>
        <v>140662.99764724899</v>
      </c>
      <c r="AI353" s="31">
        <f t="shared" si="268"/>
        <v>1.5707963267948966</v>
      </c>
      <c r="AJ353" s="31" t="str">
        <f t="shared" si="251"/>
        <v>-1.36127065677451+68.6639389865166i</v>
      </c>
      <c r="AK353" s="31">
        <f t="shared" si="269"/>
        <v>68.677431336248063</v>
      </c>
      <c r="AL353" s="31">
        <f t="shared" si="270"/>
        <v>1.5906188475597043</v>
      </c>
      <c r="AM353" s="31" t="str">
        <f t="shared" si="252"/>
        <v>1+81.5746922255692i</v>
      </c>
      <c r="AN353" s="31">
        <f t="shared" si="271"/>
        <v>81.58082134727708</v>
      </c>
      <c r="AO353" s="31">
        <f t="shared" si="272"/>
        <v>1.5585382368739396</v>
      </c>
      <c r="AP353" s="31" t="str">
        <f t="shared" si="253"/>
        <v>1+65.8302828989124i</v>
      </c>
      <c r="AQ353" s="31">
        <f t="shared" si="273"/>
        <v>65.8378777494448</v>
      </c>
      <c r="AR353" s="31">
        <f t="shared" si="274"/>
        <v>1.5556069177761971</v>
      </c>
      <c r="AS353" s="58" t="str">
        <f t="shared" si="275"/>
        <v>-3.68074362205376+0.174118529523472i</v>
      </c>
      <c r="AT353" s="49">
        <f t="shared" si="276"/>
        <v>11.328419094182184</v>
      </c>
      <c r="AU353" s="61">
        <f t="shared" si="277"/>
        <v>177.29162737343395</v>
      </c>
      <c r="AV353" s="58" t="str">
        <f t="shared" si="254"/>
        <v>0.199986539174343-0.116349547547405i</v>
      </c>
      <c r="AW353" s="64">
        <f t="shared" si="278"/>
        <v>-12.713878850199816</v>
      </c>
      <c r="AX353" s="61">
        <f t="shared" si="279"/>
        <v>-30.190283666991348</v>
      </c>
    </row>
    <row r="354" spans="14:50" x14ac:dyDescent="0.35">
      <c r="N354" s="10">
        <v>36</v>
      </c>
      <c r="O354" s="50">
        <f t="shared" si="244"/>
        <v>22908.676527677751</v>
      </c>
      <c r="P354" s="48" t="str">
        <f t="shared" si="245"/>
        <v>547.187404092767</v>
      </c>
      <c r="Q354" s="17" t="str">
        <f t="shared" si="246"/>
        <v>1+2760.5186147302i</v>
      </c>
      <c r="R354" s="17">
        <f t="shared" si="255"/>
        <v>2760.5187958555803</v>
      </c>
      <c r="S354" s="17">
        <f t="shared" si="256"/>
        <v>1.5704340760384909</v>
      </c>
      <c r="T354" s="17" t="str">
        <f t="shared" si="247"/>
        <v>1+0.0522343603925875i</v>
      </c>
      <c r="U354" s="17">
        <f t="shared" si="257"/>
        <v>1.0013632849299114</v>
      </c>
      <c r="V354" s="17">
        <f t="shared" si="258"/>
        <v>5.2186932107004667E-2</v>
      </c>
      <c r="W354" s="31" t="str">
        <f t="shared" si="248"/>
        <v>1-0.907062618888886i</v>
      </c>
      <c r="X354" s="17">
        <f t="shared" si="259"/>
        <v>1.3500972537508416</v>
      </c>
      <c r="Y354" s="17">
        <f t="shared" si="260"/>
        <v>-0.73670342649119591</v>
      </c>
      <c r="Z354" s="31" t="str">
        <f t="shared" si="249"/>
        <v>0.826509930495941+4.33999186810428i</v>
      </c>
      <c r="AA354" s="17">
        <f t="shared" si="261"/>
        <v>4.4179914079160101</v>
      </c>
      <c r="AB354" s="17">
        <f t="shared" si="262"/>
        <v>1.3826093273085087</v>
      </c>
      <c r="AC354" s="66" t="str">
        <f t="shared" si="263"/>
        <v>-0.0533479132571058+0.0288653638047541i</v>
      </c>
      <c r="AD354" s="64">
        <f t="shared" si="264"/>
        <v>-24.342455320447712</v>
      </c>
      <c r="AE354" s="61">
        <f t="shared" si="265"/>
        <v>151.58317013396345</v>
      </c>
      <c r="AF354" s="31" t="str">
        <f t="shared" si="250"/>
        <v>-6627.51882264077</v>
      </c>
      <c r="AG354" s="31" t="str">
        <f t="shared" si="266"/>
        <v>143939.459765635i</v>
      </c>
      <c r="AH354" s="31">
        <f t="shared" si="267"/>
        <v>143939.45976563499</v>
      </c>
      <c r="AI354" s="31">
        <f t="shared" si="268"/>
        <v>1.5707963267948966</v>
      </c>
      <c r="AJ354" s="31" t="str">
        <f t="shared" si="251"/>
        <v>-1.47255391438352+70.2633275872958i</v>
      </c>
      <c r="AK354" s="31">
        <f t="shared" si="269"/>
        <v>70.278756524787838</v>
      </c>
      <c r="AL354" s="31">
        <f t="shared" si="270"/>
        <v>1.5917509047888809</v>
      </c>
      <c r="AM354" s="31" t="str">
        <f t="shared" si="252"/>
        <v>1+83.4748109018848i</v>
      </c>
      <c r="AN354" s="31">
        <f t="shared" si="271"/>
        <v>83.480800517876119</v>
      </c>
      <c r="AO354" s="31">
        <f t="shared" si="272"/>
        <v>1.5588172380628225</v>
      </c>
      <c r="AP354" s="31" t="str">
        <f t="shared" si="253"/>
        <v>1+67.3636671703171i</v>
      </c>
      <c r="AQ354" s="31">
        <f t="shared" si="273"/>
        <v>67.371089160212165</v>
      </c>
      <c r="AR354" s="31">
        <f t="shared" si="274"/>
        <v>1.5559526195605773</v>
      </c>
      <c r="AS354" s="58" t="str">
        <f t="shared" si="275"/>
        <v>-3.68053829149071+0.175980376856201i</v>
      </c>
      <c r="AT354" s="49">
        <f t="shared" si="276"/>
        <v>11.328144123987862</v>
      </c>
      <c r="AU354" s="61">
        <f t="shared" si="277"/>
        <v>177.2625581158521</v>
      </c>
      <c r="AV354" s="58" t="str">
        <f t="shared" si="254"/>
        <v>0.191269299913451-0.115628262660685i</v>
      </c>
      <c r="AW354" s="64">
        <f t="shared" si="278"/>
        <v>-13.014311196459843</v>
      </c>
      <c r="AX354" s="61">
        <f t="shared" si="279"/>
        <v>-31.154271750184478</v>
      </c>
    </row>
    <row r="355" spans="14:50" x14ac:dyDescent="0.35">
      <c r="N355" s="10">
        <v>37</v>
      </c>
      <c r="O355" s="50">
        <f t="shared" si="244"/>
        <v>23442.288153199243</v>
      </c>
      <c r="P355" s="48" t="str">
        <f t="shared" si="245"/>
        <v>547.187404092767</v>
      </c>
      <c r="Q355" s="17" t="str">
        <f t="shared" si="246"/>
        <v>1+2824.81935351399i</v>
      </c>
      <c r="R355" s="17">
        <f t="shared" si="255"/>
        <v>2824.8195305164531</v>
      </c>
      <c r="S355" s="17">
        <f t="shared" si="256"/>
        <v>1.5704423218717205</v>
      </c>
      <c r="T355" s="17" t="str">
        <f t="shared" si="247"/>
        <v>1+0.0534510549460022i</v>
      </c>
      <c r="U355" s="17">
        <f t="shared" si="257"/>
        <v>1.0014274887753185</v>
      </c>
      <c r="V355" s="17">
        <f t="shared" si="258"/>
        <v>5.3400238534080879E-2</v>
      </c>
      <c r="W355" s="31" t="str">
        <f t="shared" si="248"/>
        <v>1-0.928190821468827i</v>
      </c>
      <c r="X355" s="17">
        <f t="shared" si="259"/>
        <v>1.3643819850243466</v>
      </c>
      <c r="Y355" s="17">
        <f t="shared" si="260"/>
        <v>-0.74817362793086983</v>
      </c>
      <c r="Z355" s="31" t="str">
        <f t="shared" si="249"/>
        <v>0.818333595418965+4.44108326518658i</v>
      </c>
      <c r="AA355" s="17">
        <f t="shared" si="261"/>
        <v>4.5158488063388065</v>
      </c>
      <c r="AB355" s="17">
        <f t="shared" si="262"/>
        <v>1.3885758998930888</v>
      </c>
      <c r="AC355" s="66" t="str">
        <f t="shared" si="263"/>
        <v>-0.051087310073666+0.0287238016646629i</v>
      </c>
      <c r="AD355" s="64">
        <f t="shared" si="264"/>
        <v>-24.640770474599055</v>
      </c>
      <c r="AE355" s="61">
        <f t="shared" si="265"/>
        <v>150.65316146013532</v>
      </c>
      <c r="AF355" s="31" t="str">
        <f t="shared" si="250"/>
        <v>-6627.51882264077</v>
      </c>
      <c r="AG355" s="31" t="str">
        <f t="shared" si="266"/>
        <v>147292.240490852i</v>
      </c>
      <c r="AH355" s="31">
        <f t="shared" si="267"/>
        <v>147292.24049085201</v>
      </c>
      <c r="AI355" s="31">
        <f t="shared" si="268"/>
        <v>1.5707963267948966</v>
      </c>
      <c r="AJ355" s="31" t="str">
        <f t="shared" si="251"/>
        <v>-1.58908179034598+71.8999707344068i</v>
      </c>
      <c r="AK355" s="31">
        <f t="shared" si="269"/>
        <v>71.917528965788065</v>
      </c>
      <c r="AL355" s="31">
        <f t="shared" si="270"/>
        <v>1.5928940149025355</v>
      </c>
      <c r="AM355" s="31" t="str">
        <f t="shared" si="252"/>
        <v>1+85.4191890278599i</v>
      </c>
      <c r="AN355" s="31">
        <f t="shared" si="271"/>
        <v>85.425042312996609</v>
      </c>
      <c r="AO355" s="31">
        <f t="shared" si="272"/>
        <v>1.5590898902114569</v>
      </c>
      <c r="AP355" s="31" t="str">
        <f t="shared" si="253"/>
        <v>1+68.9327685497186i</v>
      </c>
      <c r="AQ355" s="31">
        <f t="shared" si="273"/>
        <v>68.940021612479029</v>
      </c>
      <c r="AR355" s="31">
        <f t="shared" si="274"/>
        <v>1.5562904556402291</v>
      </c>
      <c r="AS355" s="58" t="str">
        <f t="shared" si="275"/>
        <v>-3.68032333039228+0.17793485110001i</v>
      </c>
      <c r="AT355" s="49">
        <f t="shared" si="276"/>
        <v>11.327859246964447</v>
      </c>
      <c r="AU355" s="61">
        <f t="shared" si="277"/>
        <v>177.2320411297442</v>
      </c>
      <c r="AV355" s="58" t="str">
        <f t="shared" si="254"/>
        <v>0.18290685377887-0.114803090315077i</v>
      </c>
      <c r="AW355" s="64">
        <f t="shared" si="278"/>
        <v>-13.312911227634594</v>
      </c>
      <c r="AX355" s="61">
        <f t="shared" si="279"/>
        <v>-32.114797410120353</v>
      </c>
    </row>
    <row r="356" spans="14:50" x14ac:dyDescent="0.35">
      <c r="N356" s="10">
        <v>38</v>
      </c>
      <c r="O356" s="50">
        <f t="shared" si="244"/>
        <v>23988.329190194923</v>
      </c>
      <c r="P356" s="48" t="str">
        <f t="shared" si="245"/>
        <v>547.187404092767</v>
      </c>
      <c r="Q356" s="17" t="str">
        <f t="shared" si="246"/>
        <v>1+2890.61784890991i</v>
      </c>
      <c r="R356" s="17">
        <f t="shared" si="255"/>
        <v>2890.618021883306</v>
      </c>
      <c r="S356" s="17">
        <f t="shared" si="256"/>
        <v>1.5704503800069169</v>
      </c>
      <c r="T356" s="17" t="str">
        <f t="shared" si="247"/>
        <v>1+0.0546960899562575i</v>
      </c>
      <c r="U356" s="17">
        <f t="shared" si="257"/>
        <v>1.001494714043216</v>
      </c>
      <c r="V356" s="17">
        <f t="shared" si="258"/>
        <v>5.4641643578031848E-2</v>
      </c>
      <c r="W356" s="31" t="str">
        <f t="shared" si="248"/>
        <v>1-0.949811163108364i</v>
      </c>
      <c r="X356" s="17">
        <f t="shared" si="259"/>
        <v>1.3791813679009963</v>
      </c>
      <c r="Y356" s="17">
        <f t="shared" si="260"/>
        <v>-0.75966348827973851</v>
      </c>
      <c r="Z356" s="31" t="str">
        <f t="shared" si="249"/>
        <v>0.809771921541435+4.54452938340074i</v>
      </c>
      <c r="AA356" s="17">
        <f t="shared" si="261"/>
        <v>4.616110687744567</v>
      </c>
      <c r="AB356" s="17">
        <f t="shared" si="262"/>
        <v>1.3944609263533241</v>
      </c>
      <c r="AC356" s="66" t="str">
        <f t="shared" si="263"/>
        <v>-0.04891864115979+0.0285533201085066i</v>
      </c>
      <c r="AD356" s="64">
        <f t="shared" si="264"/>
        <v>-24.937215711916178</v>
      </c>
      <c r="AE356" s="61">
        <f t="shared" si="265"/>
        <v>149.72831934900319</v>
      </c>
      <c r="AF356" s="31" t="str">
        <f t="shared" si="250"/>
        <v>-6627.51882264077</v>
      </c>
      <c r="AG356" s="31" t="str">
        <f t="shared" si="266"/>
        <v>150723.11751162i</v>
      </c>
      <c r="AH356" s="31">
        <f t="shared" si="267"/>
        <v>150723.11751161999</v>
      </c>
      <c r="AI356" s="31">
        <f t="shared" si="268"/>
        <v>1.5707963267948966</v>
      </c>
      <c r="AJ356" s="31" t="str">
        <f t="shared" si="251"/>
        <v>-1.71110145590999+73.5747361977097i</v>
      </c>
      <c r="AK356" s="31">
        <f t="shared" si="269"/>
        <v>73.594630746780638</v>
      </c>
      <c r="AL356" s="31">
        <f t="shared" si="270"/>
        <v>1.5940487793222602</v>
      </c>
      <c r="AM356" s="31" t="str">
        <f t="shared" si="252"/>
        <v>1+87.4088575385138i</v>
      </c>
      <c r="AN356" s="31">
        <f t="shared" si="271"/>
        <v>87.414577595434295</v>
      </c>
      <c r="AO356" s="31">
        <f t="shared" si="272"/>
        <v>1.5593563377213777</v>
      </c>
      <c r="AP356" s="31" t="str">
        <f t="shared" si="253"/>
        <v>1+70.5384189954381i</v>
      </c>
      <c r="AQ356" s="31">
        <f t="shared" si="273"/>
        <v>70.545506975114876</v>
      </c>
      <c r="AR356" s="31">
        <f t="shared" si="274"/>
        <v>1.5566206048316702</v>
      </c>
      <c r="AS356" s="58" t="str">
        <f t="shared" si="275"/>
        <v>-3.68009828625885+0.179982940064304i</v>
      </c>
      <c r="AT356" s="49">
        <f t="shared" si="276"/>
        <v>11.32756386092675</v>
      </c>
      <c r="AU356" s="61">
        <f t="shared" si="277"/>
        <v>177.20006047522156</v>
      </c>
      <c r="AV356" s="58" t="str">
        <f t="shared" si="254"/>
        <v>0.174886296996529-0.113883545258205i</v>
      </c>
      <c r="AW356" s="64">
        <f t="shared" si="278"/>
        <v>-13.609651850989417</v>
      </c>
      <c r="AX356" s="61">
        <f t="shared" si="279"/>
        <v>-33.071620175775131</v>
      </c>
    </row>
    <row r="357" spans="14:50" x14ac:dyDescent="0.35">
      <c r="N357" s="10">
        <v>39</v>
      </c>
      <c r="O357" s="50">
        <f t="shared" si="244"/>
        <v>24547.089156850321</v>
      </c>
      <c r="P357" s="48" t="str">
        <f t="shared" si="245"/>
        <v>547.187404092767</v>
      </c>
      <c r="Q357" s="17" t="str">
        <f t="shared" si="246"/>
        <v>1+2957.94898815117i</v>
      </c>
      <c r="R357" s="17">
        <f t="shared" si="255"/>
        <v>2957.9491571872109</v>
      </c>
      <c r="S357" s="17">
        <f t="shared" si="256"/>
        <v>1.5704582547166057</v>
      </c>
      <c r="T357" s="17" t="str">
        <f t="shared" si="247"/>
        <v>1+0.0559701255573959i</v>
      </c>
      <c r="U357" s="17">
        <f t="shared" si="257"/>
        <v>1.0015651027042181</v>
      </c>
      <c r="V357" s="17">
        <f t="shared" si="258"/>
        <v>5.5911790134668966E-2</v>
      </c>
      <c r="W357" s="31" t="str">
        <f t="shared" si="248"/>
        <v>1-0.971935107198819i</v>
      </c>
      <c r="X357" s="17">
        <f t="shared" si="259"/>
        <v>1.3945098969191936</v>
      </c>
      <c r="Y357" s="17">
        <f t="shared" si="260"/>
        <v>-0.7711669658086201</v>
      </c>
      <c r="Z357" s="31" t="str">
        <f t="shared" si="249"/>
        <v>0.800806748405171+4.65038507124794i</v>
      </c>
      <c r="AA357" s="17">
        <f t="shared" si="261"/>
        <v>4.7188317154966404</v>
      </c>
      <c r="AB357" s="17">
        <f t="shared" si="262"/>
        <v>1.4002665638547565</v>
      </c>
      <c r="AC357" s="66" t="str">
        <f t="shared" si="263"/>
        <v>-0.0468385718227165+0.028356500841612i</v>
      </c>
      <c r="AD357" s="64">
        <f t="shared" si="264"/>
        <v>-25.231766358554264</v>
      </c>
      <c r="AE357" s="61">
        <f t="shared" si="265"/>
        <v>148.80890296008812</v>
      </c>
      <c r="AF357" s="31" t="str">
        <f t="shared" si="250"/>
        <v>-6627.51882264077</v>
      </c>
      <c r="AG357" s="31" t="str">
        <f t="shared" si="266"/>
        <v>154233.909924349i</v>
      </c>
      <c r="AH357" s="31">
        <f t="shared" si="267"/>
        <v>154233.90992434899</v>
      </c>
      <c r="AI357" s="31">
        <f t="shared" si="268"/>
        <v>1.5707963267948966</v>
      </c>
      <c r="AJ357" s="31" t="str">
        <f t="shared" si="251"/>
        <v>-1.8388717311457+75.2885119600215i</v>
      </c>
      <c r="AK357" s="31">
        <f t="shared" si="269"/>
        <v>75.310965220198227</v>
      </c>
      <c r="AL357" s="31">
        <f t="shared" si="270"/>
        <v>1.5952158053533858</v>
      </c>
      <c r="AM357" s="31" t="str">
        <f t="shared" si="252"/>
        <v>1+89.4448713824278i</v>
      </c>
      <c r="AN357" s="31">
        <f t="shared" si="271"/>
        <v>89.45046124318786</v>
      </c>
      <c r="AO357" s="31">
        <f t="shared" si="272"/>
        <v>1.5596167217151649</v>
      </c>
      <c r="AP357" s="31" t="str">
        <f t="shared" si="253"/>
        <v>1+72.1814698445952i</v>
      </c>
      <c r="AQ357" s="31">
        <f t="shared" si="273"/>
        <v>72.188396497818161</v>
      </c>
      <c r="AR357" s="31">
        <f t="shared" si="274"/>
        <v>1.5569432418963207</v>
      </c>
      <c r="AS357" s="58" t="str">
        <f t="shared" si="275"/>
        <v>-3.67986268553614+0.182125677739804i</v>
      </c>
      <c r="AT357" s="49">
        <f t="shared" si="276"/>
        <v>11.327257341591942</v>
      </c>
      <c r="AU357" s="61">
        <f t="shared" si="277"/>
        <v>177.16659945507189</v>
      </c>
      <c r="AV357" s="58" t="str">
        <f t="shared" si="254"/>
        <v>0.167195065760111-0.112878535976999i</v>
      </c>
      <c r="AW357" s="64">
        <f t="shared" si="278"/>
        <v>-13.904509016962319</v>
      </c>
      <c r="AX357" s="61">
        <f t="shared" si="279"/>
        <v>-34.024497584840006</v>
      </c>
    </row>
    <row r="358" spans="14:50" x14ac:dyDescent="0.35">
      <c r="N358" s="10">
        <v>40</v>
      </c>
      <c r="O358" s="50">
        <f t="shared" si="244"/>
        <v>25118.86431509586</v>
      </c>
      <c r="P358" s="48" t="str">
        <f t="shared" si="245"/>
        <v>547.187404092767</v>
      </c>
      <c r="Q358" s="17" t="str">
        <f t="shared" si="246"/>
        <v>1+3026.84847109905i</v>
      </c>
      <c r="R358" s="17">
        <f t="shared" si="255"/>
        <v>3026.8486362873614</v>
      </c>
      <c r="S358" s="17">
        <f t="shared" si="256"/>
        <v>1.5704659501760585</v>
      </c>
      <c r="T358" s="17" t="str">
        <f t="shared" si="247"/>
        <v>1+0.0572738372599574i</v>
      </c>
      <c r="U358" s="17">
        <f t="shared" si="257"/>
        <v>1.0016388033789825</v>
      </c>
      <c r="V358" s="17">
        <f t="shared" si="258"/>
        <v>5.721133525048621E-2</v>
      </c>
      <c r="W358" s="31" t="str">
        <f t="shared" si="248"/>
        <v>1-0.994574384148199i</v>
      </c>
      <c r="X358" s="17">
        <f t="shared" si="259"/>
        <v>1.4103822905878283</v>
      </c>
      <c r="Y358" s="17">
        <f t="shared" si="260"/>
        <v>-0.7826779828351963</v>
      </c>
      <c r="Z358" s="31" t="str">
        <f t="shared" si="249"/>
        <v>0.791419059675968+4.75870645481508i</v>
      </c>
      <c r="AA358" s="17">
        <f t="shared" si="261"/>
        <v>4.8240679152678911</v>
      </c>
      <c r="AB358" s="17">
        <f t="shared" si="262"/>
        <v>1.4059949849586373</v>
      </c>
      <c r="AC358" s="66" t="str">
        <f t="shared" si="263"/>
        <v>-0.0448438540144509+0.0281357609882351i</v>
      </c>
      <c r="AD358" s="64">
        <f t="shared" si="264"/>
        <v>-25.524400771968992</v>
      </c>
      <c r="AE358" s="61">
        <f t="shared" si="265"/>
        <v>147.89517344711103</v>
      </c>
      <c r="AF358" s="31" t="str">
        <f t="shared" si="250"/>
        <v>-6627.51882264077</v>
      </c>
      <c r="AG358" s="31" t="str">
        <f t="shared" si="266"/>
        <v>157826.479197648i</v>
      </c>
      <c r="AH358" s="31">
        <f t="shared" si="267"/>
        <v>157826.479197648</v>
      </c>
      <c r="AI358" s="31">
        <f t="shared" si="268"/>
        <v>1.5707963267948966</v>
      </c>
      <c r="AJ358" s="31" t="str">
        <f t="shared" si="251"/>
        <v>-1.97266363393736+77.0422066879359i</v>
      </c>
      <c r="AK358" s="31">
        <f t="shared" si="269"/>
        <v>77.067457549599325</v>
      </c>
      <c r="AL358" s="31">
        <f t="shared" si="270"/>
        <v>1.5963957064834364</v>
      </c>
      <c r="AM358" s="31" t="str">
        <f t="shared" si="252"/>
        <v>1+91.5283100810921i</v>
      </c>
      <c r="AN358" s="31">
        <f t="shared" si="271"/>
        <v>91.533772708768794</v>
      </c>
      <c r="AO358" s="31">
        <f t="shared" si="272"/>
        <v>1.5598711801105454</v>
      </c>
      <c r="AP358" s="31" t="str">
        <f t="shared" si="253"/>
        <v>1+73.8627922644992i</v>
      </c>
      <c r="AQ358" s="31">
        <f t="shared" si="273"/>
        <v>73.869561262461573</v>
      </c>
      <c r="AR358" s="31">
        <f t="shared" si="274"/>
        <v>1.5572585376317905</v>
      </c>
      <c r="AS358" s="58" t="str">
        <f t="shared" si="275"/>
        <v>-3.67961603264304+0.184364144601818i</v>
      </c>
      <c r="AT358" s="49">
        <f t="shared" si="276"/>
        <v>11.326939041275265</v>
      </c>
      <c r="AU358" s="61">
        <f t="shared" si="277"/>
        <v>177.13164060713513</v>
      </c>
      <c r="AV358" s="58" t="str">
        <f t="shared" si="254"/>
        <v>0.15982093868976-0.111796396008946i</v>
      </c>
      <c r="AW358" s="64">
        <f t="shared" si="278"/>
        <v>-14.197461730693732</v>
      </c>
      <c r="AX358" s="61">
        <f t="shared" si="279"/>
        <v>-34.973185945754004</v>
      </c>
    </row>
    <row r="359" spans="14:50" x14ac:dyDescent="0.35">
      <c r="N359" s="10">
        <v>41</v>
      </c>
      <c r="O359" s="50">
        <f t="shared" si="244"/>
        <v>25703.95782768865</v>
      </c>
      <c r="P359" s="48" t="str">
        <f t="shared" si="245"/>
        <v>547.187404092767</v>
      </c>
      <c r="Q359" s="17" t="str">
        <f t="shared" si="246"/>
        <v>1+3097.35282917137i</v>
      </c>
      <c r="R359" s="17">
        <f t="shared" si="255"/>
        <v>3097.352990599536</v>
      </c>
      <c r="S359" s="17">
        <f t="shared" si="256"/>
        <v>1.5704734704655057</v>
      </c>
      <c r="T359" s="17" t="str">
        <f t="shared" si="247"/>
        <v>1+0.0586079163091426i</v>
      </c>
      <c r="U359" s="17">
        <f t="shared" si="257"/>
        <v>1.001715971647702</v>
      </c>
      <c r="V359" s="17">
        <f t="shared" si="258"/>
        <v>5.8540950394009951E-2</v>
      </c>
      <c r="W359" s="31" t="str">
        <f t="shared" si="248"/>
        <v>1-1.0177409976008i</v>
      </c>
      <c r="X359" s="17">
        <f t="shared" si="259"/>
        <v>1.4268134910342949</v>
      </c>
      <c r="Y359" s="17">
        <f t="shared" si="260"/>
        <v>-0.79419044172681597</v>
      </c>
      <c r="Z359" s="31" t="str">
        <f t="shared" si="249"/>
        <v>0.781588942807406+4.86955096753345i</v>
      </c>
      <c r="AA359" s="17">
        <f t="shared" si="261"/>
        <v>4.9318767118536897</v>
      </c>
      <c r="AB359" s="17">
        <f t="shared" si="262"/>
        <v>1.4116483754558595</v>
      </c>
      <c r="AC359" s="66" t="str">
        <f t="shared" si="263"/>
        <v>-0.0429313271509803+0.0278933617077484i</v>
      </c>
      <c r="AD359" s="64">
        <f t="shared" si="264"/>
        <v>-25.8151003408029</v>
      </c>
      <c r="AE359" s="61">
        <f t="shared" si="265"/>
        <v>146.98739318062775</v>
      </c>
      <c r="AF359" s="31" t="str">
        <f t="shared" si="250"/>
        <v>-6627.51882264077</v>
      </c>
      <c r="AG359" s="31" t="str">
        <f t="shared" si="266"/>
        <v>161502.730159297i</v>
      </c>
      <c r="AH359" s="31">
        <f t="shared" si="267"/>
        <v>161502.730159297</v>
      </c>
      <c r="AI359" s="31">
        <f t="shared" si="268"/>
        <v>1.5707963267948966</v>
      </c>
      <c r="AJ359" s="31" t="str">
        <f t="shared" si="251"/>
        <v>-2.11276095484853+78.8367502136101i</v>
      </c>
      <c r="AK359" s="31">
        <f t="shared" si="269"/>
        <v>78.865055272252775</v>
      </c>
      <c r="AL359" s="31">
        <f t="shared" si="270"/>
        <v>1.5975891026823588</v>
      </c>
      <c r="AM359" s="31" t="str">
        <f t="shared" si="252"/>
        <v>1+93.6602783012812i</v>
      </c>
      <c r="AN359" s="31">
        <f t="shared" si="271"/>
        <v>93.665616591540385</v>
      </c>
      <c r="AO359" s="31">
        <f t="shared" si="272"/>
        <v>1.5601198476928455</v>
      </c>
      <c r="AP359" s="31" t="str">
        <f t="shared" si="253"/>
        <v>1+75.5832777145509i</v>
      </c>
      <c r="AQ359" s="31">
        <f t="shared" si="273"/>
        <v>75.589892644949074</v>
      </c>
      <c r="AR359" s="31">
        <f t="shared" si="274"/>
        <v>1.5575666589611554</v>
      </c>
      <c r="AS359" s="58" t="str">
        <f t="shared" si="275"/>
        <v>-3.67935780895521+0.186699467920819i</v>
      </c>
      <c r="AT359" s="49">
        <f t="shared" si="276"/>
        <v>11.326608287536564</v>
      </c>
      <c r="AU359" s="61">
        <f t="shared" si="277"/>
        <v>177.09516569636804</v>
      </c>
      <c r="AV359" s="58" t="str">
        <f t="shared" si="254"/>
        <v>0.152752038012411-0.110644914153639i</v>
      </c>
      <c r="AW359" s="64">
        <f t="shared" si="278"/>
        <v>-14.488492053266322</v>
      </c>
      <c r="AX359" s="61">
        <f t="shared" si="279"/>
        <v>-35.917441123004195</v>
      </c>
    </row>
    <row r="360" spans="14:50" x14ac:dyDescent="0.35">
      <c r="N360" s="10">
        <v>42</v>
      </c>
      <c r="O360" s="50">
        <f t="shared" si="244"/>
        <v>26302.679918953829</v>
      </c>
      <c r="P360" s="48" t="str">
        <f t="shared" si="245"/>
        <v>547.187404092767</v>
      </c>
      <c r="Q360" s="17" t="str">
        <f t="shared" si="246"/>
        <v>1+3169.49944471202i</v>
      </c>
      <c r="R360" s="17">
        <f t="shared" si="255"/>
        <v>3169.4996024656321</v>
      </c>
      <c r="S360" s="17">
        <f t="shared" si="256"/>
        <v>1.5704808195723012</v>
      </c>
      <c r="T360" s="17" t="str">
        <f t="shared" si="247"/>
        <v>1+0.0599730700513224i</v>
      </c>
      <c r="U360" s="17">
        <f t="shared" si="257"/>
        <v>1.0017967703738022</v>
      </c>
      <c r="V360" s="17">
        <f t="shared" si="258"/>
        <v>5.9901321729389979E-2</v>
      </c>
      <c r="W360" s="31" t="str">
        <f t="shared" si="248"/>
        <v>1-1.04144723080172i</v>
      </c>
      <c r="X360" s="17">
        <f t="shared" si="259"/>
        <v>1.443818664010329</v>
      </c>
      <c r="Y360" s="17">
        <f t="shared" si="260"/>
        <v>-0.80569824103193044</v>
      </c>
      <c r="Z360" s="31" t="str">
        <f t="shared" si="249"/>
        <v>0.771295546803657+4.98297738063093i</v>
      </c>
      <c r="AA360" s="17">
        <f t="shared" si="261"/>
        <v>5.0423169670696666</v>
      </c>
      <c r="AB360" s="17">
        <f t="shared" si="262"/>
        <v>1.4172289323666181</v>
      </c>
      <c r="AC360" s="66" t="str">
        <f t="shared" si="263"/>
        <v>-0.0410979185792645+0.027631416493252i</v>
      </c>
      <c r="AD360" s="64">
        <f t="shared" si="264"/>
        <v>-26.103849474345424</v>
      </c>
      <c r="AE360" s="61">
        <f t="shared" si="265"/>
        <v>146.08582495392741</v>
      </c>
      <c r="AF360" s="31" t="str">
        <f t="shared" si="250"/>
        <v>-6627.51882264077</v>
      </c>
      <c r="AG360" s="31" t="str">
        <f t="shared" si="266"/>
        <v>165264.612006218i</v>
      </c>
      <c r="AH360" s="31">
        <f t="shared" si="267"/>
        <v>165264.612006218</v>
      </c>
      <c r="AI360" s="31">
        <f t="shared" si="268"/>
        <v>1.5707963267948966</v>
      </c>
      <c r="AJ360" s="31" t="str">
        <f t="shared" si="251"/>
        <v>-2.25946085908006+80.6730940277754i</v>
      </c>
      <c r="AK360" s="31">
        <f t="shared" si="269"/>
        <v>80.704728878721895</v>
      </c>
      <c r="AL360" s="31">
        <f t="shared" si="270"/>
        <v>1.5987966207045698</v>
      </c>
      <c r="AM360" s="31" t="str">
        <f t="shared" si="252"/>
        <v>1+95.8419064407661i</v>
      </c>
      <c r="AN360" s="31">
        <f t="shared" si="271"/>
        <v>95.847123223394448</v>
      </c>
      <c r="AO360" s="31">
        <f t="shared" si="272"/>
        <v>1.560362856185826</v>
      </c>
      <c r="AP360" s="31" t="str">
        <f t="shared" si="253"/>
        <v>1+77.3438384189099i</v>
      </c>
      <c r="AQ360" s="31">
        <f t="shared" si="273"/>
        <v>77.350302787839439</v>
      </c>
      <c r="AR360" s="31">
        <f t="shared" si="274"/>
        <v>1.5578677690202678</v>
      </c>
      <c r="AS360" s="58" t="str">
        <f t="shared" si="275"/>
        <v>-3.67908747174365+0.189132822079358i</v>
      </c>
      <c r="AT360" s="49">
        <f t="shared" si="276"/>
        <v>11.326264381777429</v>
      </c>
      <c r="AU360" s="61">
        <f t="shared" si="277"/>
        <v>177.05715570659905</v>
      </c>
      <c r="AV360" s="58" t="str">
        <f t="shared" si="254"/>
        <v>0.145976829580294-0.109431363569338i</v>
      </c>
      <c r="AW360" s="64">
        <f t="shared" si="278"/>
        <v>-14.777585092567991</v>
      </c>
      <c r="AX360" s="61">
        <f t="shared" si="279"/>
        <v>-36.857019339473432</v>
      </c>
    </row>
    <row r="361" spans="14:50" x14ac:dyDescent="0.35">
      <c r="N361" s="10">
        <v>43</v>
      </c>
      <c r="O361" s="50">
        <f t="shared" si="244"/>
        <v>26915.348039269167</v>
      </c>
      <c r="P361" s="48" t="str">
        <f t="shared" si="245"/>
        <v>547.187404092767</v>
      </c>
      <c r="Q361" s="17" t="str">
        <f t="shared" si="246"/>
        <v>1+3243.32657081156i</v>
      </c>
      <c r="R361" s="17">
        <f t="shared" si="255"/>
        <v>3243.3267249742621</v>
      </c>
      <c r="S361" s="17">
        <f t="shared" si="256"/>
        <v>1.5704880013930356</v>
      </c>
      <c r="T361" s="17" t="str">
        <f t="shared" si="247"/>
        <v>1+0.0613700223090811i</v>
      </c>
      <c r="U361" s="17">
        <f t="shared" si="257"/>
        <v>1.0018813700424902</v>
      </c>
      <c r="V361" s="17">
        <f t="shared" si="258"/>
        <v>6.1293150391994969E-2</v>
      </c>
      <c r="W361" s="31" t="str">
        <f t="shared" si="248"/>
        <v>1-1.0657056531096i</v>
      </c>
      <c r="X361" s="17">
        <f t="shared" si="259"/>
        <v>1.4614131992936699</v>
      </c>
      <c r="Y361" s="17">
        <f t="shared" si="260"/>
        <v>-0.81719529163617044</v>
      </c>
      <c r="Z361" s="31" t="str">
        <f t="shared" si="249"/>
        <v>0.760517037991738+5.09904583429315i</v>
      </c>
      <c r="AA361" s="17">
        <f t="shared" si="261"/>
        <v>5.1554490187856628</v>
      </c>
      <c r="AB361" s="17">
        <f t="shared" si="262"/>
        <v>1.4227388620991979</v>
      </c>
      <c r="AC361" s="66" t="str">
        <f t="shared" si="263"/>
        <v>-0.0393406437244807+0.0273518991504867i</v>
      </c>
      <c r="AD361" s="64">
        <f t="shared" si="264"/>
        <v>-26.390635581558971</v>
      </c>
      <c r="AE361" s="61">
        <f t="shared" si="265"/>
        <v>145.19073117852091</v>
      </c>
      <c r="AF361" s="31" t="str">
        <f t="shared" si="250"/>
        <v>-6627.51882264077</v>
      </c>
      <c r="AG361" s="31" t="str">
        <f t="shared" si="266"/>
        <v>169114.119337961i</v>
      </c>
      <c r="AH361" s="31">
        <f t="shared" si="267"/>
        <v>169114.11933796099</v>
      </c>
      <c r="AI361" s="31">
        <f t="shared" si="268"/>
        <v>1.5707963267948966</v>
      </c>
      <c r="AJ361" s="31" t="str">
        <f t="shared" si="251"/>
        <v>-2.41307451679725+82.5522117842289i</v>
      </c>
      <c r="AK361" s="31">
        <f t="shared" si="269"/>
        <v>82.58747241011676</v>
      </c>
      <c r="AL361" s="31">
        <f t="shared" si="270"/>
        <v>1.6000188943928528</v>
      </c>
      <c r="AM361" s="31" t="str">
        <f t="shared" si="252"/>
        <v>1+98.0743512276638i</v>
      </c>
      <c r="AN361" s="31">
        <f t="shared" si="271"/>
        <v>98.079449268066142</v>
      </c>
      <c r="AO361" s="31">
        <f t="shared" si="272"/>
        <v>1.5606003343209378</v>
      </c>
      <c r="AP361" s="31" t="str">
        <f t="shared" si="253"/>
        <v>1+79.1454078501656i</v>
      </c>
      <c r="AQ361" s="31">
        <f t="shared" si="273"/>
        <v>79.151725083974341</v>
      </c>
      <c r="AR361" s="31">
        <f t="shared" si="274"/>
        <v>1.5581620272431345</v>
      </c>
      <c r="AS361" s="58" t="str">
        <f t="shared" si="275"/>
        <v>-3.67880445306539+0.191665428894118i</v>
      </c>
      <c r="AT361" s="49">
        <f t="shared" si="276"/>
        <v>11.325906597783975</v>
      </c>
      <c r="AU361" s="61">
        <f t="shared" si="277"/>
        <v>177.01759083197635</v>
      </c>
      <c r="AV361" s="58" t="str">
        <f t="shared" si="254"/>
        <v>0.139484121838332-0.108162529747029i</v>
      </c>
      <c r="AW361" s="64">
        <f t="shared" si="278"/>
        <v>-15.064728983775</v>
      </c>
      <c r="AX361" s="61">
        <f t="shared" si="279"/>
        <v>-37.791677989502645</v>
      </c>
    </row>
    <row r="362" spans="14:50" x14ac:dyDescent="0.35">
      <c r="N362" s="10">
        <v>44</v>
      </c>
      <c r="O362" s="50">
        <f t="shared" si="244"/>
        <v>27542.287033381719</v>
      </c>
      <c r="P362" s="48" t="str">
        <f t="shared" si="245"/>
        <v>547.187404092767</v>
      </c>
      <c r="Q362" s="17" t="str">
        <f t="shared" si="246"/>
        <v>1+3318.87335158945i</v>
      </c>
      <c r="R362" s="17">
        <f t="shared" si="255"/>
        <v>3318.8735022429805</v>
      </c>
      <c r="S362" s="17">
        <f t="shared" si="256"/>
        <v>1.5704950197356022</v>
      </c>
      <c r="T362" s="17" t="str">
        <f t="shared" si="247"/>
        <v>1+0.0627995137649964i</v>
      </c>
      <c r="U362" s="17">
        <f t="shared" si="257"/>
        <v>1.0019699491148024</v>
      </c>
      <c r="V362" s="17">
        <f t="shared" si="258"/>
        <v>6.2717152765762396E-2</v>
      </c>
      <c r="W362" s="31" t="str">
        <f t="shared" si="248"/>
        <v>1-1.09052912666104i</v>
      </c>
      <c r="X362" s="17">
        <f t="shared" si="259"/>
        <v>1.4796127115215287</v>
      </c>
      <c r="Y362" s="17">
        <f t="shared" si="260"/>
        <v>-0.82867553283880768</v>
      </c>
      <c r="Z362" s="31" t="str">
        <f t="shared" si="249"/>
        <v>0.749230553709359+5.21781786955057i</v>
      </c>
      <c r="AA362" s="17">
        <f t="shared" si="261"/>
        <v>5.2713347211510762</v>
      </c>
      <c r="AB362" s="17">
        <f t="shared" si="262"/>
        <v>1.4281803787613041</v>
      </c>
      <c r="AC362" s="66" t="str">
        <f t="shared" si="263"/>
        <v>-0.037656605948221+0.0270566514568869i</v>
      </c>
      <c r="AD362" s="64">
        <f t="shared" si="264"/>
        <v>-26.675449039754024</v>
      </c>
      <c r="AE362" s="61">
        <f t="shared" si="265"/>
        <v>144.3023730755541</v>
      </c>
      <c r="AF362" s="31" t="str">
        <f t="shared" si="250"/>
        <v>-6627.51882264077</v>
      </c>
      <c r="AG362" s="31" t="str">
        <f t="shared" si="266"/>
        <v>173053.293214267i</v>
      </c>
      <c r="AH362" s="31">
        <f t="shared" si="267"/>
        <v>173053.293214267</v>
      </c>
      <c r="AI362" s="31">
        <f t="shared" si="268"/>
        <v>1.5707963267948966</v>
      </c>
      <c r="AJ362" s="31" t="str">
        <f t="shared" si="251"/>
        <v>-2.57392776316345+84.4750998160783i</v>
      </c>
      <c r="AK362" s="31">
        <f t="shared" si="269"/>
        <v>84.514304073726933</v>
      </c>
      <c r="AL362" s="31">
        <f t="shared" si="270"/>
        <v>1.601256564984135</v>
      </c>
      <c r="AM362" s="31" t="str">
        <f t="shared" si="252"/>
        <v>1+100.35879633375i</v>
      </c>
      <c r="AN362" s="31">
        <f t="shared" si="271"/>
        <v>100.36377833441263</v>
      </c>
      <c r="AO362" s="31">
        <f t="shared" si="272"/>
        <v>1.5608324079050271</v>
      </c>
      <c r="AP362" s="31" t="str">
        <f t="shared" si="253"/>
        <v>1+80.9889412242768i</v>
      </c>
      <c r="AQ362" s="31">
        <f t="shared" si="273"/>
        <v>80.995114671376086</v>
      </c>
      <c r="AR362" s="31">
        <f t="shared" si="274"/>
        <v>1.5584495894454096</v>
      </c>
      <c r="AS362" s="58" t="str">
        <f t="shared" si="275"/>
        <v>-3.67850815860513+0.194298557941957i</v>
      </c>
      <c r="AT362" s="49">
        <f t="shared" si="276"/>
        <v>11.325534180214396</v>
      </c>
      <c r="AU362" s="61">
        <f t="shared" si="277"/>
        <v>176.97645046811107</v>
      </c>
      <c r="AV362" s="58" t="str">
        <f t="shared" si="254"/>
        <v>0.133263063845098-0.106844737361422i</v>
      </c>
      <c r="AW362" s="64">
        <f t="shared" si="278"/>
        <v>-15.349914859539622</v>
      </c>
      <c r="AX362" s="61">
        <f t="shared" si="279"/>
        <v>-38.721176456334931</v>
      </c>
    </row>
    <row r="363" spans="14:50" x14ac:dyDescent="0.35">
      <c r="N363" s="10">
        <v>45</v>
      </c>
      <c r="O363" s="50">
        <f t="shared" si="244"/>
        <v>28183.829312644593</v>
      </c>
      <c r="P363" s="48" t="str">
        <f t="shared" si="245"/>
        <v>547.187404092767</v>
      </c>
      <c r="Q363" s="17" t="str">
        <f t="shared" si="246"/>
        <v>1+3396.17984294882i</v>
      </c>
      <c r="R363" s="17">
        <f t="shared" si="255"/>
        <v>3396.1799901730578</v>
      </c>
      <c r="S363" s="17">
        <f t="shared" si="256"/>
        <v>1.5705018783212163</v>
      </c>
      <c r="T363" s="17" t="str">
        <f t="shared" si="247"/>
        <v>1+0.0642623023543596i</v>
      </c>
      <c r="U363" s="17">
        <f t="shared" si="257"/>
        <v>1.0020626943978521</v>
      </c>
      <c r="V363" s="17">
        <f t="shared" si="258"/>
        <v>6.4174060762022936E-2</v>
      </c>
      <c r="W363" s="31" t="str">
        <f t="shared" si="248"/>
        <v>1-1.11593081319029i</v>
      </c>
      <c r="X363" s="17">
        <f t="shared" si="259"/>
        <v>1.4984330414895228</v>
      </c>
      <c r="Y363" s="17">
        <f t="shared" si="260"/>
        <v>-0.840132948246329</v>
      </c>
      <c r="Z363" s="31" t="str">
        <f t="shared" si="249"/>
        <v>0.737412153810153+5.33935646090839i</v>
      </c>
      <c r="AA363" s="17">
        <f t="shared" si="261"/>
        <v>5.3900374860691924</v>
      </c>
      <c r="AB363" s="17">
        <f t="shared" si="262"/>
        <v>1.4335557026173076</v>
      </c>
      <c r="AC363" s="66" t="str">
        <f t="shared" si="263"/>
        <v>-0.0360429961465912+0.0267473905023428i</v>
      </c>
      <c r="AD363" s="64">
        <f t="shared" si="264"/>
        <v>-26.958283153081545</v>
      </c>
      <c r="AE363" s="61">
        <f t="shared" si="265"/>
        <v>143.42100986942538</v>
      </c>
      <c r="AF363" s="31" t="str">
        <f t="shared" si="250"/>
        <v>-6627.51882264077</v>
      </c>
      <c r="AG363" s="31" t="str">
        <f t="shared" si="266"/>
        <v>177084.222237266i</v>
      </c>
      <c r="AH363" s="31">
        <f t="shared" si="267"/>
        <v>177084.22223726599</v>
      </c>
      <c r="AI363" s="31">
        <f t="shared" si="268"/>
        <v>1.5707963267948966</v>
      </c>
      <c r="AJ363" s="31" t="str">
        <f t="shared" si="251"/>
        <v>-2.74236178948014+86.4427776640102i</v>
      </c>
      <c r="AK363" s="31">
        <f t="shared" si="269"/>
        <v>86.486266877776046</v>
      </c>
      <c r="AL363" s="31">
        <f t="shared" si="270"/>
        <v>1.6025102814171641</v>
      </c>
      <c r="AM363" s="31" t="str">
        <f t="shared" si="252"/>
        <v>1+102.696453002058i</v>
      </c>
      <c r="AN363" s="31">
        <f t="shared" si="271"/>
        <v>102.70132160397893</v>
      </c>
      <c r="AO363" s="31">
        <f t="shared" si="272"/>
        <v>1.5610591998865304</v>
      </c>
      <c r="AP363" s="31" t="str">
        <f t="shared" si="253"/>
        <v>1+82.8754160070404i</v>
      </c>
      <c r="AQ363" s="31">
        <f t="shared" si="273"/>
        <v>82.881448939675323</v>
      </c>
      <c r="AR363" s="31">
        <f t="shared" si="274"/>
        <v>1.558730607906037</v>
      </c>
      <c r="AS363" s="58" t="str">
        <f t="shared" si="275"/>
        <v>-3.67819796646511+0.197033526888604i</v>
      </c>
      <c r="AT363" s="49">
        <f t="shared" si="276"/>
        <v>11.32514634302675</v>
      </c>
      <c r="AU363" s="61">
        <f t="shared" si="277"/>
        <v>176.93371320291911</v>
      </c>
      <c r="AV363" s="58" t="str">
        <f t="shared" si="254"/>
        <v>0.127303142445958-0.105483876004361i</v>
      </c>
      <c r="AW363" s="64">
        <f t="shared" si="278"/>
        <v>-15.633136810054793</v>
      </c>
      <c r="AX363" s="61">
        <f t="shared" si="279"/>
        <v>-39.645276927655637</v>
      </c>
    </row>
    <row r="364" spans="14:50" x14ac:dyDescent="0.35">
      <c r="N364" s="10">
        <v>46</v>
      </c>
      <c r="O364" s="50">
        <f t="shared" si="244"/>
        <v>28840.315031266062</v>
      </c>
      <c r="P364" s="48" t="str">
        <f t="shared" si="245"/>
        <v>547.187404092767</v>
      </c>
      <c r="Q364" s="17" t="str">
        <f t="shared" si="246"/>
        <v>1+3475.28703381466i</v>
      </c>
      <c r="R364" s="17">
        <f t="shared" si="255"/>
        <v>3475.287177687665</v>
      </c>
      <c r="S364" s="17">
        <f t="shared" si="256"/>
        <v>1.5705085807863883</v>
      </c>
      <c r="T364" s="17" t="str">
        <f t="shared" si="247"/>
        <v>1+0.0657591636670428i</v>
      </c>
      <c r="U364" s="17">
        <f t="shared" si="257"/>
        <v>1.0021598014319817</v>
      </c>
      <c r="V364" s="17">
        <f t="shared" si="258"/>
        <v>6.5664622099489617E-2</v>
      </c>
      <c r="W364" s="31" t="str">
        <f t="shared" si="248"/>
        <v>1-1.14192418100778i</v>
      </c>
      <c r="X364" s="17">
        <f t="shared" si="259"/>
        <v>1.5178902579469602</v>
      </c>
      <c r="Y364" s="17">
        <f t="shared" si="260"/>
        <v>-0.85156158138198157</v>
      </c>
      <c r="Z364" s="31" t="str">
        <f t="shared" si="249"/>
        <v>0.725036769883416+5.46372604973649i</v>
      </c>
      <c r="AA364" s="17">
        <f t="shared" si="261"/>
        <v>5.511622325980988</v>
      </c>
      <c r="AB364" s="17">
        <f t="shared" si="262"/>
        <v>1.4388670586848105</v>
      </c>
      <c r="AC364" s="66" t="str">
        <f t="shared" si="263"/>
        <v>-0.0344970921154137+0.0264257157147432i</v>
      </c>
      <c r="AD364" s="64">
        <f t="shared" si="264"/>
        <v>-27.23913410109602</v>
      </c>
      <c r="AE364" s="61">
        <f t="shared" si="265"/>
        <v>142.54689798976563</v>
      </c>
      <c r="AF364" s="31" t="str">
        <f t="shared" si="250"/>
        <v>-6627.51882264077</v>
      </c>
      <c r="AG364" s="31" t="str">
        <f t="shared" si="266"/>
        <v>181209.043658881i</v>
      </c>
      <c r="AH364" s="31">
        <f t="shared" si="267"/>
        <v>181209.04365888101</v>
      </c>
      <c r="AI364" s="31">
        <f t="shared" si="268"/>
        <v>1.5707963267948966</v>
      </c>
      <c r="AJ364" s="31" t="str">
        <f t="shared" si="251"/>
        <v>-2.91873386689946+88.4562886168647i</v>
      </c>
      <c r="AK364" s="31">
        <f t="shared" si="269"/>
        <v>88.504429286086321</v>
      </c>
      <c r="AL364" s="31">
        <f t="shared" si="270"/>
        <v>1.6037807006421012</v>
      </c>
      <c r="AM364" s="31" t="str">
        <f t="shared" si="252"/>
        <v>1+105.088560689095i</v>
      </c>
      <c r="AN364" s="31">
        <f t="shared" si="271"/>
        <v>105.09331847318175</v>
      </c>
      <c r="AO364" s="31">
        <f t="shared" si="272"/>
        <v>1.5612808304201851</v>
      </c>
      <c r="AP364" s="31" t="str">
        <f t="shared" si="253"/>
        <v>1+84.8058324323562i</v>
      </c>
      <c r="AQ364" s="31">
        <f t="shared" si="273"/>
        <v>84.811728048335851</v>
      </c>
      <c r="AR364" s="31">
        <f t="shared" si="274"/>
        <v>1.559005231447083</v>
      </c>
      <c r="AS364" s="58" t="str">
        <f t="shared" si="275"/>
        <v>-3.6778732259013+0.19987170181861i</v>
      </c>
      <c r="AT364" s="49">
        <f t="shared" si="276"/>
        <v>11.32474226784443</v>
      </c>
      <c r="AU364" s="61">
        <f t="shared" si="277"/>
        <v>176.8893568071644</v>
      </c>
      <c r="AV364" s="58" t="str">
        <f t="shared" si="254"/>
        <v>0.12159417869105-0.104085424811434i</v>
      </c>
      <c r="AW364" s="64">
        <f t="shared" si="278"/>
        <v>-15.914391833251614</v>
      </c>
      <c r="AX364" s="61">
        <f t="shared" si="279"/>
        <v>-40.563745203069956</v>
      </c>
    </row>
    <row r="365" spans="14:50" x14ac:dyDescent="0.35">
      <c r="N365" s="10">
        <v>47</v>
      </c>
      <c r="O365" s="50">
        <f t="shared" si="244"/>
        <v>29512.092266663854</v>
      </c>
      <c r="P365" s="48" t="str">
        <f t="shared" si="245"/>
        <v>547.187404092767</v>
      </c>
      <c r="Q365" s="17" t="str">
        <f t="shared" si="246"/>
        <v>1+3556.23686786673i</v>
      </c>
      <c r="R365" s="17">
        <f t="shared" si="255"/>
        <v>3556.237008464786</v>
      </c>
      <c r="S365" s="17">
        <f t="shared" si="256"/>
        <v>1.5705151306848515</v>
      </c>
      <c r="T365" s="17" t="str">
        <f t="shared" si="247"/>
        <v>1+0.0672908913587284i</v>
      </c>
      <c r="U365" s="17">
        <f t="shared" si="257"/>
        <v>1.0022614748955745</v>
      </c>
      <c r="V365" s="17">
        <f t="shared" si="258"/>
        <v>6.7189600585075893E-2</v>
      </c>
      <c r="W365" s="31" t="str">
        <f t="shared" si="248"/>
        <v>1-1.16852301214121i</v>
      </c>
      <c r="X365" s="17">
        <f t="shared" si="259"/>
        <v>1.5380006599164926</v>
      </c>
      <c r="Y365" s="17">
        <f t="shared" si="260"/>
        <v>-0.86295555091355802</v>
      </c>
      <c r="Z365" s="31" t="str">
        <f t="shared" si="249"/>
        <v>0.712078152080633+5.59099257843719i</v>
      </c>
      <c r="AA365" s="17">
        <f t="shared" si="261"/>
        <v>5.6361558980221895</v>
      </c>
      <c r="AB365" s="17">
        <f t="shared" si="262"/>
        <v>1.4441166754639998</v>
      </c>
      <c r="AC365" s="66" t="str">
        <f t="shared" si="263"/>
        <v>-0.0330162577080066+0.0260931155746751i</v>
      </c>
      <c r="AD365" s="64">
        <f t="shared" si="264"/>
        <v>-27.518000877724941</v>
      </c>
      <c r="AE365" s="61">
        <f t="shared" si="265"/>
        <v>141.68029028773108</v>
      </c>
      <c r="AF365" s="31" t="str">
        <f t="shared" si="250"/>
        <v>-6627.51882264077</v>
      </c>
      <c r="AG365" s="31" t="str">
        <f t="shared" si="266"/>
        <v>185429.944514031i</v>
      </c>
      <c r="AH365" s="31">
        <f t="shared" si="267"/>
        <v>185429.944514031</v>
      </c>
      <c r="AI365" s="31">
        <f t="shared" si="268"/>
        <v>1.5707963267948966</v>
      </c>
      <c r="AJ365" s="31" t="str">
        <f t="shared" si="251"/>
        <v>-3.10341810424436+90.5167002648015i</v>
      </c>
      <c r="AK365" s="31">
        <f t="shared" si="269"/>
        <v>90.569885893478229</v>
      </c>
      <c r="AL365" s="31">
        <f t="shared" si="270"/>
        <v>1.6050684879320301</v>
      </c>
      <c r="AM365" s="31" t="str">
        <f t="shared" si="252"/>
        <v>1+107.536387722022i</v>
      </c>
      <c r="AN365" s="31">
        <f t="shared" si="271"/>
        <v>107.54103721045767</v>
      </c>
      <c r="AO365" s="31">
        <f t="shared" si="272"/>
        <v>1.5614974169302918</v>
      </c>
      <c r="AP365" s="31" t="str">
        <f t="shared" si="253"/>
        <v>1+86.7812140325664i</v>
      </c>
      <c r="AQ365" s="31">
        <f t="shared" si="273"/>
        <v>86.786975456954934</v>
      </c>
      <c r="AR365" s="31">
        <f t="shared" si="274"/>
        <v>1.5592736055117964</v>
      </c>
      <c r="AS365" s="58" t="str">
        <f t="shared" si="275"/>
        <v>-3.67753325600389+0.202814497565063i</v>
      </c>
      <c r="AT365" s="49">
        <f t="shared" si="276"/>
        <v>11.324321102256675</v>
      </c>
      <c r="AU365" s="61">
        <f t="shared" si="277"/>
        <v>176.84335822470834</v>
      </c>
      <c r="AV365" s="58" t="str">
        <f t="shared" si="254"/>
        <v>0.116126323584804-0.102654475997149i</v>
      </c>
      <c r="AW365" s="64">
        <f t="shared" si="278"/>
        <v>-16.193679775468258</v>
      </c>
      <c r="AX365" s="61">
        <f t="shared" si="279"/>
        <v>-41.476351487560692</v>
      </c>
    </row>
    <row r="366" spans="14:50" x14ac:dyDescent="0.35">
      <c r="N366" s="10">
        <v>48</v>
      </c>
      <c r="O366" s="50">
        <f t="shared" si="244"/>
        <v>30199.517204020212</v>
      </c>
      <c r="P366" s="48" t="str">
        <f t="shared" si="245"/>
        <v>547.187404092767</v>
      </c>
      <c r="Q366" s="17" t="str">
        <f t="shared" si="246"/>
        <v>1+3639.07226577848i</v>
      </c>
      <c r="R366" s="17">
        <f t="shared" si="255"/>
        <v>3639.0724031761333</v>
      </c>
      <c r="S366" s="17">
        <f t="shared" si="256"/>
        <v>1.5705215314894467</v>
      </c>
      <c r="T366" s="17" t="str">
        <f t="shared" si="247"/>
        <v>1+0.0688582975717123i</v>
      </c>
      <c r="U366" s="17">
        <f t="shared" si="257"/>
        <v>1.0023679290282956</v>
      </c>
      <c r="V366" s="17">
        <f t="shared" si="258"/>
        <v>6.8749776395165801E-2</v>
      </c>
      <c r="W366" s="31" t="str">
        <f t="shared" si="248"/>
        <v>1-1.1957414096429i</v>
      </c>
      <c r="X366" s="17">
        <f t="shared" si="259"/>
        <v>1.5587807795629216</v>
      </c>
      <c r="Y366" s="17">
        <f t="shared" si="260"/>
        <v>-0.8743090654061455</v>
      </c>
      <c r="Z366" s="31" t="str">
        <f t="shared" si="249"/>
        <v>0.698508813436061+5.72122352540848i</v>
      </c>
      <c r="AA366" s="17">
        <f t="shared" si="261"/>
        <v>5.7637065496202426</v>
      </c>
      <c r="AB366" s="17">
        <f t="shared" si="262"/>
        <v>1.4493067837933131</v>
      </c>
      <c r="AC366" s="66" t="str">
        <f t="shared" si="263"/>
        <v>-0.0315979418093291+0.0257509740247656i</v>
      </c>
      <c r="AD366" s="64">
        <f t="shared" si="264"/>
        <v>-27.794885221057847</v>
      </c>
      <c r="AE366" s="61">
        <f t="shared" si="265"/>
        <v>140.82143527230772</v>
      </c>
      <c r="AF366" s="31" t="str">
        <f t="shared" si="250"/>
        <v>-6627.51882264077</v>
      </c>
      <c r="AG366" s="31" t="str">
        <f t="shared" si="266"/>
        <v>189749.162780217i</v>
      </c>
      <c r="AH366" s="31">
        <f t="shared" si="267"/>
        <v>189749.16278021701</v>
      </c>
      <c r="AI366" s="31">
        <f t="shared" si="268"/>
        <v>1.5707963267948966</v>
      </c>
      <c r="AJ366" s="31" t="str">
        <f t="shared" si="251"/>
        <v>-3.29680624154317+92.625105065349i</v>
      </c>
      <c r="AK366" s="31">
        <f t="shared" si="269"/>
        <v>92.683758122775856</v>
      </c>
      <c r="AL366" s="31">
        <f t="shared" si="270"/>
        <v>1.6063743171963722</v>
      </c>
      <c r="AM366" s="31" t="str">
        <f t="shared" si="252"/>
        <v>1+110.041231971131i</v>
      </c>
      <c r="AN366" s="31">
        <f t="shared" si="271"/>
        <v>110.04577562870945</v>
      </c>
      <c r="AO366" s="31">
        <f t="shared" si="272"/>
        <v>1.5617090741725579</v>
      </c>
      <c r="AP366" s="31" t="str">
        <f t="shared" si="253"/>
        <v>1+88.8026081811414i</v>
      </c>
      <c r="AQ366" s="31">
        <f t="shared" si="273"/>
        <v>88.80823846791084</v>
      </c>
      <c r="AR366" s="31">
        <f t="shared" si="274"/>
        <v>1.5595358722409336</v>
      </c>
      <c r="AS366" s="58" t="str">
        <f t="shared" si="275"/>
        <v>-3.67717734431933+0.205863378037413i</v>
      </c>
      <c r="AT366" s="49">
        <f t="shared" si="276"/>
        <v>11.323881958049659</v>
      </c>
      <c r="AU366" s="61">
        <f t="shared" si="277"/>
        <v>176.79569356246833</v>
      </c>
      <c r="AV366" s="58" t="str">
        <f t="shared" si="254"/>
        <v>0.110890053247894-0.101195757317922i</v>
      </c>
      <c r="AW366" s="64">
        <f t="shared" si="278"/>
        <v>-16.471003263008154</v>
      </c>
      <c r="AX366" s="61">
        <f t="shared" si="279"/>
        <v>-42.382871165223904</v>
      </c>
    </row>
    <row r="367" spans="14:50" x14ac:dyDescent="0.35">
      <c r="N367" s="10">
        <v>49</v>
      </c>
      <c r="O367" s="50">
        <f t="shared" si="244"/>
        <v>30902.954325135954</v>
      </c>
      <c r="P367" s="48" t="str">
        <f t="shared" si="245"/>
        <v>547.187404092767</v>
      </c>
      <c r="Q367" s="17" t="str">
        <f t="shared" si="246"/>
        <v>1+3723.83714797436i</v>
      </c>
      <c r="R367" s="17">
        <f t="shared" si="255"/>
        <v>3723.8372822444612</v>
      </c>
      <c r="S367" s="17">
        <f t="shared" si="256"/>
        <v>1.5705277865939626</v>
      </c>
      <c r="T367" s="17" t="str">
        <f t="shared" si="247"/>
        <v>1+0.070462213365516i</v>
      </c>
      <c r="U367" s="17">
        <f t="shared" si="257"/>
        <v>1.0024793880735741</v>
      </c>
      <c r="V367" s="17">
        <f t="shared" si="258"/>
        <v>7.0345946356943745E-2</v>
      </c>
      <c r="W367" s="31" t="str">
        <f t="shared" si="248"/>
        <v>1-1.22359380506748i</v>
      </c>
      <c r="X367" s="17">
        <f t="shared" si="259"/>
        <v>1.580247385632868</v>
      </c>
      <c r="Y367" s="17">
        <f t="shared" si="260"/>
        <v>-0.88561643751223129</v>
      </c>
      <c r="Z367" s="31" t="str">
        <f t="shared" si="249"/>
        <v>0.68429997156316+5.85448794082228i</v>
      </c>
      <c r="AA367" s="17">
        <f t="shared" si="261"/>
        <v>5.8943443656029162</v>
      </c>
      <c r="AB367" s="17">
        <f t="shared" si="262"/>
        <v>1.4544396158251143</v>
      </c>
      <c r="AC367" s="66" t="str">
        <f t="shared" si="263"/>
        <v>-0.0302396771486157+0.0254005765800921i</v>
      </c>
      <c r="AD367" s="64">
        <f t="shared" si="264"/>
        <v>-28.069791534444182</v>
      </c>
      <c r="AE367" s="61">
        <f t="shared" si="265"/>
        <v>139.97057637197955</v>
      </c>
      <c r="AF367" s="31" t="str">
        <f t="shared" si="250"/>
        <v>-6627.51882264077</v>
      </c>
      <c r="AG367" s="31" t="str">
        <f t="shared" si="266"/>
        <v>194168.988564136i</v>
      </c>
      <c r="AH367" s="31">
        <f t="shared" si="267"/>
        <v>194168.988564136</v>
      </c>
      <c r="AI367" s="31">
        <f t="shared" si="268"/>
        <v>1.5707963267948966</v>
      </c>
      <c r="AJ367" s="31" t="str">
        <f t="shared" si="251"/>
        <v>-3.49930848096314+94.7826209226402i</v>
      </c>
      <c r="AK367" s="31">
        <f t="shared" si="269"/>
        <v>94.847194944341155</v>
      </c>
      <c r="AL367" s="31">
        <f t="shared" si="270"/>
        <v>1.6076988712962061</v>
      </c>
      <c r="AM367" s="31" t="str">
        <f t="shared" si="252"/>
        <v>1+112.604421537999i</v>
      </c>
      <c r="AN367" s="31">
        <f t="shared" si="271"/>
        <v>112.6088617734296</v>
      </c>
      <c r="AO367" s="31">
        <f t="shared" si="272"/>
        <v>1.5619159142945553</v>
      </c>
      <c r="AP367" s="31" t="str">
        <f t="shared" si="253"/>
        <v>1+90.8710866480155i</v>
      </c>
      <c r="AQ367" s="31">
        <f t="shared" si="273"/>
        <v>90.876588781661141</v>
      </c>
      <c r="AR367" s="31">
        <f t="shared" si="274"/>
        <v>1.5597921705473852</v>
      </c>
      <c r="AS367" s="58" t="str">
        <f t="shared" si="275"/>
        <v>-3.67680474541218+0.209019856545706i</v>
      </c>
      <c r="AT367" s="49">
        <f t="shared" si="276"/>
        <v>11.323423909366273</v>
      </c>
      <c r="AU367" s="61">
        <f t="shared" si="277"/>
        <v>176.74633808009156</v>
      </c>
      <c r="AV367" s="58" t="str">
        <f t="shared" si="254"/>
        <v>0.105876163566813-0.0997136534854802i</v>
      </c>
      <c r="AW367" s="64">
        <f t="shared" si="278"/>
        <v>-16.74636762507793</v>
      </c>
      <c r="AX367" s="61">
        <f t="shared" si="279"/>
        <v>-43.283085547928998</v>
      </c>
    </row>
    <row r="368" spans="14:50" x14ac:dyDescent="0.35">
      <c r="N368" s="10">
        <v>50</v>
      </c>
      <c r="O368" s="50">
        <f t="shared" si="244"/>
        <v>31622.77660168384</v>
      </c>
      <c r="P368" s="48" t="str">
        <f t="shared" si="245"/>
        <v>547.187404092767</v>
      </c>
      <c r="Q368" s="17" t="str">
        <f t="shared" si="246"/>
        <v>1+3810.57645791691i</v>
      </c>
      <c r="R368" s="17">
        <f t="shared" si="255"/>
        <v>3810.5765891306505</v>
      </c>
      <c r="S368" s="17">
        <f t="shared" si="256"/>
        <v>1.5705338993149371</v>
      </c>
      <c r="T368" s="17" t="str">
        <f t="shared" si="247"/>
        <v>1+0.0721034891575238i</v>
      </c>
      <c r="U368" s="17">
        <f t="shared" si="257"/>
        <v>1.0025960867411607</v>
      </c>
      <c r="V368" s="17">
        <f t="shared" si="258"/>
        <v>7.1978924229330415E-2</v>
      </c>
      <c r="W368" s="31" t="str">
        <f t="shared" si="248"/>
        <v>1-1.2520949661237i</v>
      </c>
      <c r="X368" s="17">
        <f t="shared" si="259"/>
        <v>1.6024174874833055</v>
      </c>
      <c r="Y368" s="17">
        <f t="shared" si="260"/>
        <v>-0.89687209751786512</v>
      </c>
      <c r="Z368" s="31" t="str">
        <f t="shared" si="249"/>
        <v>0.669421487603305+5.99085648323561i</v>
      </c>
      <c r="AA368" s="17">
        <f t="shared" si="261"/>
        <v>6.0281412168919166</v>
      </c>
      <c r="AB368" s="17">
        <f t="shared" si="262"/>
        <v>1.4595174041151096</v>
      </c>
      <c r="AC368" s="66" t="str">
        <f t="shared" si="263"/>
        <v>-0.0289390789710634+0.0250431161468741i</v>
      </c>
      <c r="AD368" s="64">
        <f t="shared" si="264"/>
        <v>-28.34272679944975</v>
      </c>
      <c r="AE368" s="61">
        <f t="shared" si="265"/>
        <v>139.12795122675766</v>
      </c>
      <c r="AF368" s="31" t="str">
        <f t="shared" si="250"/>
        <v>-6627.51882264077</v>
      </c>
      <c r="AG368" s="31" t="str">
        <f t="shared" si="266"/>
        <v>198691.765315922i</v>
      </c>
      <c r="AH368" s="31">
        <f t="shared" si="267"/>
        <v>198691.76531592201</v>
      </c>
      <c r="AI368" s="31">
        <f t="shared" si="268"/>
        <v>1.5707963267948966</v>
      </c>
      <c r="AJ368" s="31" t="str">
        <f t="shared" si="251"/>
        <v>-3.71135435690401+96.9903917801409i</v>
      </c>
      <c r="AK368" s="31">
        <f t="shared" si="269"/>
        <v>97.061373619106249</v>
      </c>
      <c r="AL368" s="31">
        <f t="shared" si="270"/>
        <v>1.6090428423614462</v>
      </c>
      <c r="AM368" s="31" t="str">
        <f t="shared" si="252"/>
        <v>1+115.227315459663i</v>
      </c>
      <c r="AN368" s="31">
        <f t="shared" si="271"/>
        <v>115.23165462684589</v>
      </c>
      <c r="AO368" s="31">
        <f t="shared" si="272"/>
        <v>1.5621180468948208</v>
      </c>
      <c r="AP368" s="31" t="str">
        <f t="shared" si="253"/>
        <v>1+92.9877461678514i</v>
      </c>
      <c r="AQ368" s="31">
        <f t="shared" si="273"/>
        <v>92.993123064970575</v>
      </c>
      <c r="AR368" s="31">
        <f t="shared" si="274"/>
        <v>1.5600426361891411</v>
      </c>
      <c r="AS368" s="58" t="str">
        <f t="shared" si="275"/>
        <v>-3.67641467936358+0.212285496119293i</v>
      </c>
      <c r="AT368" s="49">
        <f t="shared" si="276"/>
        <v>11.322945990789286</v>
      </c>
      <c r="AU368" s="61">
        <f t="shared" si="277"/>
        <v>176.69526617934847</v>
      </c>
      <c r="AV368" s="58" t="str">
        <f t="shared" si="254"/>
        <v>0.101075764400867-0.0982122265559826i</v>
      </c>
      <c r="AW368" s="64">
        <f t="shared" si="278"/>
        <v>-17.019780808660471</v>
      </c>
      <c r="AX368" s="61">
        <f t="shared" si="279"/>
        <v>-44.176782593893904</v>
      </c>
    </row>
    <row r="369" spans="14:50" x14ac:dyDescent="0.35">
      <c r="N369" s="10">
        <v>51</v>
      </c>
      <c r="O369" s="50">
        <f t="shared" si="244"/>
        <v>32359.365692962871</v>
      </c>
      <c r="P369" s="48" t="str">
        <f t="shared" si="245"/>
        <v>547.187404092767</v>
      </c>
      <c r="Q369" s="17" t="str">
        <f t="shared" si="246"/>
        <v>1+3899.33618593639i</v>
      </c>
      <c r="R369" s="17">
        <f t="shared" si="255"/>
        <v>3899.3363141633417</v>
      </c>
      <c r="S369" s="17">
        <f t="shared" si="256"/>
        <v>1.5705398728934137</v>
      </c>
      <c r="T369" s="17" t="str">
        <f t="shared" si="247"/>
        <v>1+0.0737829951738853i</v>
      </c>
      <c r="U369" s="17">
        <f t="shared" si="257"/>
        <v>1.002718270690641</v>
      </c>
      <c r="V369" s="17">
        <f t="shared" si="258"/>
        <v>7.3649540983051043E-2</v>
      </c>
      <c r="W369" s="31" t="str">
        <f t="shared" si="248"/>
        <v>1-1.28126000450439i</v>
      </c>
      <c r="X369" s="17">
        <f t="shared" si="259"/>
        <v>1.6253083397136032</v>
      </c>
      <c r="Y369" s="17">
        <f t="shared" si="260"/>
        <v>-0.90807060617095636</v>
      </c>
      <c r="Z369" s="31" t="str">
        <f t="shared" si="249"/>
        <v>0.653841802297223+6.13040145705472i</v>
      </c>
      <c r="AA369" s="17">
        <f t="shared" si="261"/>
        <v>6.1651708108607925</v>
      </c>
      <c r="AB369" s="17">
        <f t="shared" si="262"/>
        <v>1.4645423808194438</v>
      </c>
      <c r="AC369" s="66" t="str">
        <f t="shared" si="263"/>
        <v>-0.0276938435875673+0.0246796985572901i</v>
      </c>
      <c r="AD369" s="64">
        <f t="shared" si="264"/>
        <v>-28.613700481287594</v>
      </c>
      <c r="AE369" s="61">
        <f t="shared" si="265"/>
        <v>138.29379101512154</v>
      </c>
      <c r="AF369" s="31" t="str">
        <f t="shared" si="250"/>
        <v>-6627.51882264077</v>
      </c>
      <c r="AG369" s="31" t="str">
        <f t="shared" si="266"/>
        <v>203319.891071675i</v>
      </c>
      <c r="AH369" s="31">
        <f t="shared" si="267"/>
        <v>203319.891071675</v>
      </c>
      <c r="AI369" s="31">
        <f t="shared" si="268"/>
        <v>1.5707963267948966</v>
      </c>
      <c r="AJ369" s="31" t="str">
        <f t="shared" si="251"/>
        <v>-3.93339364709817+99.249588227183i</v>
      </c>
      <c r="AK369" s="31">
        <f t="shared" si="269"/>
        <v>99.327500466126764</v>
      </c>
      <c r="AL369" s="31">
        <f t="shared" si="270"/>
        <v>1.6104069321098549</v>
      </c>
      <c r="AM369" s="31" t="str">
        <f t="shared" si="252"/>
        <v>1+117.911304429197i</v>
      </c>
      <c r="AN369" s="31">
        <f t="shared" si="271"/>
        <v>117.91554482846938</v>
      </c>
      <c r="AO369" s="31">
        <f t="shared" si="272"/>
        <v>1.5623155790806271</v>
      </c>
      <c r="AP369" s="31" t="str">
        <f t="shared" si="253"/>
        <v>1+95.1537090215438i</v>
      </c>
      <c r="AQ369" s="31">
        <f t="shared" si="273"/>
        <v>95.158963532378948</v>
      </c>
      <c r="AR369" s="31">
        <f t="shared" si="274"/>
        <v>1.5602874018406279</v>
      </c>
      <c r="AS369" s="58" t="str">
        <f t="shared" si="275"/>
        <v>-3.67600633020435+0.215661909818041i</v>
      </c>
      <c r="AT369" s="49">
        <f t="shared" si="276"/>
        <v>11.322447195345513</v>
      </c>
      <c r="AU369" s="61">
        <f t="shared" si="277"/>
        <v>176.64245139325223</v>
      </c>
      <c r="AV369" s="58" t="str">
        <f t="shared" si="254"/>
        <v>0.0964802734109878-0.0966952353224304i</v>
      </c>
      <c r="AW369" s="64">
        <f t="shared" si="278"/>
        <v>-17.291253285942084</v>
      </c>
      <c r="AX369" s="61">
        <f t="shared" si="279"/>
        <v>-45.063757591626199</v>
      </c>
    </row>
    <row r="370" spans="14:50" x14ac:dyDescent="0.35">
      <c r="N370" s="10">
        <v>52</v>
      </c>
      <c r="O370" s="50">
        <f t="shared" si="244"/>
        <v>33113.11214825909</v>
      </c>
      <c r="P370" s="48" t="str">
        <f t="shared" si="245"/>
        <v>547.187404092767</v>
      </c>
      <c r="Q370" s="17" t="str">
        <f t="shared" si="246"/>
        <v>1+3990.16339361546i</v>
      </c>
      <c r="R370" s="17">
        <f t="shared" si="255"/>
        <v>3990.1635189236094</v>
      </c>
      <c r="S370" s="17">
        <f t="shared" si="256"/>
        <v>1.5705457104966609</v>
      </c>
      <c r="T370" s="17" t="str">
        <f t="shared" si="247"/>
        <v>1+0.0755016219109214i</v>
      </c>
      <c r="U370" s="17">
        <f t="shared" si="257"/>
        <v>1.0028461970368037</v>
      </c>
      <c r="V370" s="17">
        <f t="shared" si="258"/>
        <v>7.5358645079312517E-2</v>
      </c>
      <c r="W370" s="31" t="str">
        <f t="shared" si="248"/>
        <v>1-1.31110438389895i</v>
      </c>
      <c r="X370" s="17">
        <f t="shared" si="259"/>
        <v>1.6489374474124374</v>
      </c>
      <c r="Y370" s="17">
        <f t="shared" si="260"/>
        <v>-0.91920666672586826</v>
      </c>
      <c r="Z370" s="31" t="str">
        <f t="shared" si="249"/>
        <v>0.637527869043576+6.27319685087181i</v>
      </c>
      <c r="AA370" s="17">
        <f t="shared" si="261"/>
        <v>6.3055087434397574</v>
      </c>
      <c r="AB370" s="17">
        <f t="shared" si="262"/>
        <v>1.4695167769935376</v>
      </c>
      <c r="AC370" s="66" t="str">
        <f t="shared" si="263"/>
        <v>-0.0265017468200563+0.0243113478287937i</v>
      </c>
      <c r="AD370" s="64">
        <f t="shared" si="264"/>
        <v>-28.882724427383231</v>
      </c>
      <c r="AE370" s="61">
        <f t="shared" si="265"/>
        <v>137.46831981995726</v>
      </c>
      <c r="AF370" s="31" t="str">
        <f t="shared" si="250"/>
        <v>-6627.51882264077</v>
      </c>
      <c r="AG370" s="31" t="str">
        <f t="shared" si="266"/>
        <v>208055.819724931i</v>
      </c>
      <c r="AH370" s="31">
        <f t="shared" si="267"/>
        <v>208055.819724931</v>
      </c>
      <c r="AI370" s="31">
        <f t="shared" si="268"/>
        <v>1.5707963267948966</v>
      </c>
      <c r="AJ370" s="31" t="str">
        <f t="shared" si="251"/>
        <v>-4.16589732664943+101.561408119627i</v>
      </c>
      <c r="AK370" s="31">
        <f t="shared" si="269"/>
        <v>101.64681165574071</v>
      </c>
      <c r="AL370" s="31">
        <f t="shared" si="270"/>
        <v>1.6117918521678254</v>
      </c>
      <c r="AM370" s="31" t="str">
        <f t="shared" si="252"/>
        <v>1+120.657811533079i</v>
      </c>
      <c r="AN370" s="31">
        <f t="shared" si="271"/>
        <v>120.66195541243316</v>
      </c>
      <c r="AO370" s="31">
        <f t="shared" si="272"/>
        <v>1.5625086155244583</v>
      </c>
      <c r="AP370" s="31" t="str">
        <f t="shared" si="253"/>
        <v>1+97.3701236312676i</v>
      </c>
      <c r="AQ370" s="31">
        <f t="shared" si="273"/>
        <v>97.375258541214336</v>
      </c>
      <c r="AR370" s="31">
        <f t="shared" si="274"/>
        <v>1.5605265971624547</v>
      </c>
      <c r="AS370" s="58" t="str">
        <f t="shared" si="275"/>
        <v>-3.67557884428003+0.219150761033846i</v>
      </c>
      <c r="AT370" s="49">
        <f t="shared" si="276"/>
        <v>11.321926472426885</v>
      </c>
      <c r="AU370" s="61">
        <f t="shared" si="277"/>
        <v>176.58786637491121</v>
      </c>
      <c r="AV370" s="58" t="str">
        <f t="shared" si="254"/>
        <v>0.0920814095698258-0.095166153739789i</v>
      </c>
      <c r="AW370" s="64">
        <f t="shared" si="278"/>
        <v>-17.560797954956342</v>
      </c>
      <c r="AX370" s="61">
        <f t="shared" si="279"/>
        <v>-45.943813805131533</v>
      </c>
    </row>
    <row r="371" spans="14:50" x14ac:dyDescent="0.35">
      <c r="N371" s="10">
        <v>53</v>
      </c>
      <c r="O371" s="50">
        <f t="shared" si="244"/>
        <v>33884.41561392029</v>
      </c>
      <c r="P371" s="48" t="str">
        <f t="shared" si="245"/>
        <v>547.187404092767</v>
      </c>
      <c r="Q371" s="17" t="str">
        <f t="shared" si="246"/>
        <v>1+4083.10623874192i</v>
      </c>
      <c r="R371" s="17">
        <f t="shared" si="255"/>
        <v>4083.1063611977079</v>
      </c>
      <c r="S371" s="17">
        <f t="shared" si="256"/>
        <v>1.5705514152198516</v>
      </c>
      <c r="T371" s="17" t="str">
        <f t="shared" si="247"/>
        <v>1+0.0772602806072774i</v>
      </c>
      <c r="U371" s="17">
        <f t="shared" si="257"/>
        <v>1.0029801348778127</v>
      </c>
      <c r="V371" s="17">
        <f t="shared" si="258"/>
        <v>7.7107102746520967E-2</v>
      </c>
      <c r="W371" s="31" t="str">
        <f t="shared" si="248"/>
        <v>1-1.34164392819237i</v>
      </c>
      <c r="X371" s="17">
        <f t="shared" si="259"/>
        <v>1.673322572027119</v>
      </c>
      <c r="Y371" s="17">
        <f t="shared" si="260"/>
        <v>-0.93027513614681734</v>
      </c>
      <c r="Z371" s="31" t="str">
        <f t="shared" si="249"/>
        <v>0.62044508380268+6.41931837669486i</v>
      </c>
      <c r="AA371" s="17">
        <f t="shared" si="261"/>
        <v>6.4492325530552268</v>
      </c>
      <c r="AB371" s="17">
        <f t="shared" si="262"/>
        <v>1.4744428219868897</v>
      </c>
      <c r="AC371" s="66" t="str">
        <f t="shared" si="263"/>
        <v>-0.0253606423585593+0.0239390111566815i</v>
      </c>
      <c r="AD371" s="64">
        <f t="shared" si="264"/>
        <v>-29.14981275978208</v>
      </c>
      <c r="AE371" s="61">
        <f t="shared" si="265"/>
        <v>136.65175403708284</v>
      </c>
      <c r="AF371" s="31" t="str">
        <f t="shared" si="250"/>
        <v>-6627.51882264077</v>
      </c>
      <c r="AG371" s="31" t="str">
        <f t="shared" si="266"/>
        <v>212902.062327751i</v>
      </c>
      <c r="AH371" s="31">
        <f t="shared" si="267"/>
        <v>212902.06232775099</v>
      </c>
      <c r="AI371" s="31">
        <f t="shared" si="268"/>
        <v>1.5707963267948966</v>
      </c>
      <c r="AJ371" s="31" t="str">
        <f t="shared" si="251"/>
        <v>-4.4093585670345+103.92707721498i</v>
      </c>
      <c r="AK371" s="31">
        <f t="shared" si="269"/>
        <v>104.02057402947311</v>
      </c>
      <c r="AL371" s="31">
        <f t="shared" si="270"/>
        <v>1.61319832439288</v>
      </c>
      <c r="AM371" s="31" t="str">
        <f t="shared" si="252"/>
        <v>1+123.468293005733i</v>
      </c>
      <c r="AN371" s="31">
        <f t="shared" si="271"/>
        <v>123.47234256200673</v>
      </c>
      <c r="AO371" s="31">
        <f t="shared" si="272"/>
        <v>1.562697258519214</v>
      </c>
      <c r="AP371" s="31" t="str">
        <f t="shared" si="253"/>
        <v>1+99.6381651693873i</v>
      </c>
      <c r="AQ371" s="31">
        <f t="shared" si="273"/>
        <v>99.643183200468386</v>
      </c>
      <c r="AR371" s="31">
        <f t="shared" si="274"/>
        <v>1.5607603488696011</v>
      </c>
      <c r="AS371" s="58" t="str">
        <f t="shared" si="275"/>
        <v>-3.6751313285453+0.222753763780159i</v>
      </c>
      <c r="AT371" s="49">
        <f t="shared" si="276"/>
        <v>11.321382725624879</v>
      </c>
      <c r="AU371" s="61">
        <f t="shared" si="277"/>
        <v>176.5314828861209</v>
      </c>
      <c r="AV371" s="58" t="str">
        <f t="shared" si="254"/>
        <v>0.0878711864076482-0.0936281884135673i</v>
      </c>
      <c r="AW371" s="64">
        <f t="shared" si="278"/>
        <v>-17.828430034157201</v>
      </c>
      <c r="AX371" s="61">
        <f t="shared" si="279"/>
        <v>-46.816763076796278</v>
      </c>
    </row>
    <row r="372" spans="14:50" x14ac:dyDescent="0.35">
      <c r="N372" s="10">
        <v>54</v>
      </c>
      <c r="O372" s="50">
        <f t="shared" si="244"/>
        <v>34673.685045253202</v>
      </c>
      <c r="P372" s="48" t="str">
        <f t="shared" si="245"/>
        <v>547.187404092767</v>
      </c>
      <c r="Q372" s="17" t="str">
        <f t="shared" si="246"/>
        <v>1+4178.21400084242i</v>
      </c>
      <c r="R372" s="17">
        <f t="shared" si="255"/>
        <v>4178.2141205107746</v>
      </c>
      <c r="S372" s="17">
        <f t="shared" si="256"/>
        <v>1.5705569900877043</v>
      </c>
      <c r="T372" s="17" t="str">
        <f t="shared" si="247"/>
        <v>1+0.0790599037270713i</v>
      </c>
      <c r="U372" s="17">
        <f t="shared" si="257"/>
        <v>1.0031203658471568</v>
      </c>
      <c r="V372" s="17">
        <f t="shared" si="258"/>
        <v>7.8895798254422819E-2</v>
      </c>
      <c r="W372" s="31" t="str">
        <f t="shared" si="248"/>
        <v>1-1.37289482985527i</v>
      </c>
      <c r="X372" s="17">
        <f t="shared" si="259"/>
        <v>1.6984817378598249</v>
      </c>
      <c r="Y372" s="17">
        <f t="shared" si="260"/>
        <v>-0.94127103542168633</v>
      </c>
      <c r="Z372" s="31" t="str">
        <f t="shared" si="249"/>
        <v>0.602557211696723+6.56884351009088i</v>
      </c>
      <c r="AA372" s="17">
        <f t="shared" si="261"/>
        <v>6.5964217764960118</v>
      </c>
      <c r="AB372" s="17">
        <f t="shared" si="262"/>
        <v>1.4793227429282283</v>
      </c>
      <c r="AC372" s="66" t="str">
        <f t="shared" si="263"/>
        <v>-0.0242684600448114+0.0235635636489752i</v>
      </c>
      <c r="AD372" s="64">
        <f t="shared" si="264"/>
        <v>-29.414981762135575</v>
      </c>
      <c r="AE372" s="61">
        <f t="shared" si="265"/>
        <v>135.8443018294231</v>
      </c>
      <c r="AF372" s="31" t="str">
        <f t="shared" si="250"/>
        <v>-6627.51882264077</v>
      </c>
      <c r="AG372" s="31" t="str">
        <f t="shared" si="266"/>
        <v>217861.188422107i</v>
      </c>
      <c r="AH372" s="31">
        <f t="shared" si="267"/>
        <v>217861.18842210699</v>
      </c>
      <c r="AI372" s="31">
        <f t="shared" si="268"/>
        <v>1.5707963267948966</v>
      </c>
      <c r="AJ372" s="31" t="str">
        <f t="shared" si="251"/>
        <v>-4.66429378218548+106.34784982231i</v>
      </c>
      <c r="AK372" s="31">
        <f t="shared" si="269"/>
        <v>106.45008594789924</v>
      </c>
      <c r="AL372" s="31">
        <f t="shared" si="270"/>
        <v>1.6146270811977874</v>
      </c>
      <c r="AM372" s="31" t="str">
        <f t="shared" si="252"/>
        <v>1+126.344239001633i</v>
      </c>
      <c r="AN372" s="31">
        <f t="shared" si="271"/>
        <v>126.34819638167282</v>
      </c>
      <c r="AO372" s="31">
        <f t="shared" si="272"/>
        <v>1.5628816080321717</v>
      </c>
      <c r="AP372" s="31" t="str">
        <f t="shared" si="253"/>
        <v>1+101.959036181546i</v>
      </c>
      <c r="AQ372" s="31">
        <f t="shared" si="273"/>
        <v>101.96393999385178</v>
      </c>
      <c r="AR372" s="31">
        <f t="shared" si="274"/>
        <v>1.5609887807980802</v>
      </c>
      <c r="AS372" s="58" t="str">
        <f t="shared" si="275"/>
        <v>-3.6746628487841+0.226472682966919i</v>
      </c>
      <c r="AT372" s="49">
        <f t="shared" si="276"/>
        <v>11.320814810471955</v>
      </c>
      <c r="AU372" s="61">
        <f t="shared" si="277"/>
        <v>176.47327178570475</v>
      </c>
      <c r="AV372" s="58" t="str">
        <f t="shared" si="254"/>
        <v>0.0838419050440246-0.0920842951836726i</v>
      </c>
      <c r="AW372" s="64">
        <f t="shared" si="278"/>
        <v>-18.09416695166362</v>
      </c>
      <c r="AX372" s="61">
        <f t="shared" si="279"/>
        <v>-47.68242638487213</v>
      </c>
    </row>
    <row r="373" spans="14:50" x14ac:dyDescent="0.35">
      <c r="N373" s="10">
        <v>55</v>
      </c>
      <c r="O373" s="50">
        <f t="shared" si="244"/>
        <v>35481.33892335758</v>
      </c>
      <c r="P373" s="48" t="str">
        <f t="shared" si="245"/>
        <v>547.187404092767</v>
      </c>
      <c r="Q373" s="17" t="str">
        <f t="shared" si="246"/>
        <v>1+4275.5371073114i</v>
      </c>
      <c r="R373" s="17">
        <f t="shared" si="255"/>
        <v>4275.5372242557696</v>
      </c>
      <c r="S373" s="17">
        <f t="shared" si="256"/>
        <v>1.5705624380560863</v>
      </c>
      <c r="T373" s="17" t="str">
        <f t="shared" si="247"/>
        <v>1+0.0809014454543034i</v>
      </c>
      <c r="U373" s="17">
        <f t="shared" si="257"/>
        <v>1.0032671846903973</v>
      </c>
      <c r="V373" s="17">
        <f t="shared" si="258"/>
        <v>8.0725634185013023E-2</v>
      </c>
      <c r="W373" s="31" t="str">
        <f t="shared" si="248"/>
        <v>1-1.40487365852939i</v>
      </c>
      <c r="X373" s="17">
        <f t="shared" si="259"/>
        <v>1.7244332391918664</v>
      </c>
      <c r="Y373" s="17">
        <f t="shared" si="260"/>
        <v>-0.95218955894698953</v>
      </c>
      <c r="Z373" s="31" t="str">
        <f t="shared" si="249"/>
        <v>0.583826310150685+6.72185153126494i</v>
      </c>
      <c r="AA373" s="17">
        <f t="shared" si="261"/>
        <v>6.7471580068050114</v>
      </c>
      <c r="AB373" s="17">
        <f t="shared" si="262"/>
        <v>1.4841587642955978</v>
      </c>
      <c r="AC373" s="66" t="str">
        <f t="shared" si="263"/>
        <v>-0.0232232040959303+0.0231858128128733i</v>
      </c>
      <c r="AD373" s="64">
        <f t="shared" si="264"/>
        <v>-29.678249762030553</v>
      </c>
      <c r="AE373" s="61">
        <f t="shared" si="265"/>
        <v>135.04616262935266</v>
      </c>
      <c r="AF373" s="31" t="str">
        <f t="shared" si="250"/>
        <v>-6627.51882264077</v>
      </c>
      <c r="AG373" s="31" t="str">
        <f t="shared" si="266"/>
        <v>222935.8274023i</v>
      </c>
      <c r="AH373" s="31">
        <f t="shared" si="267"/>
        <v>222935.8274023</v>
      </c>
      <c r="AI373" s="31">
        <f t="shared" si="268"/>
        <v>1.5707963267948966</v>
      </c>
      <c r="AJ373" s="31" t="str">
        <f t="shared" si="251"/>
        <v>-4.93124372387367+108.825009467296i</v>
      </c>
      <c r="AK373" s="31">
        <f t="shared" si="269"/>
        <v>108.93667816773794</v>
      </c>
      <c r="AL373" s="31">
        <f t="shared" si="270"/>
        <v>1.6160788658762222</v>
      </c>
      <c r="AM373" s="31" t="str">
        <f t="shared" si="252"/>
        <v>1+129.287174385416i</v>
      </c>
      <c r="AN373" s="31">
        <f t="shared" si="271"/>
        <v>129.2910416872142</v>
      </c>
      <c r="AO373" s="31">
        <f t="shared" si="272"/>
        <v>1.5630617617577336</v>
      </c>
      <c r="AP373" s="31" t="str">
        <f t="shared" si="253"/>
        <v>1+104.333967224276i</v>
      </c>
      <c r="AQ373" s="31">
        <f t="shared" si="273"/>
        <v>104.3387594173723</v>
      </c>
      <c r="AR373" s="31">
        <f t="shared" si="274"/>
        <v>1.5612120139701111</v>
      </c>
      <c r="AS373" s="58" t="str">
        <f t="shared" si="275"/>
        <v>-3.67417242775438+0.230309334658367i</v>
      </c>
      <c r="AT373" s="49">
        <f t="shared" si="276"/>
        <v>11.320221532089949</v>
      </c>
      <c r="AU373" s="61">
        <f t="shared" si="277"/>
        <v>176.41320301761164</v>
      </c>
      <c r="AV373" s="58" t="str">
        <f t="shared" si="254"/>
        <v>0.0799861470509334-0.0905371948361025i</v>
      </c>
      <c r="AW373" s="64">
        <f t="shared" si="278"/>
        <v>-18.358028229940604</v>
      </c>
      <c r="AX373" s="61">
        <f t="shared" si="279"/>
        <v>-48.540634353035692</v>
      </c>
    </row>
    <row r="374" spans="14:50" x14ac:dyDescent="0.35">
      <c r="N374" s="10">
        <v>56</v>
      </c>
      <c r="O374" s="50">
        <f t="shared" si="244"/>
        <v>36307.805477010232</v>
      </c>
      <c r="P374" s="48" t="str">
        <f t="shared" si="245"/>
        <v>547.187404092767</v>
      </c>
      <c r="Q374" s="17" t="str">
        <f t="shared" si="246"/>
        <v>1+4375.12716014807i</v>
      </c>
      <c r="R374" s="17">
        <f t="shared" si="255"/>
        <v>4375.1272744304606</v>
      </c>
      <c r="S374" s="17">
        <f t="shared" si="256"/>
        <v>1.5705677620135812</v>
      </c>
      <c r="T374" s="17" t="str">
        <f t="shared" si="247"/>
        <v>1+0.0827858821987723i</v>
      </c>
      <c r="U374" s="17">
        <f t="shared" si="257"/>
        <v>1.0034208998677618</v>
      </c>
      <c r="V374" s="17">
        <f t="shared" si="258"/>
        <v>8.2597531699473786E-2</v>
      </c>
      <c r="W374" s="31" t="str">
        <f t="shared" si="248"/>
        <v>1-1.43759736981294i</v>
      </c>
      <c r="X374" s="17">
        <f t="shared" si="259"/>
        <v>1.7511956480339606</v>
      </c>
      <c r="Y374" s="17">
        <f t="shared" si="260"/>
        <v>-0.9630260829539985</v>
      </c>
      <c r="Z374" s="31" t="str">
        <f t="shared" si="249"/>
        <v>0.564212648411102+6.87842356709506i</v>
      </c>
      <c r="AA374" s="17">
        <f t="shared" si="261"/>
        <v>6.9015249532980611</v>
      </c>
      <c r="AB374" s="17">
        <f t="shared" si="262"/>
        <v>1.4889531075660698</v>
      </c>
      <c r="AC374" s="66" t="str">
        <f t="shared" si="263"/>
        <v>-0.0222229512805187+0.0228065028021625i</v>
      </c>
      <c r="AD374" s="64">
        <f t="shared" si="264"/>
        <v>-29.93963700943565</v>
      </c>
      <c r="AE374" s="61">
        <f t="shared" si="265"/>
        <v>134.25752669118862</v>
      </c>
      <c r="AF374" s="31" t="str">
        <f t="shared" si="250"/>
        <v>-6627.51882264077</v>
      </c>
      <c r="AG374" s="31" t="str">
        <f t="shared" si="266"/>
        <v>228128.669909085i</v>
      </c>
      <c r="AH374" s="31">
        <f t="shared" si="267"/>
        <v>228128.669909085</v>
      </c>
      <c r="AI374" s="31">
        <f t="shared" si="268"/>
        <v>1.5707963267948966</v>
      </c>
      <c r="AJ374" s="31" t="str">
        <f t="shared" si="251"/>
        <v>-5.21077462871583+111.35986957277i</v>
      </c>
      <c r="AK374" s="31">
        <f t="shared" si="269"/>
        <v>111.48171474953017</v>
      </c>
      <c r="AL374" s="31">
        <f t="shared" si="270"/>
        <v>1.6175544329298259</v>
      </c>
      <c r="AM374" s="31" t="str">
        <f t="shared" si="252"/>
        <v>1+132.298659540376i</v>
      </c>
      <c r="AN374" s="31">
        <f t="shared" si="271"/>
        <v>132.30243881418184</v>
      </c>
      <c r="AO374" s="31">
        <f t="shared" si="272"/>
        <v>1.5632378151689874</v>
      </c>
      <c r="AP374" s="31" t="str">
        <f t="shared" si="253"/>
        <v>1+106.764217517452i</v>
      </c>
      <c r="AQ374" s="31">
        <f t="shared" si="273"/>
        <v>106.76890063175608</v>
      </c>
      <c r="AR374" s="31">
        <f t="shared" si="274"/>
        <v>1.5614301666578299</v>
      </c>
      <c r="AS374" s="58" t="str">
        <f t="shared" si="275"/>
        <v>-3.67365904325294+0.234265586310671i</v>
      </c>
      <c r="AT374" s="49">
        <f t="shared" si="276"/>
        <v>11.319601642737208</v>
      </c>
      <c r="AU374" s="61">
        <f t="shared" si="277"/>
        <v>176.35124559878102</v>
      </c>
      <c r="AV374" s="58" t="str">
        <f t="shared" si="254"/>
        <v>0.0762967671888025-0.088989387975422i</v>
      </c>
      <c r="AW374" s="64">
        <f t="shared" si="278"/>
        <v>-18.620035366698442</v>
      </c>
      <c r="AX374" s="61">
        <f t="shared" si="279"/>
        <v>-49.391227710030343</v>
      </c>
    </row>
    <row r="375" spans="14:50" x14ac:dyDescent="0.35">
      <c r="N375" s="10">
        <v>57</v>
      </c>
      <c r="O375" s="50">
        <f t="shared" si="244"/>
        <v>37153.522909717351</v>
      </c>
      <c r="P375" s="48" t="str">
        <f t="shared" si="245"/>
        <v>547.187404092767</v>
      </c>
      <c r="Q375" s="17" t="str">
        <f t="shared" si="246"/>
        <v>1+4477.03696331672i</v>
      </c>
      <c r="R375" s="17">
        <f t="shared" si="255"/>
        <v>4477.0370749977264</v>
      </c>
      <c r="S375" s="17">
        <f t="shared" si="256"/>
        <v>1.5705729647830207</v>
      </c>
      <c r="T375" s="17" t="str">
        <f t="shared" si="247"/>
        <v>1+0.0847142131137837i</v>
      </c>
      <c r="U375" s="17">
        <f t="shared" si="257"/>
        <v>1.0035818341836842</v>
      </c>
      <c r="V375" s="17">
        <f t="shared" si="258"/>
        <v>8.4512430800383689E-2</v>
      </c>
      <c r="W375" s="31" t="str">
        <f t="shared" si="248"/>
        <v>1-1.47108331425083i</v>
      </c>
      <c r="X375" s="17">
        <f t="shared" si="259"/>
        <v>1.7787878224980085</v>
      </c>
      <c r="Y375" s="17">
        <f t="shared" si="260"/>
        <v>-0.9737761729554878</v>
      </c>
      <c r="Z375" s="31" t="str">
        <f t="shared" si="249"/>
        <v>0.543674623271771+7.03864263414716i</v>
      </c>
      <c r="AA375" s="17">
        <f t="shared" si="261"/>
        <v>7.0596085038211411</v>
      </c>
      <c r="AB375" s="17">
        <f t="shared" si="262"/>
        <v>1.4937079909400335</v>
      </c>
      <c r="AC375" s="66" t="str">
        <f t="shared" si="263"/>
        <v>-0.0212658490584044+0.0224263184350218i</v>
      </c>
      <c r="AD375" s="64">
        <f t="shared" si="264"/>
        <v>-30.199165552049063</v>
      </c>
      <c r="AE375" s="61">
        <f t="shared" si="265"/>
        <v>133.47857469525735</v>
      </c>
      <c r="AF375" s="31" t="str">
        <f t="shared" si="250"/>
        <v>-6627.51882264077</v>
      </c>
      <c r="AG375" s="31" t="str">
        <f t="shared" si="266"/>
        <v>233442.469256296i</v>
      </c>
      <c r="AH375" s="31">
        <f t="shared" si="267"/>
        <v>233442.469256296</v>
      </c>
      <c r="AI375" s="31">
        <f t="shared" si="268"/>
        <v>1.5707963267948966</v>
      </c>
      <c r="AJ375" s="31" t="str">
        <f t="shared" si="251"/>
        <v>-5.50347941923857+113.953774155115i</v>
      </c>
      <c r="AK375" s="31">
        <f t="shared" si="269"/>
        <v>114.0865939973358</v>
      </c>
      <c r="AL375" s="31">
        <f t="shared" si="270"/>
        <v>1.6190545483965613</v>
      </c>
      <c r="AM375" s="31" t="str">
        <f t="shared" si="252"/>
        <v>1+135.380291195804i</v>
      </c>
      <c r="AN375" s="31">
        <f t="shared" si="271"/>
        <v>135.38398444520936</v>
      </c>
      <c r="AO375" s="31">
        <f t="shared" si="272"/>
        <v>1.5634098615681029</v>
      </c>
      <c r="AP375" s="31" t="str">
        <f t="shared" si="253"/>
        <v>1+109.251075611946i</v>
      </c>
      <c r="AQ375" s="31">
        <f t="shared" si="273"/>
        <v>109.25565213007127</v>
      </c>
      <c r="AR375" s="31">
        <f t="shared" si="274"/>
        <v>1.5616433544455752</v>
      </c>
      <c r="AS375" s="58" t="str">
        <f t="shared" si="275"/>
        <v>-3.67312162609791+0.238343356986398i</v>
      </c>
      <c r="AT375" s="49">
        <f t="shared" si="276"/>
        <v>11.318953839251144</v>
      </c>
      <c r="AU375" s="61">
        <f t="shared" si="277"/>
        <v>176.28736760678606</v>
      </c>
      <c r="AV375" s="58" t="str">
        <f t="shared" si="254"/>
        <v>0.07276688605311-0.087443169091183i</v>
      </c>
      <c r="AW375" s="64">
        <f t="shared" si="278"/>
        <v>-18.880211712797919</v>
      </c>
      <c r="AX375" s="61">
        <f t="shared" si="279"/>
        <v>-50.234057697956594</v>
      </c>
    </row>
    <row r="376" spans="14:50" x14ac:dyDescent="0.35">
      <c r="N376" s="10">
        <v>58</v>
      </c>
      <c r="O376" s="50">
        <f t="shared" si="244"/>
        <v>38018.939632056143</v>
      </c>
      <c r="P376" s="48" t="str">
        <f t="shared" si="245"/>
        <v>547.187404092767</v>
      </c>
      <c r="Q376" s="17" t="str">
        <f t="shared" si="246"/>
        <v>1+4581.3205507439i</v>
      </c>
      <c r="R376" s="17">
        <f t="shared" si="255"/>
        <v>4581.3206598827364</v>
      </c>
      <c r="S376" s="17">
        <f t="shared" si="256"/>
        <v>1.5705780491229804</v>
      </c>
      <c r="T376" s="17" t="str">
        <f t="shared" si="247"/>
        <v>1+0.0866874606259132i</v>
      </c>
      <c r="U376" s="17">
        <f t="shared" si="257"/>
        <v>1.0037503254444151</v>
      </c>
      <c r="V376" s="17">
        <f t="shared" si="258"/>
        <v>8.6471290588344976E-2</v>
      </c>
      <c r="W376" s="31" t="str">
        <f t="shared" si="248"/>
        <v>1-1.50534924653402i</v>
      </c>
      <c r="X376" s="17">
        <f t="shared" si="259"/>
        <v>1.8072289157825419</v>
      </c>
      <c r="Y376" s="17">
        <f t="shared" si="260"/>
        <v>-0.98443559020137406</v>
      </c>
      <c r="Z376" s="31" t="str">
        <f t="shared" si="249"/>
        <v>0.522168670827791+7.20259368269134i</v>
      </c>
      <c r="AA376" s="17">
        <f t="shared" si="261"/>
        <v>7.221496789360172</v>
      </c>
      <c r="AB376" s="17">
        <f t="shared" si="262"/>
        <v>1.4984256291351039</v>
      </c>
      <c r="AC376" s="66" t="str">
        <f t="shared" si="263"/>
        <v>-0.0203501136941906+0.0220458889916473i</v>
      </c>
      <c r="AD376" s="64">
        <f t="shared" si="264"/>
        <v>-30.456859108325013</v>
      </c>
      <c r="AE376" s="61">
        <f t="shared" si="265"/>
        <v>132.70947740443862</v>
      </c>
      <c r="AF376" s="31" t="str">
        <f t="shared" si="250"/>
        <v>-6627.51882264077</v>
      </c>
      <c r="AG376" s="31" t="str">
        <f t="shared" si="266"/>
        <v>238880.042890683i</v>
      </c>
      <c r="AH376" s="31">
        <f t="shared" si="267"/>
        <v>238880.04289068299</v>
      </c>
      <c r="AI376" s="31">
        <f t="shared" si="268"/>
        <v>1.5707963267948966</v>
      </c>
      <c r="AJ376" s="31" t="str">
        <f t="shared" si="251"/>
        <v>-5.80997896154618+116.608098536872i</v>
      </c>
      <c r="AK376" s="31">
        <f t="shared" si="269"/>
        <v>116.75274943194469</v>
      </c>
      <c r="AL376" s="31">
        <f t="shared" si="270"/>
        <v>1.6205799901801903</v>
      </c>
      <c r="AM376" s="31" t="str">
        <f t="shared" si="252"/>
        <v>1+138.533703273594i</v>
      </c>
      <c r="AN376" s="31">
        <f t="shared" si="271"/>
        <v>138.53731245659483</v>
      </c>
      <c r="AO376" s="31">
        <f t="shared" si="272"/>
        <v>1.5635779921355946</v>
      </c>
      <c r="AP376" s="31" t="str">
        <f t="shared" si="253"/>
        <v>1+111.795860072839i</v>
      </c>
      <c r="AQ376" s="31">
        <f t="shared" si="273"/>
        <v>111.80033242090919</v>
      </c>
      <c r="AR376" s="31">
        <f t="shared" si="274"/>
        <v>1.5618516902907764</v>
      </c>
      <c r="AS376" s="58" t="str">
        <f t="shared" si="275"/>
        <v>-3.67255905802674+0.242544617542478i</v>
      </c>
      <c r="AT376" s="49">
        <f t="shared" si="276"/>
        <v>11.318276760383695</v>
      </c>
      <c r="AU376" s="61">
        <f t="shared" si="277"/>
        <v>176.22153616726695</v>
      </c>
      <c r="AV376" s="58" t="str">
        <f t="shared" si="254"/>
        <v>0.0693898826656107-0.0859006398514297i</v>
      </c>
      <c r="AW376" s="64">
        <f t="shared" si="278"/>
        <v>-19.138582347941316</v>
      </c>
      <c r="AX376" s="61">
        <f t="shared" si="279"/>
        <v>-51.068986428294409</v>
      </c>
    </row>
    <row r="377" spans="14:50" x14ac:dyDescent="0.35">
      <c r="N377" s="10">
        <v>59</v>
      </c>
      <c r="O377" s="50">
        <f t="shared" si="244"/>
        <v>38904.514499428085</v>
      </c>
      <c r="P377" s="48" t="str">
        <f t="shared" si="245"/>
        <v>547.187404092767</v>
      </c>
      <c r="Q377" s="17" t="str">
        <f t="shared" si="246"/>
        <v>1+4688.03321496804i</v>
      </c>
      <c r="R377" s="17">
        <f t="shared" si="255"/>
        <v>4688.0333216225727</v>
      </c>
      <c r="S377" s="17">
        <f t="shared" si="256"/>
        <v>1.5705830177292441</v>
      </c>
      <c r="T377" s="17" t="str">
        <f t="shared" si="247"/>
        <v>1+0.0887066709771108i</v>
      </c>
      <c r="U377" s="17">
        <f t="shared" si="257"/>
        <v>1.0039267271448855</v>
      </c>
      <c r="V377" s="17">
        <f t="shared" si="258"/>
        <v>8.8475089512131566E-2</v>
      </c>
      <c r="W377" s="31" t="str">
        <f t="shared" si="248"/>
        <v>1-1.54041333491338i</v>
      </c>
      <c r="X377" s="17">
        <f t="shared" si="259"/>
        <v>1.8365383857624542</v>
      </c>
      <c r="Y377" s="17">
        <f t="shared" si="260"/>
        <v>-0.99500029714069826</v>
      </c>
      <c r="Z377" s="31" t="str">
        <f t="shared" si="249"/>
        <v>0.499649174070672+7.37036364174368i</v>
      </c>
      <c r="AA377" s="17">
        <f t="shared" si="261"/>
        <v>7.3872802511267075</v>
      </c>
      <c r="AB377" s="17">
        <f t="shared" si="262"/>
        <v>1.5031082332449155</v>
      </c>
      <c r="AC377" s="66" t="str">
        <f t="shared" si="263"/>
        <v>-0.019474028353795+0.0216657918010671i</v>
      </c>
      <c r="AD377" s="64">
        <f t="shared" si="264"/>
        <v>-30.712742938944871</v>
      </c>
      <c r="AE377" s="61">
        <f t="shared" si="265"/>
        <v>131.95039537355697</v>
      </c>
      <c r="AF377" s="31" t="str">
        <f t="shared" si="250"/>
        <v>-6627.51882264077</v>
      </c>
      <c r="AG377" s="31" t="str">
        <f t="shared" si="266"/>
        <v>244444.273885762i</v>
      </c>
      <c r="AH377" s="31">
        <f t="shared" si="267"/>
        <v>244444.273885762</v>
      </c>
      <c r="AI377" s="31">
        <f t="shared" si="268"/>
        <v>1.5707963267948966</v>
      </c>
      <c r="AJ377" s="31" t="str">
        <f t="shared" si="251"/>
        <v>-6.13092338226103+119.324250075965i</v>
      </c>
      <c r="AK377" s="31">
        <f t="shared" si="269"/>
        <v>119.48165079923605</v>
      </c>
      <c r="AL377" s="31">
        <f t="shared" si="270"/>
        <v>1.6221315483807022</v>
      </c>
      <c r="AM377" s="31" t="str">
        <f t="shared" si="252"/>
        <v>1+141.76056775457i</v>
      </c>
      <c r="AN377" s="31">
        <f t="shared" si="271"/>
        <v>141.76409478460346</v>
      </c>
      <c r="AO377" s="31">
        <f t="shared" si="272"/>
        <v>1.563742295978471</v>
      </c>
      <c r="AP377" s="31" t="str">
        <f t="shared" si="253"/>
        <v>1+114.399920178536i</v>
      </c>
      <c r="AQ377" s="31">
        <f t="shared" si="273"/>
        <v>114.40429072746967</v>
      </c>
      <c r="AR377" s="31">
        <f t="shared" si="274"/>
        <v>1.5620552845834741</v>
      </c>
      <c r="AS377" s="58" t="str">
        <f t="shared" si="275"/>
        <v>-3.67197016950466+0.246871390788021i</v>
      </c>
      <c r="AT377" s="49">
        <f t="shared" si="276"/>
        <v>11.317568984020268</v>
      </c>
      <c r="AU377" s="61">
        <f t="shared" si="277"/>
        <v>176.15371744116783</v>
      </c>
      <c r="AV377" s="58" t="str">
        <f t="shared" si="254"/>
        <v>0.0661593870407701-0.0843637216561638i</v>
      </c>
      <c r="AW377" s="64">
        <f t="shared" si="278"/>
        <v>-19.395173954924598</v>
      </c>
      <c r="AX377" s="61">
        <f t="shared" si="279"/>
        <v>-51.895887185275207</v>
      </c>
    </row>
    <row r="378" spans="14:50" x14ac:dyDescent="0.35">
      <c r="N378" s="10">
        <v>60</v>
      </c>
      <c r="O378" s="50">
        <f t="shared" si="244"/>
        <v>39810.717055349742</v>
      </c>
      <c r="P378" s="48" t="str">
        <f t="shared" si="245"/>
        <v>547.187404092767</v>
      </c>
      <c r="Q378" s="17" t="str">
        <f t="shared" si="246"/>
        <v>1+4797.2315364562i</v>
      </c>
      <c r="R378" s="17">
        <f t="shared" si="255"/>
        <v>4797.2316406829787</v>
      </c>
      <c r="S378" s="17">
        <f t="shared" si="256"/>
        <v>1.5705878732362313</v>
      </c>
      <c r="T378" s="17" t="str">
        <f t="shared" si="247"/>
        <v>1+0.0907729147794318i</v>
      </c>
      <c r="U378" s="17">
        <f t="shared" si="257"/>
        <v>1.0041114091860295</v>
      </c>
      <c r="V378" s="17">
        <f t="shared" si="258"/>
        <v>9.0524825611381407E-2</v>
      </c>
      <c r="W378" s="31" t="str">
        <f t="shared" si="248"/>
        <v>1-1.57629417083268i</v>
      </c>
      <c r="X378" s="17">
        <f t="shared" si="259"/>
        <v>1.8667360051708133</v>
      </c>
      <c r="Y378" s="17">
        <f t="shared" si="260"/>
        <v>-1.0054664618955409</v>
      </c>
      <c r="Z378" s="31" t="str">
        <f t="shared" si="249"/>
        <v>0.476068366128557+7.54204146515715i</v>
      </c>
      <c r="AA378" s="17">
        <f t="shared" si="261"/>
        <v>7.557051710249052</v>
      </c>
      <c r="AB378" s="17">
        <f t="shared" si="262"/>
        <v>1.5077580106581989</v>
      </c>
      <c r="AC378" s="66" t="str">
        <f t="shared" si="263"/>
        <v>-0.0186359411922362+0.0212865556264017i</v>
      </c>
      <c r="AD378" s="64">
        <f t="shared" si="264"/>
        <v>-30.966843717480156</v>
      </c>
      <c r="AE378" s="61">
        <f t="shared" si="265"/>
        <v>131.20147871150419</v>
      </c>
      <c r="AF378" s="31" t="str">
        <f t="shared" si="250"/>
        <v>-6627.51882264077</v>
      </c>
      <c r="AG378" s="31" t="str">
        <f t="shared" si="266"/>
        <v>250138.112470457i</v>
      </c>
      <c r="AH378" s="31">
        <f t="shared" si="267"/>
        <v>250138.11247045701</v>
      </c>
      <c r="AI378" s="31">
        <f t="shared" si="268"/>
        <v>1.5707963267948966</v>
      </c>
      <c r="AJ378" s="31" t="str">
        <f t="shared" si="251"/>
        <v>-6.46699344752917+122.103668911891i</v>
      </c>
      <c r="AK378" s="31">
        <f t="shared" si="269"/>
        <v>122.2748051153429</v>
      </c>
      <c r="AL378" s="31">
        <f t="shared" si="270"/>
        <v>1.6237100256255039</v>
      </c>
      <c r="AM378" s="31" t="str">
        <f t="shared" si="252"/>
        <v>1+145.062595564992i</v>
      </c>
      <c r="AN378" s="31">
        <f t="shared" si="271"/>
        <v>145.0660423119499</v>
      </c>
      <c r="AO378" s="31">
        <f t="shared" si="272"/>
        <v>1.5639028601773002</v>
      </c>
      <c r="AP378" s="31" t="str">
        <f t="shared" si="253"/>
        <v>1+117.064636636174i</v>
      </c>
      <c r="AQ378" s="31">
        <f t="shared" si="273"/>
        <v>117.06890770293987</v>
      </c>
      <c r="AR378" s="31">
        <f t="shared" si="274"/>
        <v>1.5622542452045052</v>
      </c>
      <c r="AS378" s="58" t="str">
        <f t="shared" si="275"/>
        <v>-3.67135373744273+0.251325751608315i</v>
      </c>
      <c r="AT378" s="49">
        <f t="shared" si="276"/>
        <v>11.316829024282578</v>
      </c>
      <c r="AU378" s="61">
        <f t="shared" si="277"/>
        <v>176.08387661179145</v>
      </c>
      <c r="AV378" s="58" t="str">
        <f t="shared" si="254"/>
        <v>0.0630692727549217-0.0828341674833396i</v>
      </c>
      <c r="AW378" s="64">
        <f t="shared" si="278"/>
        <v>-19.650014693197576</v>
      </c>
      <c r="AX378" s="61">
        <f t="shared" si="279"/>
        <v>-52.714644676704353</v>
      </c>
    </row>
    <row r="379" spans="14:50" x14ac:dyDescent="0.35">
      <c r="N379" s="10">
        <v>61</v>
      </c>
      <c r="O379" s="50">
        <f t="shared" si="244"/>
        <v>40738.027780411358</v>
      </c>
      <c r="P379" s="48" t="str">
        <f t="shared" si="245"/>
        <v>547.187404092767</v>
      </c>
      <c r="Q379" s="17" t="str">
        <f t="shared" si="246"/>
        <v>1+4908.97341360387i</v>
      </c>
      <c r="R379" s="17">
        <f t="shared" si="255"/>
        <v>4908.9735154581585</v>
      </c>
      <c r="S379" s="17">
        <f t="shared" si="256"/>
        <v>1.5705926182183954</v>
      </c>
      <c r="T379" s="17" t="str">
        <f t="shared" si="247"/>
        <v>1+0.0928872875826908i</v>
      </c>
      <c r="U379" s="17">
        <f t="shared" si="257"/>
        <v>1.0043047586238301</v>
      </c>
      <c r="V379" s="17">
        <f t="shared" si="258"/>
        <v>9.2621516750788627E-2</v>
      </c>
      <c r="W379" s="31" t="str">
        <f t="shared" si="248"/>
        <v>1-1.61301077878608i</v>
      </c>
      <c r="X379" s="17">
        <f t="shared" si="259"/>
        <v>1.8978418723592532</v>
      </c>
      <c r="Y379" s="17">
        <f t="shared" si="260"/>
        <v>-1.0158304617605958</v>
      </c>
      <c r="Z379" s="31" t="str">
        <f t="shared" si="249"/>
        <v>0.451376228946259+7.71771817878619i</v>
      </c>
      <c r="AA379" s="17">
        <f t="shared" si="261"/>
        <v>7.7309064402063852</v>
      </c>
      <c r="AB379" s="17">
        <f t="shared" si="262"/>
        <v>1.512377165033723</v>
      </c>
      <c r="AC379" s="66" t="str">
        <f t="shared" si="263"/>
        <v>-0.0178342634400704+0.0209086638576832i</v>
      </c>
      <c r="AD379" s="64">
        <f t="shared" si="264"/>
        <v>-31.21918940096641</v>
      </c>
      <c r="AE379" s="61">
        <f t="shared" si="265"/>
        <v>130.46286689550411</v>
      </c>
      <c r="AF379" s="31" t="str">
        <f t="shared" si="250"/>
        <v>-6627.51882264077</v>
      </c>
      <c r="AG379" s="31" t="str">
        <f t="shared" si="266"/>
        <v>255964.577593354i</v>
      </c>
      <c r="AH379" s="31">
        <f t="shared" si="267"/>
        <v>255964.57759335401</v>
      </c>
      <c r="AI379" s="31">
        <f t="shared" si="268"/>
        <v>1.5707963267948966</v>
      </c>
      <c r="AJ379" s="31" t="str">
        <f t="shared" si="251"/>
        <v>-6.81890200701682+124.947828729308i</v>
      </c>
      <c r="AK379" s="31">
        <f t="shared" si="269"/>
        <v>125.1337577504559</v>
      </c>
      <c r="AL379" s="31">
        <f t="shared" si="270"/>
        <v>1.6253162374011376</v>
      </c>
      <c r="AM379" s="31" t="str">
        <f t="shared" si="252"/>
        <v>1+148.441537483714i</v>
      </c>
      <c r="AN379" s="31">
        <f t="shared" si="271"/>
        <v>148.44490577493346</v>
      </c>
      <c r="AO379" s="31">
        <f t="shared" si="272"/>
        <v>1.564059769832211</v>
      </c>
      <c r="AP379" s="31" t="str">
        <f t="shared" si="253"/>
        <v>1+119.791422313689i</v>
      </c>
      <c r="AQ379" s="31">
        <f t="shared" si="273"/>
        <v>119.79559616253255</v>
      </c>
      <c r="AR379" s="31">
        <f t="shared" si="274"/>
        <v>1.5624486775823812</v>
      </c>
      <c r="AS379" s="58" t="str">
        <f t="shared" si="275"/>
        <v>-3.67070848282005+0.25590982705076i</v>
      </c>
      <c r="AT379" s="49">
        <f t="shared" si="276"/>
        <v>11.316055328504962</v>
      </c>
      <c r="AU379" s="61">
        <f t="shared" si="277"/>
        <v>176.01197787168766</v>
      </c>
      <c r="AV379" s="58" t="str">
        <f t="shared" si="254"/>
        <v>0.0601136495426317-0.0813135730593568i</v>
      </c>
      <c r="AW379" s="64">
        <f t="shared" si="278"/>
        <v>-19.903134072461445</v>
      </c>
      <c r="AX379" s="61">
        <f t="shared" si="279"/>
        <v>-53.52515523280821</v>
      </c>
    </row>
    <row r="380" spans="14:50" x14ac:dyDescent="0.35">
      <c r="N380" s="10">
        <v>62</v>
      </c>
      <c r="O380" s="50">
        <f t="shared" si="244"/>
        <v>41686.938347033625</v>
      </c>
      <c r="P380" s="48" t="str">
        <f t="shared" si="245"/>
        <v>547.187404092767</v>
      </c>
      <c r="Q380" s="17" t="str">
        <f t="shared" si="246"/>
        <v>1+5023.31809343338i</v>
      </c>
      <c r="R380" s="17">
        <f t="shared" si="255"/>
        <v>5023.3181929691827</v>
      </c>
      <c r="S380" s="17">
        <f t="shared" si="256"/>
        <v>1.5705972551915877</v>
      </c>
      <c r="T380" s="17" t="str">
        <f t="shared" si="247"/>
        <v>1+0.0950509104553347i</v>
      </c>
      <c r="U380" s="17">
        <f t="shared" si="257"/>
        <v>1.0045071804513834</v>
      </c>
      <c r="V380" s="17">
        <f t="shared" si="258"/>
        <v>9.4766200844665596E-2</v>
      </c>
      <c r="W380" s="31" t="str">
        <f t="shared" si="248"/>
        <v>1-1.65058262640513i</v>
      </c>
      <c r="X380" s="17">
        <f t="shared" si="259"/>
        <v>1.9298764226215255</v>
      </c>
      <c r="Y380" s="17">
        <f t="shared" si="260"/>
        <v>-1.0260888857493371</v>
      </c>
      <c r="Z380" s="31" t="str">
        <f t="shared" si="249"/>
        <v>0.425520387190285+7.89748692874971i</v>
      </c>
      <c r="AA380" s="17">
        <f t="shared" si="261"/>
        <v>7.9089422421514177</v>
      </c>
      <c r="AB380" s="17">
        <f t="shared" si="262"/>
        <v>1.5169678963268085</v>
      </c>
      <c r="AC380" s="66" t="str">
        <f t="shared" si="263"/>
        <v>-0.0170674674950838+0.0205325575211664i</v>
      </c>
      <c r="AD380" s="64">
        <f t="shared" si="264"/>
        <v>-31.469809101074247</v>
      </c>
      <c r="AE380" s="61">
        <f t="shared" si="265"/>
        <v>129.73468863649546</v>
      </c>
      <c r="AF380" s="31" t="str">
        <f t="shared" si="250"/>
        <v>-6627.51882264077</v>
      </c>
      <c r="AG380" s="31" t="str">
        <f t="shared" si="266"/>
        <v>261926.758523383i</v>
      </c>
      <c r="AH380" s="31">
        <f t="shared" si="267"/>
        <v>261926.758523383</v>
      </c>
      <c r="AI380" s="31">
        <f t="shared" si="268"/>
        <v>1.5707963267948966</v>
      </c>
      <c r="AJ380" s="31" t="str">
        <f t="shared" si="251"/>
        <v>-7.18739550595982+127.858237539397i</v>
      </c>
      <c r="AK380" s="31">
        <f t="shared" si="269"/>
        <v>128.06009355314387</v>
      </c>
      <c r="AL380" s="31">
        <f t="shared" si="270"/>
        <v>1.6269510123852842</v>
      </c>
      <c r="AM380" s="31" t="str">
        <f t="shared" si="252"/>
        <v>1+151.899185070466i</v>
      </c>
      <c r="AN380" s="31">
        <f t="shared" si="271"/>
        <v>151.90247669169742</v>
      </c>
      <c r="AO380" s="31">
        <f t="shared" si="272"/>
        <v>1.5642131081078559</v>
      </c>
      <c r="AP380" s="31" t="str">
        <f t="shared" si="253"/>
        <v>1+122.581722988943i</v>
      </c>
      <c r="AQ380" s="31">
        <f t="shared" si="273"/>
        <v>122.58580183258563</v>
      </c>
      <c r="AR380" s="31">
        <f t="shared" si="274"/>
        <v>1.5626386847488862</v>
      </c>
      <c r="AS380" s="58" t="str">
        <f t="shared" si="275"/>
        <v>-3.67003306820896+0.260625796368506i</v>
      </c>
      <c r="AT380" s="49">
        <f t="shared" si="276"/>
        <v>11.315246274083854</v>
      </c>
      <c r="AU380" s="61">
        <f t="shared" si="277"/>
        <v>175.93798440939273</v>
      </c>
      <c r="AV380" s="58" t="str">
        <f t="shared" si="254"/>
        <v>0.0572868559421029-0.0798033873854831i</v>
      </c>
      <c r="AW380" s="64">
        <f t="shared" si="278"/>
        <v>-20.154562826990393</v>
      </c>
      <c r="AX380" s="61">
        <f t="shared" si="279"/>
        <v>-54.32732695411184</v>
      </c>
    </row>
    <row r="381" spans="14:50" x14ac:dyDescent="0.35">
      <c r="N381" s="10">
        <v>63</v>
      </c>
      <c r="O381" s="50">
        <f t="shared" si="244"/>
        <v>42657.951880159271</v>
      </c>
      <c r="P381" s="48" t="str">
        <f t="shared" si="245"/>
        <v>547.187404092767</v>
      </c>
      <c r="Q381" s="17" t="str">
        <f t="shared" si="246"/>
        <v>1+5140.3262030075i</v>
      </c>
      <c r="R381" s="17">
        <f t="shared" si="255"/>
        <v>5140.3263002775911</v>
      </c>
      <c r="S381" s="17">
        <f t="shared" si="256"/>
        <v>1.5706017866143922</v>
      </c>
      <c r="T381" s="17" t="str">
        <f t="shared" si="247"/>
        <v>1+0.0972649305788495i</v>
      </c>
      <c r="U381" s="17">
        <f t="shared" si="257"/>
        <v>1.0047190984153274</v>
      </c>
      <c r="V381" s="17">
        <f t="shared" si="258"/>
        <v>9.6959936070674435E-2</v>
      </c>
      <c r="W381" s="31" t="str">
        <f t="shared" si="248"/>
        <v>1-1.68902963478073i</v>
      </c>
      <c r="X381" s="17">
        <f t="shared" si="259"/>
        <v>1.9628604400638183</v>
      </c>
      <c r="Y381" s="17">
        <f t="shared" si="260"/>
        <v>-1.0362385362145246</v>
      </c>
      <c r="Z381" s="31" t="str">
        <f t="shared" si="249"/>
        <v>0.398445997153721+8.08144303081843i</v>
      </c>
      <c r="AA381" s="17">
        <f t="shared" si="261"/>
        <v>8.0912595232764346</v>
      </c>
      <c r="AB381" s="17">
        <f t="shared" si="262"/>
        <v>1.5215324008633015</v>
      </c>
      <c r="AC381" s="66" t="str">
        <f t="shared" si="263"/>
        <v>-0.0163340850251103+0.0201586381138566i</v>
      </c>
      <c r="AD381" s="64">
        <f t="shared" si="264"/>
        <v>-31.718732956525201</v>
      </c>
      <c r="AE381" s="61">
        <f t="shared" si="265"/>
        <v>129.01706179421535</v>
      </c>
      <c r="AF381" s="31" t="str">
        <f t="shared" si="250"/>
        <v>-6627.51882264077</v>
      </c>
      <c r="AG381" s="31" t="str">
        <f t="shared" si="266"/>
        <v>268027.816487791i</v>
      </c>
      <c r="AH381" s="31">
        <f t="shared" si="267"/>
        <v>268027.81648779102</v>
      </c>
      <c r="AI381" s="31">
        <f t="shared" si="268"/>
        <v>1.5707963267948966</v>
      </c>
      <c r="AJ381" s="31" t="str">
        <f t="shared" si="251"/>
        <v>-7.57325556847416+130.836438479433i</v>
      </c>
      <c r="AK381" s="31">
        <f t="shared" si="269"/>
        <v>131.05543801722951</v>
      </c>
      <c r="AL381" s="31">
        <f t="shared" si="270"/>
        <v>1.6286151927787726</v>
      </c>
      <c r="AM381" s="31" t="str">
        <f t="shared" si="252"/>
        <v>1+155.437371615765i</v>
      </c>
      <c r="AN381" s="31">
        <f t="shared" si="271"/>
        <v>155.44058831211819</v>
      </c>
      <c r="AO381" s="31">
        <f t="shared" si="272"/>
        <v>1.5643629562773582</v>
      </c>
      <c r="AP381" s="31" t="str">
        <f t="shared" si="253"/>
        <v>1+125.437018116286i</v>
      </c>
      <c r="AQ381" s="31">
        <f t="shared" si="273"/>
        <v>125.44100411709667</v>
      </c>
      <c r="AR381" s="31">
        <f t="shared" si="274"/>
        <v>1.562824367393425</v>
      </c>
      <c r="AS381" s="58" t="str">
        <f t="shared" si="275"/>
        <v>-3.66932609519787+0.265475891016972i</v>
      </c>
      <c r="AT381" s="49">
        <f t="shared" si="276"/>
        <v>11.314400165189994</v>
      </c>
      <c r="AU381" s="61">
        <f t="shared" si="277"/>
        <v>175.86185839603857</v>
      </c>
      <c r="AV381" s="58" t="str">
        <f t="shared" si="254"/>
        <v>0.0545834520088532-0.0783049226508125i</v>
      </c>
      <c r="AW381" s="64">
        <f t="shared" si="278"/>
        <v>-20.404332791335204</v>
      </c>
      <c r="AX381" s="61">
        <f t="shared" si="279"/>
        <v>-55.121079809746071</v>
      </c>
    </row>
    <row r="382" spans="14:50" x14ac:dyDescent="0.35">
      <c r="N382" s="10">
        <v>64</v>
      </c>
      <c r="O382" s="50">
        <f t="shared" si="244"/>
        <v>43651.583224016598</v>
      </c>
      <c r="P382" s="48" t="str">
        <f t="shared" si="245"/>
        <v>547.187404092767</v>
      </c>
      <c r="Q382" s="17" t="str">
        <f t="shared" si="246"/>
        <v>1+5260.0597815747i</v>
      </c>
      <c r="R382" s="17">
        <f t="shared" si="255"/>
        <v>5260.0598766306521</v>
      </c>
      <c r="S382" s="17">
        <f t="shared" si="256"/>
        <v>1.5706062148894282</v>
      </c>
      <c r="T382" s="17" t="str">
        <f t="shared" si="247"/>
        <v>1+0.0995305218560105i</v>
      </c>
      <c r="U382" s="17">
        <f t="shared" si="257"/>
        <v>1.00494095586802</v>
      </c>
      <c r="V382" s="17">
        <f t="shared" si="258"/>
        <v>9.9203801071427705E-2</v>
      </c>
      <c r="W382" s="31" t="str">
        <f t="shared" si="248"/>
        <v>1-1.72837218902564i</v>
      </c>
      <c r="X382" s="17">
        <f t="shared" si="259"/>
        <v>1.9968150700045517</v>
      </c>
      <c r="Y382" s="17">
        <f t="shared" si="260"/>
        <v>-1.046276429576801</v>
      </c>
      <c r="Z382" s="31" t="str">
        <f t="shared" si="249"/>
        <v>0.370095630425372+8.26968402095262i</v>
      </c>
      <c r="AA382" s="17">
        <f t="shared" si="261"/>
        <v>8.2779613783865322</v>
      </c>
      <c r="AB382" s="17">
        <f t="shared" si="262"/>
        <v>1.5260728714570055</v>
      </c>
      <c r="AC382" s="66" t="str">
        <f t="shared" si="263"/>
        <v>-0.0156327050871627+0.0197872702717546i</v>
      </c>
      <c r="AD382" s="64">
        <f t="shared" si="264"/>
        <v>-31.965992007355606</v>
      </c>
      <c r="AE382" s="61">
        <f t="shared" si="265"/>
        <v>128.31009334020234</v>
      </c>
      <c r="AF382" s="31" t="str">
        <f t="shared" si="250"/>
        <v>-6627.51882264077</v>
      </c>
      <c r="AG382" s="31" t="str">
        <f t="shared" si="266"/>
        <v>274270.986348268i</v>
      </c>
      <c r="AH382" s="31">
        <f t="shared" si="267"/>
        <v>274270.98634826799</v>
      </c>
      <c r="AI382" s="31">
        <f t="shared" si="268"/>
        <v>1.5707963267948966</v>
      </c>
      <c r="AJ382" s="31" t="str">
        <f t="shared" si="251"/>
        <v>-7.9773006554856+133.884010630975i</v>
      </c>
      <c r="AK382" s="31">
        <f t="shared" si="269"/>
        <v>134.12145849334863</v>
      </c>
      <c r="AL382" s="31">
        <f t="shared" si="270"/>
        <v>1.630309634637289</v>
      </c>
      <c r="AM382" s="31" t="str">
        <f t="shared" si="252"/>
        <v>1+159.057973112951i</v>
      </c>
      <c r="AN382" s="31">
        <f t="shared" si="271"/>
        <v>159.06111658981979</v>
      </c>
      <c r="AO382" s="31">
        <f t="shared" si="272"/>
        <v>1.5645093937652677</v>
      </c>
      <c r="AP382" s="31" t="str">
        <f t="shared" si="253"/>
        <v>1+128.358821610989i</v>
      </c>
      <c r="AQ382" s="31">
        <f t="shared" si="273"/>
        <v>128.36271688212935</v>
      </c>
      <c r="AR382" s="31">
        <f t="shared" si="274"/>
        <v>1.5630058239161486</v>
      </c>
      <c r="AS382" s="58" t="str">
        <f t="shared" si="275"/>
        <v>-3.66858610171017+0.270462394598375i</v>
      </c>
      <c r="AT382" s="49">
        <f t="shared" si="276"/>
        <v>11.313515229342009</v>
      </c>
      <c r="AU382" s="61">
        <f t="shared" si="277"/>
        <v>175.78356097185218</v>
      </c>
      <c r="AV382" s="58" t="str">
        <f t="shared" si="254"/>
        <v>0.051998212114635-0.076819363561666i</v>
      </c>
      <c r="AW382" s="64">
        <f t="shared" si="278"/>
        <v>-20.652476778013593</v>
      </c>
      <c r="AX382" s="61">
        <f t="shared" si="279"/>
        <v>-55.906345687945446</v>
      </c>
    </row>
    <row r="383" spans="14:50" x14ac:dyDescent="0.35">
      <c r="N383" s="10">
        <v>65</v>
      </c>
      <c r="O383" s="50">
        <f t="shared" si="244"/>
        <v>44668.359215096389</v>
      </c>
      <c r="P383" s="48" t="str">
        <f t="shared" si="245"/>
        <v>547.187404092767</v>
      </c>
      <c r="Q383" s="17" t="str">
        <f t="shared" si="246"/>
        <v>1+5382.58231346324i</v>
      </c>
      <c r="R383" s="17">
        <f t="shared" si="255"/>
        <v>5382.5824063554555</v>
      </c>
      <c r="S383" s="17">
        <f t="shared" si="256"/>
        <v>1.5706105423646255</v>
      </c>
      <c r="T383" s="17" t="str">
        <f t="shared" si="247"/>
        <v>1+0.101848885533302i</v>
      </c>
      <c r="U383" s="17">
        <f t="shared" si="257"/>
        <v>1.0051732166568983</v>
      </c>
      <c r="V383" s="17">
        <f t="shared" si="258"/>
        <v>0.10149889514257508</v>
      </c>
      <c r="W383" s="31" t="str">
        <f t="shared" si="248"/>
        <v>1-1.76863114908289i</v>
      </c>
      <c r="X383" s="17">
        <f t="shared" si="259"/>
        <v>2.0317618318853872</v>
      </c>
      <c r="Y383" s="17">
        <f t="shared" si="260"/>
        <v>-1.0561997962003218</v>
      </c>
      <c r="Z383" s="31" t="str">
        <f t="shared" si="249"/>
        <v>0.340409152076398+8.46230970701697i</v>
      </c>
      <c r="AA383" s="17">
        <f t="shared" si="261"/>
        <v>8.4691536748538816</v>
      </c>
      <c r="AB383" s="17">
        <f t="shared" si="262"/>
        <v>1.5305914975667188</v>
      </c>
      <c r="AC383" s="66" t="str">
        <f t="shared" si="263"/>
        <v>-0.0149619722674357+0.0194187842800672i</v>
      </c>
      <c r="AD383" s="64">
        <f t="shared" si="264"/>
        <v>-32.211618071586685</v>
      </c>
      <c r="AE383" s="61">
        <f t="shared" si="265"/>
        <v>127.61387936662696</v>
      </c>
      <c r="AF383" s="31" t="str">
        <f t="shared" si="250"/>
        <v>-6627.51882264077</v>
      </c>
      <c r="AG383" s="31" t="str">
        <f t="shared" si="266"/>
        <v>280659.578316114i</v>
      </c>
      <c r="AH383" s="31">
        <f t="shared" si="267"/>
        <v>280659.57831611403</v>
      </c>
      <c r="AI383" s="31">
        <f t="shared" si="268"/>
        <v>1.5707963267948966</v>
      </c>
      <c r="AJ383" s="31" t="str">
        <f t="shared" si="251"/>
        <v>-8.40038780079509+137.002569857119i</v>
      </c>
      <c r="AK383" s="31">
        <f t="shared" si="269"/>
        <v>137.25986544747346</v>
      </c>
      <c r="AL383" s="31">
        <f t="shared" si="270"/>
        <v>1.6320352082024425</v>
      </c>
      <c r="AM383" s="31" t="str">
        <f t="shared" si="252"/>
        <v>1+162.762909252864i</v>
      </c>
      <c r="AN383" s="31">
        <f t="shared" si="271"/>
        <v>162.7659811768296</v>
      </c>
      <c r="AO383" s="31">
        <f t="shared" si="272"/>
        <v>1.5646524981895427</v>
      </c>
      <c r="AP383" s="31" t="str">
        <f t="shared" si="253"/>
        <v>1+131.348682651941i</v>
      </c>
      <c r="AQ383" s="31">
        <f t="shared" si="273"/>
        <v>131.35248925848458</v>
      </c>
      <c r="AR383" s="31">
        <f t="shared" si="274"/>
        <v>1.5631831504798819</v>
      </c>
      <c r="AS383" s="58" t="str">
        <f t="shared" si="275"/>
        <v>-3.66781155921465+0.275587642748805i</v>
      </c>
      <c r="AT383" s="49">
        <f t="shared" si="276"/>
        <v>11.312589613832618</v>
      </c>
      <c r="AU383" s="61">
        <f t="shared" si="277"/>
        <v>175.70305223256761</v>
      </c>
      <c r="AV383" s="58" t="str">
        <f t="shared" si="254"/>
        <v>0.0495261178463584-0.0753477761163818i</v>
      </c>
      <c r="AW383" s="64">
        <f t="shared" si="278"/>
        <v>-20.899028457754063</v>
      </c>
      <c r="AX383" s="61">
        <f t="shared" si="279"/>
        <v>-56.683068400805439</v>
      </c>
    </row>
    <row r="384" spans="14:50" x14ac:dyDescent="0.35">
      <c r="N384" s="10">
        <v>66</v>
      </c>
      <c r="O384" s="50">
        <f t="shared" ref="O384:O418" si="280">10^(4+(N384/100))</f>
        <v>45708.818961487581</v>
      </c>
      <c r="P384" s="48" t="str">
        <f t="shared" si="245"/>
        <v>547.187404092767</v>
      </c>
      <c r="Q384" s="17" t="str">
        <f t="shared" si="246"/>
        <v>1+5507.95876174125i</v>
      </c>
      <c r="R384" s="17">
        <f t="shared" si="255"/>
        <v>5507.9588525189802</v>
      </c>
      <c r="S384" s="17">
        <f t="shared" si="256"/>
        <v>1.5706147713344676</v>
      </c>
      <c r="T384" s="17" t="str">
        <f t="shared" si="247"/>
        <v>1+0.104221250837833i</v>
      </c>
      <c r="U384" s="17">
        <f t="shared" si="257"/>
        <v>1.005416366052494</v>
      </c>
      <c r="V384" s="17">
        <f t="shared" si="258"/>
        <v>0.10384633840588826</v>
      </c>
      <c r="W384" s="31" t="str">
        <f t="shared" si="248"/>
        <v>1-1.80982786078597i</v>
      </c>
      <c r="X384" s="17">
        <f t="shared" si="259"/>
        <v>2.0677226326751663</v>
      </c>
      <c r="Y384" s="17">
        <f t="shared" si="260"/>
        <v>-1.0660060794589985</v>
      </c>
      <c r="Z384" s="31" t="str">
        <f t="shared" si="249"/>
        <v>0.309323593106101+8.65942222169984i</v>
      </c>
      <c r="AA384" s="17">
        <f t="shared" si="261"/>
        <v>8.6649451411374248</v>
      </c>
      <c r="AB384" s="17">
        <f t="shared" si="262"/>
        <v>1.5350904654891315</v>
      </c>
      <c r="AC384" s="66" t="str">
        <f t="shared" si="263"/>
        <v>-0.0143205848461681+0.0190534784333785i</v>
      </c>
      <c r="AD384" s="64">
        <f t="shared" si="264"/>
        <v>-32.455643624805845</v>
      </c>
      <c r="AE384" s="61">
        <f t="shared" si="265"/>
        <v>126.92850513858664</v>
      </c>
      <c r="AF384" s="31" t="str">
        <f t="shared" si="250"/>
        <v>-6627.51882264077</v>
      </c>
      <c r="AG384" s="31" t="str">
        <f t="shared" si="266"/>
        <v>287196.97970735i</v>
      </c>
      <c r="AH384" s="31">
        <f t="shared" si="267"/>
        <v>287196.97970735002</v>
      </c>
      <c r="AI384" s="31">
        <f t="shared" si="268"/>
        <v>1.5707963267948966</v>
      </c>
      <c r="AJ384" s="31" t="str">
        <f t="shared" si="251"/>
        <v>-8.84341442896188+140.193769659245i</v>
      </c>
      <c r="AK384" s="31">
        <f t="shared" si="269"/>
        <v>140.47241376879595</v>
      </c>
      <c r="AL384" s="31">
        <f t="shared" si="270"/>
        <v>1.6337927982318172</v>
      </c>
      <c r="AM384" s="31" t="str">
        <f t="shared" si="252"/>
        <v>1+166.554144441684i</v>
      </c>
      <c r="AN384" s="31">
        <f t="shared" si="271"/>
        <v>166.55714644139812</v>
      </c>
      <c r="AO384" s="31">
        <f t="shared" si="272"/>
        <v>1.5647923454025849</v>
      </c>
      <c r="AP384" s="31" t="str">
        <f t="shared" si="253"/>
        <v>1+134.40818650304i</v>
      </c>
      <c r="AQ384" s="31">
        <f t="shared" si="273"/>
        <v>134.41190646306592</v>
      </c>
      <c r="AR384" s="31">
        <f t="shared" si="274"/>
        <v>1.5633564410608825</v>
      </c>
      <c r="AS384" s="58" t="str">
        <f t="shared" si="275"/>
        <v>-3.6670008698244+0.28085402296217i</v>
      </c>
      <c r="AT384" s="49">
        <f t="shared" si="276"/>
        <v>11.311621382002357</v>
      </c>
      <c r="AU384" s="61">
        <f t="shared" si="277"/>
        <v>175.62029121577487</v>
      </c>
      <c r="AV384" s="58" t="str">
        <f t="shared" si="254"/>
        <v>0.0471623510178553-0.0738911158535968i</v>
      </c>
      <c r="AW384" s="64">
        <f t="shared" si="278"/>
        <v>-21.144022242803477</v>
      </c>
      <c r="AX384" s="61">
        <f t="shared" si="279"/>
        <v>-57.451203645638444</v>
      </c>
    </row>
    <row r="385" spans="14:50" x14ac:dyDescent="0.35">
      <c r="N385" s="10">
        <v>67</v>
      </c>
      <c r="O385" s="50">
        <f t="shared" si="280"/>
        <v>46773.514128719893</v>
      </c>
      <c r="P385" s="48" t="str">
        <f t="shared" si="245"/>
        <v>547.187404092767</v>
      </c>
      <c r="Q385" s="17" t="str">
        <f t="shared" si="246"/>
        <v>1+5636.25560266121i</v>
      </c>
      <c r="R385" s="17">
        <f t="shared" si="255"/>
        <v>5636.2556913725866</v>
      </c>
      <c r="S385" s="17">
        <f t="shared" si="256"/>
        <v>1.5706189040412097</v>
      </c>
      <c r="T385" s="17" t="str">
        <f t="shared" si="247"/>
        <v>1+0.106648875629089i</v>
      </c>
      <c r="U385" s="17">
        <f t="shared" si="257"/>
        <v>1.0056709117166256</v>
      </c>
      <c r="V385" s="17">
        <f t="shared" si="258"/>
        <v>0.10624727196575967</v>
      </c>
      <c r="W385" s="31" t="str">
        <f t="shared" si="248"/>
        <v>1-1.85198416717675i</v>
      </c>
      <c r="X385" s="17">
        <f t="shared" si="259"/>
        <v>2.1047197807483444</v>
      </c>
      <c r="Y385" s="17">
        <f t="shared" si="260"/>
        <v>-1.0756929340406904</v>
      </c>
      <c r="Z385" s="31" t="str">
        <f t="shared" si="249"/>
        <v>0.276773016876176+8.86112607666571i</v>
      </c>
      <c r="AA385" s="17">
        <f t="shared" si="261"/>
        <v>8.8654474590646455</v>
      </c>
      <c r="AB385" s="17">
        <f t="shared" si="262"/>
        <v>1.5395719585839835</v>
      </c>
      <c r="AC385" s="66" t="str">
        <f t="shared" si="263"/>
        <v>-0.0137072929908106+0.0186916212535005i</v>
      </c>
      <c r="AD385" s="64">
        <f t="shared" si="264"/>
        <v>-32.698101683116519</v>
      </c>
      <c r="AE385" s="61">
        <f t="shared" si="265"/>
        <v>126.2540451872643</v>
      </c>
      <c r="AF385" s="31" t="str">
        <f t="shared" si="250"/>
        <v>-6627.51882264077</v>
      </c>
      <c r="AG385" s="31" t="str">
        <f t="shared" si="266"/>
        <v>293886.65673873i</v>
      </c>
      <c r="AH385" s="31">
        <f t="shared" si="267"/>
        <v>293886.65673872997</v>
      </c>
      <c r="AI385" s="31">
        <f t="shared" si="268"/>
        <v>1.5707963267948966</v>
      </c>
      <c r="AJ385" s="31" t="str">
        <f t="shared" si="251"/>
        <v>-9.3073202588622+143.459302053727i</v>
      </c>
      <c r="AK385" s="31">
        <f t="shared" si="269"/>
        <v>143.76090412954247</v>
      </c>
      <c r="AL385" s="31">
        <f t="shared" si="270"/>
        <v>1.6355833043276011</v>
      </c>
      <c r="AM385" s="31" t="str">
        <f t="shared" si="252"/>
        <v>1+170.433688842492i</v>
      </c>
      <c r="AN385" s="31">
        <f t="shared" si="271"/>
        <v>170.4366225095398</v>
      </c>
      <c r="AO385" s="31">
        <f t="shared" si="272"/>
        <v>1.5649290095313448</v>
      </c>
      <c r="AP385" s="31" t="str">
        <f t="shared" si="253"/>
        <v>1+137.538955353725i</v>
      </c>
      <c r="AQ385" s="31">
        <f t="shared" si="273"/>
        <v>137.54259063938687</v>
      </c>
      <c r="AR385" s="31">
        <f t="shared" si="274"/>
        <v>1.5635257874984558</v>
      </c>
      <c r="AS385" s="58" t="str">
        <f t="shared" si="275"/>
        <v>-3.66615236328106+0.286263974344941i</v>
      </c>
      <c r="AT385" s="49">
        <f t="shared" si="276"/>
        <v>11.310608509355122</v>
      </c>
      <c r="AU385" s="61">
        <f t="shared" si="277"/>
        <v>175.53523588723129</v>
      </c>
      <c r="AV385" s="58" t="str">
        <f t="shared" si="254"/>
        <v>0.0449022868054688-0.0724502356011354i</v>
      </c>
      <c r="AW385" s="64">
        <f t="shared" si="278"/>
        <v>-21.387493173761388</v>
      </c>
      <c r="AX385" s="61">
        <f t="shared" si="279"/>
        <v>-58.210718925504409</v>
      </c>
    </row>
    <row r="386" spans="14:50" x14ac:dyDescent="0.35">
      <c r="N386" s="10">
        <v>68</v>
      </c>
      <c r="O386" s="50">
        <f t="shared" si="280"/>
        <v>47863.009232263823</v>
      </c>
      <c r="P386" s="48" t="str">
        <f t="shared" si="245"/>
        <v>547.187404092767</v>
      </c>
      <c r="Q386" s="17" t="str">
        <f t="shared" si="246"/>
        <v>1+5767.54086090634i</v>
      </c>
      <c r="R386" s="17">
        <f t="shared" si="255"/>
        <v>5767.5409475983988</v>
      </c>
      <c r="S386" s="17">
        <f t="shared" si="256"/>
        <v>1.5706229426760674</v>
      </c>
      <c r="T386" s="17" t="str">
        <f t="shared" si="247"/>
        <v>1+0.109133047065868i</v>
      </c>
      <c r="U386" s="17">
        <f t="shared" si="257"/>
        <v>1.0059373847123294</v>
      </c>
      <c r="V386" s="17">
        <f t="shared" si="258"/>
        <v>0.10870285804742219</v>
      </c>
      <c r="W386" s="31" t="str">
        <f t="shared" si="248"/>
        <v>1-1.89512242008688i</v>
      </c>
      <c r="X386" s="17">
        <f t="shared" si="259"/>
        <v>2.1427760002193308</v>
      </c>
      <c r="Y386" s="17">
        <f t="shared" si="260"/>
        <v>-1.0852582235396091</v>
      </c>
      <c r="Z386" s="31" t="str">
        <f t="shared" si="249"/>
        <v>0.242688379250322+9.06752821796825i</v>
      </c>
      <c r="AA386" s="17">
        <f t="shared" si="261"/>
        <v>9.0707753600821608</v>
      </c>
      <c r="AB386" s="17">
        <f t="shared" si="262"/>
        <v>1.5440381575279327</v>
      </c>
      <c r="AC386" s="66" t="str">
        <f t="shared" si="263"/>
        <v>-0.0131208969804758+0.0183334535724509i</v>
      </c>
      <c r="AD386" s="64">
        <f t="shared" si="264"/>
        <v>-32.939025689855882</v>
      </c>
      <c r="AE386" s="61">
        <f t="shared" si="265"/>
        <v>125.59056344117941</v>
      </c>
      <c r="AF386" s="31" t="str">
        <f t="shared" si="250"/>
        <v>-6627.51882264077</v>
      </c>
      <c r="AG386" s="31" t="str">
        <f t="shared" si="266"/>
        <v>300732.156365561i</v>
      </c>
      <c r="AH386" s="31">
        <f t="shared" si="267"/>
        <v>300732.15636556101</v>
      </c>
      <c r="AI386" s="31">
        <f t="shared" si="268"/>
        <v>1.5707963267948966</v>
      </c>
      <c r="AJ386" s="31" t="str">
        <f t="shared" si="251"/>
        <v>-9.7930892969579+146.800898469067i</v>
      </c>
      <c r="AK386" s="31">
        <f t="shared" si="269"/>
        <v>147.12718439942873</v>
      </c>
      <c r="AL386" s="31">
        <f t="shared" si="270"/>
        <v>1.6374076412633238</v>
      </c>
      <c r="AM386" s="31" t="str">
        <f t="shared" si="252"/>
        <v>1+174.40359944108i</v>
      </c>
      <c r="AN386" s="31">
        <f t="shared" si="271"/>
        <v>174.40646633082352</v>
      </c>
      <c r="AO386" s="31">
        <f t="shared" si="272"/>
        <v>1.5650625630165209</v>
      </c>
      <c r="AP386" s="31" t="str">
        <f t="shared" si="253"/>
        <v>1+140.742649179082i</v>
      </c>
      <c r="AQ386" s="31">
        <f t="shared" si="273"/>
        <v>140.74620171765261</v>
      </c>
      <c r="AR386" s="31">
        <f t="shared" si="274"/>
        <v>1.5636912795434494</v>
      </c>
      <c r="AS386" s="58" t="str">
        <f t="shared" si="275"/>
        <v>-3.66526429382055+0.291819987295056i</v>
      </c>
      <c r="AT386" s="49">
        <f t="shared" si="276"/>
        <v>11.309548879508071</v>
      </c>
      <c r="AU386" s="61">
        <f t="shared" si="277"/>
        <v>175.44784312716553</v>
      </c>
      <c r="AV386" s="58" t="str">
        <f t="shared" si="254"/>
        <v>0.0427414870168487-0.0710258927516633i</v>
      </c>
      <c r="AW386" s="64">
        <f t="shared" si="278"/>
        <v>-21.629476810347814</v>
      </c>
      <c r="AX386" s="61">
        <f t="shared" si="279"/>
        <v>-58.961593431655082</v>
      </c>
    </row>
    <row r="387" spans="14:50" x14ac:dyDescent="0.35">
      <c r="N387" s="10">
        <v>69</v>
      </c>
      <c r="O387" s="50">
        <f t="shared" si="280"/>
        <v>48977.881936844598</v>
      </c>
      <c r="P387" s="48" t="str">
        <f t="shared" si="245"/>
        <v>547.187404092767</v>
      </c>
      <c r="Q387" s="17" t="str">
        <f t="shared" si="246"/>
        <v>1+5901.88414565836i</v>
      </c>
      <c r="R387" s="17">
        <f t="shared" si="255"/>
        <v>5901.8842303770671</v>
      </c>
      <c r="S387" s="17">
        <f t="shared" si="256"/>
        <v>1.5706268893803776</v>
      </c>
      <c r="T387" s="17" t="str">
        <f t="shared" si="247"/>
        <v>1+0.111675082288748i</v>
      </c>
      <c r="U387" s="17">
        <f t="shared" si="257"/>
        <v>1.0062163405571383</v>
      </c>
      <c r="V387" s="17">
        <f t="shared" si="258"/>
        <v>0.1112142801150746</v>
      </c>
      <c r="W387" s="31" t="str">
        <f t="shared" si="248"/>
        <v>1-1.93926549198904i</v>
      </c>
      <c r="X387" s="17">
        <f t="shared" si="259"/>
        <v>2.1819144457149307</v>
      </c>
      <c r="Y387" s="17">
        <f t="shared" si="260"/>
        <v>-1.094700017389626</v>
      </c>
      <c r="Z387" s="31" t="str">
        <f t="shared" si="249"/>
        <v>0.206997382142319+9.27873808275489i</v>
      </c>
      <c r="AA387" s="17">
        <f t="shared" si="261"/>
        <v>9.2810467256974665</v>
      </c>
      <c r="AB387" s="17">
        <f t="shared" si="262"/>
        <v>1.548491240593745</v>
      </c>
      <c r="AC387" s="66" t="str">
        <f t="shared" si="263"/>
        <v>-0.0125602454641885+0.0179791904877173i</v>
      </c>
      <c r="AD387" s="64">
        <f t="shared" si="264"/>
        <v>-33.178449406431831</v>
      </c>
      <c r="AE387" s="61">
        <f t="shared" si="265"/>
        <v>124.9381133926012</v>
      </c>
      <c r="AF387" s="31" t="str">
        <f t="shared" si="250"/>
        <v>-6627.51882264077</v>
      </c>
      <c r="AG387" s="31" t="str">
        <f t="shared" si="266"/>
        <v>307737.108162358i</v>
      </c>
      <c r="AH387" s="31">
        <f t="shared" si="267"/>
        <v>307737.108162358</v>
      </c>
      <c r="AI387" s="31">
        <f t="shared" si="268"/>
        <v>1.5707963267948966</v>
      </c>
      <c r="AJ387" s="31" t="str">
        <f t="shared" si="251"/>
        <v>-10.3017519245072+150.220330663914i</v>
      </c>
      <c r="AK387" s="31">
        <f t="shared" si="269"/>
        <v>150.5731511176204</v>
      </c>
      <c r="AL387" s="31">
        <f t="shared" si="270"/>
        <v>1.6392667393082436</v>
      </c>
      <c r="AM387" s="31" t="str">
        <f t="shared" si="252"/>
        <v>1+178.465981136596i</v>
      </c>
      <c r="AN387" s="31">
        <f t="shared" si="271"/>
        <v>178.46878276899815</v>
      </c>
      <c r="AO387" s="31">
        <f t="shared" si="272"/>
        <v>1.5651930766508706</v>
      </c>
      <c r="AP387" s="31" t="str">
        <f t="shared" si="253"/>
        <v>1+144.020966619983i</v>
      </c>
      <c r="AQ387" s="31">
        <f t="shared" si="273"/>
        <v>144.02443829487501</v>
      </c>
      <c r="AR387" s="31">
        <f t="shared" si="274"/>
        <v>1.5638530049056565</v>
      </c>
      <c r="AS387" s="58" t="str">
        <f t="shared" si="275"/>
        <v>-3.66433483691736+0.297524603098205i</v>
      </c>
      <c r="AT387" s="49">
        <f t="shared" si="276"/>
        <v>11.308440279970323</v>
      </c>
      <c r="AU387" s="61">
        <f t="shared" si="277"/>
        <v>175.35806871660242</v>
      </c>
      <c r="AV387" s="58" t="str">
        <f t="shared" si="254"/>
        <v>0.0406756935007741-0.0696187560902644i</v>
      </c>
      <c r="AW387" s="64">
        <f t="shared" si="278"/>
        <v>-21.870009126461511</v>
      </c>
      <c r="AX387" s="61">
        <f t="shared" si="279"/>
        <v>-59.703817890796323</v>
      </c>
    </row>
    <row r="388" spans="14:50" x14ac:dyDescent="0.35">
      <c r="N388" s="10">
        <v>70</v>
      </c>
      <c r="O388" s="50">
        <f t="shared" si="280"/>
        <v>50118.723362727294</v>
      </c>
      <c r="P388" s="48" t="str">
        <f t="shared" si="245"/>
        <v>547.187404092767</v>
      </c>
      <c r="Q388" s="17" t="str">
        <f t="shared" si="246"/>
        <v>1+6039.35668750509i</v>
      </c>
      <c r="R388" s="17">
        <f t="shared" si="255"/>
        <v>6039.3567702953651</v>
      </c>
      <c r="S388" s="17">
        <f t="shared" si="256"/>
        <v>1.570630746246735</v>
      </c>
      <c r="T388" s="17" t="str">
        <f t="shared" si="247"/>
        <v>1+0.114276329118453i</v>
      </c>
      <c r="U388" s="17">
        <f t="shared" si="257"/>
        <v>1.0065083603213583</v>
      </c>
      <c r="V388" s="17">
        <f t="shared" si="258"/>
        <v>0.11378274296798915</v>
      </c>
      <c r="W388" s="31" t="str">
        <f t="shared" si="248"/>
        <v>1-1.98443678812428i</v>
      </c>
      <c r="X388" s="17">
        <f t="shared" si="259"/>
        <v>2.2221587175674489</v>
      </c>
      <c r="Y388" s="17">
        <f t="shared" si="260"/>
        <v>-1.1040165871926759</v>
      </c>
      <c r="Z388" s="31" t="str">
        <f t="shared" si="249"/>
        <v>0.16962432016212+9.49486765729165i</v>
      </c>
      <c r="AA388" s="17">
        <f t="shared" si="261"/>
        <v>9.4963826923452004</v>
      </c>
      <c r="AB388" s="17">
        <f t="shared" si="262"/>
        <v>1.552933383951443</v>
      </c>
      <c r="AC388" s="66" t="str">
        <f t="shared" si="263"/>
        <v>-0.0120242337550651+0.0176290231966915i</v>
      </c>
      <c r="AD388" s="64">
        <f t="shared" si="264"/>
        <v>-33.416406807572152</v>
      </c>
      <c r="AE388" s="61">
        <f t="shared" si="265"/>
        <v>124.29673829610275</v>
      </c>
      <c r="AF388" s="31" t="str">
        <f t="shared" si="250"/>
        <v>-6627.51882264077</v>
      </c>
      <c r="AG388" s="31" t="str">
        <f t="shared" si="266"/>
        <v>314905.226247286i</v>
      </c>
      <c r="AH388" s="31">
        <f t="shared" si="267"/>
        <v>314905.22624728602</v>
      </c>
      <c r="AI388" s="31">
        <f t="shared" si="268"/>
        <v>1.5707963267948966</v>
      </c>
      <c r="AJ388" s="31" t="str">
        <f t="shared" si="251"/>
        <v>-10.8343870831407+153.719411666482i</v>
      </c>
      <c r="AK388" s="31">
        <f t="shared" si="269"/>
        <v>154.10075102528438</v>
      </c>
      <c r="AL388" s="31">
        <f t="shared" si="270"/>
        <v>1.6411615445488064</v>
      </c>
      <c r="AM388" s="31" t="str">
        <f t="shared" si="252"/>
        <v>1+182.622987857589i</v>
      </c>
      <c r="AN388" s="31">
        <f t="shared" si="271"/>
        <v>182.62572571801897</v>
      </c>
      <c r="AO388" s="31">
        <f t="shared" si="272"/>
        <v>1.5653206196166554</v>
      </c>
      <c r="AP388" s="31" t="str">
        <f t="shared" si="253"/>
        <v>1+147.37564588373i</v>
      </c>
      <c r="AQ388" s="31">
        <f t="shared" si="273"/>
        <v>147.37903853549386</v>
      </c>
      <c r="AR388" s="31">
        <f t="shared" si="274"/>
        <v>1.5640110493001451</v>
      </c>
      <c r="AS388" s="58" t="str">
        <f t="shared" si="275"/>
        <v>-3.66336208590364+0.303380413433891i</v>
      </c>
      <c r="AT388" s="49">
        <f t="shared" si="276"/>
        <v>11.307280397742655</v>
      </c>
      <c r="AU388" s="61">
        <f t="shared" si="277"/>
        <v>175.26586732374489</v>
      </c>
      <c r="AV388" s="58" t="str">
        <f t="shared" si="254"/>
        <v>0.0387008217045003-0.0682294121981128i</v>
      </c>
      <c r="AW388" s="64">
        <f t="shared" si="278"/>
        <v>-22.1091264098295</v>
      </c>
      <c r="AX388" s="61">
        <f t="shared" si="279"/>
        <v>-60.437394380152369</v>
      </c>
    </row>
    <row r="389" spans="14:50" x14ac:dyDescent="0.35">
      <c r="N389" s="10">
        <v>71</v>
      </c>
      <c r="O389" s="50">
        <f t="shared" si="280"/>
        <v>51286.138399136544</v>
      </c>
      <c r="P389" s="48" t="str">
        <f t="shared" si="245"/>
        <v>547.187404092767</v>
      </c>
      <c r="Q389" s="17" t="str">
        <f t="shared" si="246"/>
        <v>1+6180.03137620789i</v>
      </c>
      <c r="R389" s="17">
        <f t="shared" si="255"/>
        <v>6180.0314571136278</v>
      </c>
      <c r="S389" s="17">
        <f t="shared" si="256"/>
        <v>1.5706345153201002</v>
      </c>
      <c r="T389" s="17" t="str">
        <f t="shared" si="247"/>
        <v>1+0.116938166770482i</v>
      </c>
      <c r="U389" s="17">
        <f t="shared" si="257"/>
        <v>1.0068140517730377</v>
      </c>
      <c r="V389" s="17">
        <f t="shared" si="258"/>
        <v>0.11640947281254119</v>
      </c>
      <c r="W389" s="31" t="str">
        <f t="shared" si="248"/>
        <v>1-2.03066025891171i</v>
      </c>
      <c r="X389" s="17">
        <f t="shared" si="259"/>
        <v>2.2635328774116297</v>
      </c>
      <c r="Y389" s="17">
        <f t="shared" si="260"/>
        <v>-1.1132064024973607</v>
      </c>
      <c r="Z389" s="31" t="str">
        <f t="shared" si="249"/>
        <v>0.130489920034579+9.71603153633975i</v>
      </c>
      <c r="AA389" s="17">
        <f t="shared" si="261"/>
        <v>9.7169077609278141</v>
      </c>
      <c r="AB389" s="17">
        <f t="shared" si="262"/>
        <v>1.5573667619881606</v>
      </c>
      <c r="AC389" s="66" t="str">
        <f t="shared" si="263"/>
        <v>-0.0115118021621748+0.0172831207168641i</v>
      </c>
      <c r="AD389" s="64">
        <f t="shared" si="264"/>
        <v>-33.652931981232186</v>
      </c>
      <c r="AE389" s="61">
        <f t="shared" si="265"/>
        <v>123.66647139616707</v>
      </c>
      <c r="AF389" s="31" t="str">
        <f t="shared" si="250"/>
        <v>-6627.51882264077</v>
      </c>
      <c r="AG389" s="31" t="str">
        <f t="shared" si="266"/>
        <v>322240.311251434i</v>
      </c>
      <c r="AH389" s="31">
        <f t="shared" si="267"/>
        <v>322240.31125143397</v>
      </c>
      <c r="AI389" s="31">
        <f t="shared" si="268"/>
        <v>1.5707963267948966</v>
      </c>
      <c r="AJ389" s="31" t="str">
        <f t="shared" si="251"/>
        <v>-11.3921245634415+157.299996735831i</v>
      </c>
      <c r="AK389" s="31">
        <f t="shared" si="269"/>
        <v>157.71198266194429</v>
      </c>
      <c r="AL389" s="31">
        <f t="shared" si="270"/>
        <v>1.6430930192066238</v>
      </c>
      <c r="AM389" s="31" t="str">
        <f t="shared" si="252"/>
        <v>1+186.876823704044i</v>
      </c>
      <c r="AN389" s="31">
        <f t="shared" si="271"/>
        <v>186.87949924406462</v>
      </c>
      <c r="AO389" s="31">
        <f t="shared" si="272"/>
        <v>1.5654452595222361</v>
      </c>
      <c r="AP389" s="31" t="str">
        <f t="shared" si="253"/>
        <v>1+150.808465665671i</v>
      </c>
      <c r="AQ389" s="31">
        <f t="shared" si="273"/>
        <v>150.81178109296991</v>
      </c>
      <c r="AR389" s="31">
        <f t="shared" si="274"/>
        <v>1.5641654964925464</v>
      </c>
      <c r="AS389" s="58" t="str">
        <f t="shared" si="275"/>
        <v>-3.66234404846021+0.309390059783527i</v>
      </c>
      <c r="AT389" s="49">
        <f t="shared" si="276"/>
        <v>11.306066814732141</v>
      </c>
      <c r="AU389" s="61">
        <f t="shared" si="277"/>
        <v>175.1711924904464</v>
      </c>
      <c r="AV389" s="58" t="str">
        <f t="shared" si="254"/>
        <v>0.0368129543838558-0.066858371455398i</v>
      </c>
      <c r="AW389" s="64">
        <f t="shared" si="278"/>
        <v>-22.346865166500042</v>
      </c>
      <c r="AX389" s="61">
        <f t="shared" si="279"/>
        <v>-61.162336113386523</v>
      </c>
    </row>
    <row r="390" spans="14:50" x14ac:dyDescent="0.35">
      <c r="N390" s="10">
        <v>72</v>
      </c>
      <c r="O390" s="50">
        <f t="shared" si="280"/>
        <v>52480.746024977314</v>
      </c>
      <c r="P390" s="48" t="str">
        <f t="shared" si="245"/>
        <v>547.187404092767</v>
      </c>
      <c r="Q390" s="17" t="str">
        <f t="shared" si="246"/>
        <v>1+6323.98279934871i</v>
      </c>
      <c r="R390" s="17">
        <f t="shared" si="255"/>
        <v>6323.9828784128085</v>
      </c>
      <c r="S390" s="17">
        <f t="shared" si="256"/>
        <v>1.5706381985988858</v>
      </c>
      <c r="T390" s="17" t="str">
        <f t="shared" si="247"/>
        <v>1+0.119662006586393i</v>
      </c>
      <c r="U390" s="17">
        <f t="shared" si="257"/>
        <v>1.0071340505713637</v>
      </c>
      <c r="V390" s="17">
        <f t="shared" si="258"/>
        <v>0.11909571730798749</v>
      </c>
      <c r="W390" s="31" t="str">
        <f t="shared" si="248"/>
        <v>1-2.07796041264737i</v>
      </c>
      <c r="X390" s="17">
        <f t="shared" si="259"/>
        <v>2.3060614641699444</v>
      </c>
      <c r="Y390" s="17">
        <f t="shared" si="260"/>
        <v>-1.1222681260832408</v>
      </c>
      <c r="Z390" s="31" t="str">
        <f t="shared" si="249"/>
        <v>0.089511172450191+9.94234698391527i</v>
      </c>
      <c r="AA390" s="17">
        <f t="shared" si="261"/>
        <v>9.9427499112952891</v>
      </c>
      <c r="AB390" s="17">
        <f t="shared" si="262"/>
        <v>1.5617935476435096</v>
      </c>
      <c r="AC390" s="66" t="str">
        <f t="shared" si="263"/>
        <v>-0.0110219343615083+0.0169416314980982i</v>
      </c>
      <c r="AD390" s="64">
        <f t="shared" si="264"/>
        <v>-33.888059033352377</v>
      </c>
      <c r="AE390" s="61">
        <f t="shared" si="265"/>
        <v>123.04733618072156</v>
      </c>
      <c r="AF390" s="31" t="str">
        <f t="shared" si="250"/>
        <v>-6627.51882264077</v>
      </c>
      <c r="AG390" s="31" t="str">
        <f t="shared" si="266"/>
        <v>329746.252333961i</v>
      </c>
      <c r="AH390" s="31">
        <f t="shared" si="267"/>
        <v>329746.25233396102</v>
      </c>
      <c r="AI390" s="31">
        <f t="shared" si="268"/>
        <v>1.5707963267948966</v>
      </c>
      <c r="AJ390" s="31" t="str">
        <f t="shared" si="251"/>
        <v>-11.9761474013824+160.963984345561i</v>
      </c>
      <c r="AK390" s="31">
        <f t="shared" si="269"/>
        <v>161.40889802912861</v>
      </c>
      <c r="AL390" s="31">
        <f t="shared" si="270"/>
        <v>1.6450621419523122</v>
      </c>
      <c r="AM390" s="31" t="str">
        <f t="shared" si="252"/>
        <v>1+191.229744116034i</v>
      </c>
      <c r="AN390" s="31">
        <f t="shared" si="271"/>
        <v>191.23235875417066</v>
      </c>
      <c r="AO390" s="31">
        <f t="shared" si="272"/>
        <v>1.5655670624378413</v>
      </c>
      <c r="AP390" s="31" t="str">
        <f t="shared" si="253"/>
        <v>1+154.321246092294i</v>
      </c>
      <c r="AQ390" s="31">
        <f t="shared" si="273"/>
        <v>154.32448605285671</v>
      </c>
      <c r="AR390" s="31">
        <f t="shared" si="274"/>
        <v>1.5643164283433155</v>
      </c>
      <c r="AS390" s="58" t="str">
        <f t="shared" si="275"/>
        <v>-3.66127864297623+0.315556232732054i</v>
      </c>
      <c r="AT390" s="49">
        <f t="shared" si="276"/>
        <v>11.304797002974459</v>
      </c>
      <c r="AU390" s="61">
        <f t="shared" si="277"/>
        <v>175.07399661881499</v>
      </c>
      <c r="AV390" s="58" t="str">
        <f t="shared" si="254"/>
        <v>0.0350083354702016-0.0655060736656979i</v>
      </c>
      <c r="AW390" s="64">
        <f t="shared" si="278"/>
        <v>-22.583262030377917</v>
      </c>
      <c r="AX390" s="61">
        <f t="shared" si="279"/>
        <v>-61.878667200463497</v>
      </c>
    </row>
    <row r="391" spans="14:50" x14ac:dyDescent="0.35">
      <c r="N391" s="10">
        <v>73</v>
      </c>
      <c r="O391" s="50">
        <f t="shared" si="280"/>
        <v>53703.179637025423</v>
      </c>
      <c r="P391" s="48" t="str">
        <f t="shared" si="245"/>
        <v>547.187404092767</v>
      </c>
      <c r="Q391" s="17" t="str">
        <f t="shared" si="246"/>
        <v>1+6471.28728187757i</v>
      </c>
      <c r="R391" s="17">
        <f t="shared" si="255"/>
        <v>6471.2873591419511</v>
      </c>
      <c r="S391" s="17">
        <f t="shared" si="256"/>
        <v>1.5706417980360141</v>
      </c>
      <c r="T391" s="17" t="str">
        <f t="shared" si="247"/>
        <v>1+0.122449292782109i</v>
      </c>
      <c r="U391" s="17">
        <f t="shared" si="257"/>
        <v>1.0074690215102591</v>
      </c>
      <c r="V391" s="17">
        <f t="shared" si="258"/>
        <v>0.12184274558364937</v>
      </c>
      <c r="W391" s="31" t="str">
        <f t="shared" si="248"/>
        <v>1-2.12636232849888i</v>
      </c>
      <c r="X391" s="17">
        <f t="shared" si="259"/>
        <v>2.3497695104114316</v>
      </c>
      <c r="Y391" s="17">
        <f t="shared" si="260"/>
        <v>-1.1312006088059667</v>
      </c>
      <c r="Z391" s="31" t="str">
        <f t="shared" si="249"/>
        <v>0.046601155991201+10.1739339954642i</v>
      </c>
      <c r="AA391" s="17">
        <f t="shared" si="261"/>
        <v>10.17404072194533</v>
      </c>
      <c r="AB391" s="17">
        <f t="shared" si="262"/>
        <v>1.5662159127573072</v>
      </c>
      <c r="AC391" s="66" t="str">
        <f t="shared" si="263"/>
        <v>-0.0105536558071769+0.0166046849330108i</v>
      </c>
      <c r="AD391" s="64">
        <f t="shared" si="264"/>
        <v>-34.121821997613246</v>
      </c>
      <c r="AE391" s="61">
        <f t="shared" si="265"/>
        <v>122.43934665749187</v>
      </c>
      <c r="AF391" s="31" t="str">
        <f t="shared" si="250"/>
        <v>-6627.51882264077</v>
      </c>
      <c r="AG391" s="31" t="str">
        <f t="shared" si="266"/>
        <v>337427.029244184i</v>
      </c>
      <c r="AH391" s="31">
        <f t="shared" si="267"/>
        <v>337427.02924418403</v>
      </c>
      <c r="AI391" s="31">
        <f t="shared" si="268"/>
        <v>1.5707963267948966</v>
      </c>
      <c r="AJ391" s="31" t="str">
        <f t="shared" si="251"/>
        <v>-12.587694387704+164.713317190402i</v>
      </c>
      <c r="AK391" s="31">
        <f t="shared" si="269"/>
        <v>165.19360432493809</v>
      </c>
      <c r="AL391" s="31">
        <f t="shared" si="270"/>
        <v>1.6470699082145155</v>
      </c>
      <c r="AM391" s="31" t="str">
        <f t="shared" si="252"/>
        <v>1+195.68405706958i</v>
      </c>
      <c r="AN391" s="31">
        <f t="shared" si="271"/>
        <v>195.68661219207269</v>
      </c>
      <c r="AO391" s="31">
        <f t="shared" si="272"/>
        <v>1.5656860929305241</v>
      </c>
      <c r="AP391" s="31" t="str">
        <f t="shared" si="253"/>
        <v>1+157.915849686278i</v>
      </c>
      <c r="AQ391" s="31">
        <f t="shared" si="273"/>
        <v>157.91901589783018</v>
      </c>
      <c r="AR391" s="31">
        <f t="shared" si="274"/>
        <v>1.5644639248509957</v>
      </c>
      <c r="AS391" s="58" t="str">
        <f t="shared" si="275"/>
        <v>-3.66016369477404+0.32188167115418i</v>
      </c>
      <c r="AT391" s="49">
        <f t="shared" si="276"/>
        <v>11.303468319655599</v>
      </c>
      <c r="AU391" s="61">
        <f t="shared" si="277"/>
        <v>174.97423095798905</v>
      </c>
      <c r="AV391" s="58" t="str">
        <f t="shared" si="254"/>
        <v>0.033283364097344-0.0641728933229678i</v>
      </c>
      <c r="AW391" s="64">
        <f t="shared" si="278"/>
        <v>-22.818353677957642</v>
      </c>
      <c r="AX391" s="61">
        <f t="shared" si="279"/>
        <v>-62.586422384519089</v>
      </c>
    </row>
    <row r="392" spans="14:50" x14ac:dyDescent="0.35">
      <c r="N392" s="10">
        <v>74</v>
      </c>
      <c r="O392" s="50">
        <f t="shared" si="280"/>
        <v>54954.087385762505</v>
      </c>
      <c r="P392" s="48" t="str">
        <f t="shared" si="245"/>
        <v>547.187404092767</v>
      </c>
      <c r="Q392" s="17" t="str">
        <f t="shared" si="246"/>
        <v>1+6622.02292658087i</v>
      </c>
      <c r="R392" s="17">
        <f t="shared" si="255"/>
        <v>6622.0230020864974</v>
      </c>
      <c r="S392" s="17">
        <f t="shared" si="256"/>
        <v>1.5706453155399545</v>
      </c>
      <c r="T392" s="17" t="str">
        <f t="shared" si="247"/>
        <v>1+0.125301503213666i</v>
      </c>
      <c r="U392" s="17">
        <f t="shared" si="257"/>
        <v>1.0078196598139988</v>
      </c>
      <c r="V392" s="17">
        <f t="shared" si="258"/>
        <v>0.12465184822505548</v>
      </c>
      <c r="W392" s="31" t="str">
        <f t="shared" si="248"/>
        <v>1-2.17589166980269i</v>
      </c>
      <c r="X392" s="17">
        <f t="shared" si="259"/>
        <v>2.3946825590705627</v>
      </c>
      <c r="Y392" s="17">
        <f t="shared" si="260"/>
        <v>-1.1400028840576253</v>
      </c>
      <c r="Z392" s="31" t="str">
        <f t="shared" si="249"/>
        <v>0.001668852759658+10.4109153614854i</v>
      </c>
      <c r="AA392" s="17">
        <f t="shared" si="261"/>
        <v>10.410915495242588</v>
      </c>
      <c r="AB392" s="17">
        <f t="shared" si="262"/>
        <v>1.5706360284265575</v>
      </c>
      <c r="AC392" s="66" t="str">
        <f t="shared" si="263"/>
        <v>-0.0101060321836978+0.016272392771226i</v>
      </c>
      <c r="AD392" s="64">
        <f t="shared" si="264"/>
        <v>-34.354254750285698</v>
      </c>
      <c r="AE392" s="61">
        <f t="shared" si="265"/>
        <v>121.84250765009325</v>
      </c>
      <c r="AF392" s="31" t="str">
        <f t="shared" si="250"/>
        <v>-6627.51882264077</v>
      </c>
      <c r="AG392" s="31" t="str">
        <f t="shared" si="266"/>
        <v>345286.714431686i</v>
      </c>
      <c r="AH392" s="31">
        <f t="shared" si="267"/>
        <v>345286.71443168598</v>
      </c>
      <c r="AI392" s="31">
        <f t="shared" si="268"/>
        <v>1.5707963267948966</v>
      </c>
      <c r="AJ392" s="31" t="str">
        <f t="shared" si="251"/>
        <v>-13.2280626955559+168.549983216255i</v>
      </c>
      <c r="AK392" s="31">
        <f t="shared" si="269"/>
        <v>169.06826575344468</v>
      </c>
      <c r="AL392" s="31">
        <f t="shared" si="270"/>
        <v>1.6491173304833557</v>
      </c>
      <c r="AM392" s="31" t="str">
        <f t="shared" si="252"/>
        <v>1+200.242124300368i</v>
      </c>
      <c r="AN392" s="31">
        <f t="shared" si="271"/>
        <v>200.24462126190562</v>
      </c>
      <c r="AO392" s="31">
        <f t="shared" si="272"/>
        <v>1.5658024140983278</v>
      </c>
      <c r="AP392" s="31" t="str">
        <f t="shared" si="253"/>
        <v>1+161.594182354029i</v>
      </c>
      <c r="AQ392" s="31">
        <f t="shared" si="273"/>
        <v>161.59727649520329</v>
      </c>
      <c r="AR392" s="31">
        <f t="shared" si="274"/>
        <v>1.5646080641945024</v>
      </c>
      <c r="AS392" s="58" t="str">
        <f t="shared" si="275"/>
        <v>-3.65899693219706+0.328369161275726i</v>
      </c>
      <c r="AT392" s="49">
        <f t="shared" si="276"/>
        <v>11.302078001927459</v>
      </c>
      <c r="AU392" s="61">
        <f t="shared" si="277"/>
        <v>174.87184559113132</v>
      </c>
      <c r="AV392" s="58" t="str">
        <f t="shared" si="254"/>
        <v>0.0316345887905983-0.0628591445414079i</v>
      </c>
      <c r="AW392" s="64">
        <f t="shared" si="278"/>
        <v>-23.052176748358239</v>
      </c>
      <c r="AX392" s="61">
        <f t="shared" si="279"/>
        <v>-63.285646758775471</v>
      </c>
    </row>
    <row r="393" spans="14:50" x14ac:dyDescent="0.35">
      <c r="N393" s="10">
        <v>75</v>
      </c>
      <c r="O393" s="50">
        <f t="shared" si="280"/>
        <v>56234.132519034953</v>
      </c>
      <c r="P393" s="48" t="str">
        <f t="shared" si="245"/>
        <v>547.187404092767</v>
      </c>
      <c r="Q393" s="17" t="str">
        <f t="shared" si="246"/>
        <v>1+6776.26965549269i</v>
      </c>
      <c r="R393" s="17">
        <f t="shared" si="255"/>
        <v>6776.2697292795992</v>
      </c>
      <c r="S393" s="17">
        <f t="shared" si="256"/>
        <v>1.5706487529757334</v>
      </c>
      <c r="T393" s="17" t="str">
        <f t="shared" si="247"/>
        <v>1+0.128220150160789i</v>
      </c>
      <c r="U393" s="17">
        <f t="shared" si="257"/>
        <v>1.0081866924866918</v>
      </c>
      <c r="V393" s="17">
        <f t="shared" si="258"/>
        <v>0.12752433722640677</v>
      </c>
      <c r="W393" s="31" t="str">
        <f t="shared" si="248"/>
        <v>1-2.22657469767116i</v>
      </c>
      <c r="X393" s="17">
        <f t="shared" si="259"/>
        <v>2.4408266805140872</v>
      </c>
      <c r="Y393" s="17">
        <f t="shared" si="260"/>
        <v>-1.1486741618954945</v>
      </c>
      <c r="Z393" s="31" t="str">
        <f t="shared" si="249"/>
        <v>-0.0453810446837699+10.6534167326361i</v>
      </c>
      <c r="AA393" s="17">
        <f t="shared" si="261"/>
        <v>10.653513388475533</v>
      </c>
      <c r="AB393" s="17">
        <f t="shared" si="262"/>
        <v>1.5750560653686343</v>
      </c>
      <c r="AC393" s="66" t="str">
        <f t="shared" si="263"/>
        <v>-0.0096781678999736+0.0159448504429879i</v>
      </c>
      <c r="AD393" s="64">
        <f t="shared" si="264"/>
        <v>-34.585390930235278</v>
      </c>
      <c r="AE393" s="61">
        <f t="shared" si="265"/>
        <v>121.25681511083774</v>
      </c>
      <c r="AF393" s="31" t="str">
        <f t="shared" si="250"/>
        <v>-6627.51882264077</v>
      </c>
      <c r="AG393" s="31" t="str">
        <f t="shared" si="266"/>
        <v>353329.47520559i</v>
      </c>
      <c r="AH393" s="31">
        <f t="shared" si="267"/>
        <v>353329.47520559002</v>
      </c>
      <c r="AI393" s="31">
        <f t="shared" si="268"/>
        <v>1.5707963267948966</v>
      </c>
      <c r="AJ393" s="31" t="str">
        <f t="shared" si="251"/>
        <v>-13.8986106319746+172.476016674233i</v>
      </c>
      <c r="AK393" s="31">
        <f t="shared" si="269"/>
        <v>173.03510541306218</v>
      </c>
      <c r="AL393" s="31">
        <f t="shared" si="270"/>
        <v>1.6512054386074995</v>
      </c>
      <c r="AM393" s="31" t="str">
        <f t="shared" si="252"/>
        <v>1+204.906362555978i</v>
      </c>
      <c r="AN393" s="31">
        <f t="shared" si="271"/>
        <v>204.90880268041661</v>
      </c>
      <c r="AO393" s="31">
        <f t="shared" si="272"/>
        <v>1.5659160876036773</v>
      </c>
      <c r="AP393" s="31" t="str">
        <f t="shared" si="253"/>
        <v>1+165.358194396216i</v>
      </c>
      <c r="AQ393" s="31">
        <f t="shared" si="273"/>
        <v>165.36121810744126</v>
      </c>
      <c r="AR393" s="31">
        <f t="shared" si="274"/>
        <v>1.564748922774452</v>
      </c>
      <c r="AS393" s="58" t="str">
        <f t="shared" si="275"/>
        <v>-3.65777598255703+0.335021535599917i</v>
      </c>
      <c r="AT393" s="49">
        <f t="shared" si="276"/>
        <v>11.300623161507524</v>
      </c>
      <c r="AU393" s="61">
        <f t="shared" si="277"/>
        <v>174.76678942268919</v>
      </c>
      <c r="AV393" s="58" t="str">
        <f t="shared" si="254"/>
        <v>0.030058701819357-0.0615650856674679i</v>
      </c>
      <c r="AW393" s="64">
        <f t="shared" si="278"/>
        <v>-23.284767768727761</v>
      </c>
      <c r="AX393" s="61">
        <f t="shared" si="279"/>
        <v>-63.976395466473058</v>
      </c>
    </row>
    <row r="394" spans="14:50" x14ac:dyDescent="0.35">
      <c r="N394" s="10">
        <v>76</v>
      </c>
      <c r="O394" s="50">
        <f t="shared" si="280"/>
        <v>57543.993733715732</v>
      </c>
      <c r="P394" s="48" t="str">
        <f t="shared" si="245"/>
        <v>547.187404092767</v>
      </c>
      <c r="Q394" s="17" t="str">
        <f t="shared" si="246"/>
        <v>1+6934.1092522704i</v>
      </c>
      <c r="R394" s="17">
        <f t="shared" si="255"/>
        <v>6934.109324377715</v>
      </c>
      <c r="S394" s="17">
        <f t="shared" si="256"/>
        <v>1.5706521121659247</v>
      </c>
      <c r="T394" s="17" t="str">
        <f t="shared" si="247"/>
        <v>1+0.131206781128722i</v>
      </c>
      <c r="U394" s="17">
        <f t="shared" si="257"/>
        <v>1.0085708797175141</v>
      </c>
      <c r="V394" s="17">
        <f t="shared" si="258"/>
        <v>0.13046154590660008</v>
      </c>
      <c r="W394" s="31" t="str">
        <f t="shared" si="248"/>
        <v>1-2.27843828491653i</v>
      </c>
      <c r="X394" s="17">
        <f t="shared" si="259"/>
        <v>2.4882284899448801</v>
      </c>
      <c r="Y394" s="17">
        <f t="shared" si="260"/>
        <v>-1.1572138228906983</v>
      </c>
      <c r="Z394" s="31" t="str">
        <f t="shared" si="249"/>
        <v>-0.0946483354796499+10.901566686353i</v>
      </c>
      <c r="AA394" s="17">
        <f t="shared" si="261"/>
        <v>10.901977551087262</v>
      </c>
      <c r="AB394" s="17">
        <f t="shared" si="262"/>
        <v>1.5794781942876057</v>
      </c>
      <c r="AC394" s="66" t="str">
        <f t="shared" si="263"/>
        <v>-0.00926920462536134+0.0156221382973624i</v>
      </c>
      <c r="AD394" s="64">
        <f t="shared" si="264"/>
        <v>-34.815263864096899</v>
      </c>
      <c r="AE394" s="61">
        <f t="shared" si="265"/>
        <v>120.68225644732401</v>
      </c>
      <c r="AF394" s="31" t="str">
        <f t="shared" si="250"/>
        <v>-6627.51882264077</v>
      </c>
      <c r="AG394" s="31" t="str">
        <f t="shared" si="266"/>
        <v>361559.575944117i</v>
      </c>
      <c r="AH394" s="31">
        <f t="shared" si="267"/>
        <v>361559.57594411698</v>
      </c>
      <c r="AI394" s="31">
        <f t="shared" si="268"/>
        <v>1.5707963267948966</v>
      </c>
      <c r="AJ394" s="31" t="str">
        <f t="shared" si="251"/>
        <v>-14.6007605190353+176.493499199241i</v>
      </c>
      <c r="AK394" s="31">
        <f t="shared" si="269"/>
        <v>177.09640726826365</v>
      </c>
      <c r="AL394" s="31">
        <f t="shared" si="270"/>
        <v>1.6533352800839785</v>
      </c>
      <c r="AM394" s="31" t="str">
        <f t="shared" si="252"/>
        <v>1+209.679244877272i</v>
      </c>
      <c r="AN394" s="31">
        <f t="shared" si="271"/>
        <v>209.6816294583362</v>
      </c>
      <c r="AO394" s="31">
        <f t="shared" si="272"/>
        <v>1.5660271737060121</v>
      </c>
      <c r="AP394" s="31" t="str">
        <f t="shared" si="253"/>
        <v>1+169.209881541846i</v>
      </c>
      <c r="AQ394" s="31">
        <f t="shared" si="273"/>
        <v>169.21283642621663</v>
      </c>
      <c r="AR394" s="31">
        <f t="shared" si="274"/>
        <v>1.564886575253557</v>
      </c>
      <c r="AS394" s="58" t="str">
        <f t="shared" si="275"/>
        <v>-3.65649836793877+0.341841671687967i</v>
      </c>
      <c r="AT394" s="49">
        <f t="shared" si="276"/>
        <v>11.299100779056694</v>
      </c>
      <c r="AU394" s="61">
        <f t="shared" si="277"/>
        <v>174.6590101659736</v>
      </c>
      <c r="AV394" s="58" t="str">
        <f t="shared" si="254"/>
        <v>0.0285525337138133-0.0602909235923707i</v>
      </c>
      <c r="AW394" s="64">
        <f t="shared" si="278"/>
        <v>-23.516163085040208</v>
      </c>
      <c r="AX394" s="61">
        <f t="shared" si="279"/>
        <v>-64.658733386702366</v>
      </c>
    </row>
    <row r="395" spans="14:50" x14ac:dyDescent="0.35">
      <c r="N395" s="10">
        <v>77</v>
      </c>
      <c r="O395" s="50">
        <f t="shared" si="280"/>
        <v>58884.365535558936</v>
      </c>
      <c r="P395" s="48" t="str">
        <f t="shared" si="245"/>
        <v>547.187404092767</v>
      </c>
      <c r="Q395" s="17" t="str">
        <f t="shared" si="246"/>
        <v>1+7095.62540555744i</v>
      </c>
      <c r="R395" s="17">
        <f t="shared" si="255"/>
        <v>7095.6254760233915</v>
      </c>
      <c r="S395" s="17">
        <f t="shared" si="256"/>
        <v>1.5706553948916149</v>
      </c>
      <c r="T395" s="17" t="str">
        <f t="shared" si="247"/>
        <v>1+0.134262979668736i</v>
      </c>
      <c r="U395" s="17">
        <f t="shared" si="257"/>
        <v>1.0089730163436124</v>
      </c>
      <c r="V395" s="17">
        <f t="shared" si="258"/>
        <v>0.13346482878587262</v>
      </c>
      <c r="W395" s="31" t="str">
        <f t="shared" si="248"/>
        <v>1-2.33150993029927i</v>
      </c>
      <c r="X395" s="17">
        <f t="shared" si="259"/>
        <v>2.5369151651334554</v>
      </c>
      <c r="Y395" s="17">
        <f t="shared" si="260"/>
        <v>-1.1656214117463159</v>
      </c>
      <c r="Z395" s="31" t="str">
        <f t="shared" si="249"/>
        <v>-0.14623752215713+11.1554967950264i</v>
      </c>
      <c r="AA395" s="17">
        <f t="shared" si="261"/>
        <v>11.156455268441269</v>
      </c>
      <c r="AB395" s="17">
        <f t="shared" si="262"/>
        <v>1.5839045862406658</v>
      </c>
      <c r="AC395" s="66" t="str">
        <f t="shared" si="263"/>
        <v>-0.00887831986802642+0.015304322759997i</v>
      </c>
      <c r="AD395" s="64">
        <f t="shared" si="264"/>
        <v>-35.043906496603164</v>
      </c>
      <c r="AE395" s="61">
        <f t="shared" si="265"/>
        <v>120.11881085997368</v>
      </c>
      <c r="AF395" s="31" t="str">
        <f t="shared" si="250"/>
        <v>-6627.51882264077</v>
      </c>
      <c r="AG395" s="31" t="str">
        <f t="shared" si="266"/>
        <v>369981.380355616i</v>
      </c>
      <c r="AH395" s="31">
        <f t="shared" si="267"/>
        <v>369981.38035561598</v>
      </c>
      <c r="AI395" s="31">
        <f t="shared" si="268"/>
        <v>1.5707963267948966</v>
      </c>
      <c r="AJ395" s="31" t="str">
        <f t="shared" si="251"/>
        <v>-15.3360017107871+180.604560913692i</v>
      </c>
      <c r="AK395" s="31">
        <f t="shared" si="269"/>
        <v>181.25451820934217</v>
      </c>
      <c r="AL395" s="31">
        <f t="shared" si="270"/>
        <v>1.6555079203397987</v>
      </c>
      <c r="AM395" s="31" t="str">
        <f t="shared" si="252"/>
        <v>1+214.563301909633i</v>
      </c>
      <c r="AN395" s="31">
        <f t="shared" si="271"/>
        <v>214.56563221160167</v>
      </c>
      <c r="AO395" s="31">
        <f t="shared" si="272"/>
        <v>1.5661357312936808</v>
      </c>
      <c r="AP395" s="31" t="str">
        <f t="shared" si="253"/>
        <v>1+173.151286006428i</v>
      </c>
      <c r="AQ395" s="31">
        <f t="shared" si="273"/>
        <v>173.15417363055337</v>
      </c>
      <c r="AR395" s="31">
        <f t="shared" si="274"/>
        <v>1.5650210945961063</v>
      </c>
      <c r="AS395" s="58" t="str">
        <f t="shared" si="275"/>
        <v>-3.65516150085966+0.348832490782467i</v>
      </c>
      <c r="AT395" s="49">
        <f t="shared" si="276"/>
        <v>11.29750769832625</v>
      </c>
      <c r="AU395" s="61">
        <f t="shared" si="277"/>
        <v>174.54845433111336</v>
      </c>
      <c r="AV395" s="58" t="str">
        <f t="shared" si="254"/>
        <v>0.027113047945819-0.0590368177825984i</v>
      </c>
      <c r="AW395" s="64">
        <f t="shared" si="278"/>
        <v>-23.746398798276914</v>
      </c>
      <c r="AX395" s="61">
        <f t="shared" si="279"/>
        <v>-65.332734808913003</v>
      </c>
    </row>
    <row r="396" spans="14:50" x14ac:dyDescent="0.35">
      <c r="N396" s="10">
        <v>78</v>
      </c>
      <c r="O396" s="50">
        <f t="shared" si="280"/>
        <v>60255.95860743591</v>
      </c>
      <c r="P396" s="48" t="str">
        <f t="shared" si="245"/>
        <v>547.187404092767</v>
      </c>
      <c r="Q396" s="17" t="str">
        <f t="shared" si="246"/>
        <v>1+7260.90375335623i</v>
      </c>
      <c r="R396" s="17">
        <f t="shared" si="255"/>
        <v>7260.9038222181798</v>
      </c>
      <c r="S396" s="17">
        <f t="shared" si="256"/>
        <v>1.5706586028933485</v>
      </c>
      <c r="T396" s="17" t="str">
        <f t="shared" si="247"/>
        <v>1+0.137390366217751i</v>
      </c>
      <c r="U396" s="17">
        <f t="shared" si="257"/>
        <v>1.0093939333726192</v>
      </c>
      <c r="V396" s="17">
        <f t="shared" si="258"/>
        <v>0.13653556141996417</v>
      </c>
      <c r="W396" s="31" t="str">
        <f t="shared" si="248"/>
        <v>1-2.38581777310824i</v>
      </c>
      <c r="X396" s="17">
        <f t="shared" si="259"/>
        <v>2.5869144644690443</v>
      </c>
      <c r="Y396" s="17">
        <f t="shared" si="260"/>
        <v>-1.1738966307322058</v>
      </c>
      <c r="Z396" s="31" t="str">
        <f t="shared" si="249"/>
        <v>-0.20025803229786+11.4153416957609i</v>
      </c>
      <c r="AA396" s="17">
        <f t="shared" si="261"/>
        <v>11.41709811250114</v>
      </c>
      <c r="AB396" s="17">
        <f t="shared" si="262"/>
        <v>1.5883374130016499</v>
      </c>
      <c r="AC396" s="66" t="str">
        <f t="shared" si="263"/>
        <v>-0.00850472559561031+0.014991457415165i</v>
      </c>
      <c r="AD396" s="64">
        <f t="shared" si="264"/>
        <v>-35.271351326013161</v>
      </c>
      <c r="AE396" s="61">
        <f t="shared" si="265"/>
        <v>119.5664496878052</v>
      </c>
      <c r="AF396" s="31" t="str">
        <f t="shared" si="250"/>
        <v>-6627.51882264077</v>
      </c>
      <c r="AG396" s="31" t="str">
        <f t="shared" si="266"/>
        <v>378599.353792263i</v>
      </c>
      <c r="AH396" s="31">
        <f t="shared" si="267"/>
        <v>378599.35379226302</v>
      </c>
      <c r="AI396" s="31">
        <f t="shared" si="268"/>
        <v>1.5707963267948966</v>
      </c>
      <c r="AJ396" s="31" t="str">
        <f t="shared" si="251"/>
        <v>-16.1058937523736+184.811381556924i</v>
      </c>
      <c r="AK396" s="31">
        <f t="shared" si="269"/>
        <v>185.51185020515993</v>
      </c>
      <c r="AL396" s="31">
        <f t="shared" si="270"/>
        <v>1.6577244430043463</v>
      </c>
      <c r="AM396" s="31" t="str">
        <f t="shared" si="252"/>
        <v>1+219.561123244747i</v>
      </c>
      <c r="AN396" s="31">
        <f t="shared" si="271"/>
        <v>219.56340050312343</v>
      </c>
      <c r="AO396" s="31">
        <f t="shared" si="272"/>
        <v>1.5662418179151134</v>
      </c>
      <c r="AP396" s="31" t="str">
        <f t="shared" si="253"/>
        <v>1+177.184497574779i</v>
      </c>
      <c r="AQ396" s="31">
        <f t="shared" si="273"/>
        <v>177.18731946961347</v>
      </c>
      <c r="AR396" s="31">
        <f t="shared" si="274"/>
        <v>1.5651525521065504</v>
      </c>
      <c r="AS396" s="58" t="str">
        <f t="shared" si="275"/>
        <v>-3.65376267978195+0.355996956261599i</v>
      </c>
      <c r="AT396" s="49">
        <f t="shared" si="276"/>
        <v>11.295840620066501</v>
      </c>
      <c r="AU396" s="61">
        <f t="shared" si="277"/>
        <v>174.43506721344431</v>
      </c>
      <c r="AV396" s="58" t="str">
        <f t="shared" si="254"/>
        <v>0.0257373357733031-0.0578028840449476i</v>
      </c>
      <c r="AW396" s="64">
        <f t="shared" si="278"/>
        <v>-23.975510705946665</v>
      </c>
      <c r="AX396" s="61">
        <f t="shared" si="279"/>
        <v>-65.998483098750526</v>
      </c>
    </row>
    <row r="397" spans="14:50" x14ac:dyDescent="0.35">
      <c r="N397" s="10">
        <v>79</v>
      </c>
      <c r="O397" s="50">
        <f t="shared" si="280"/>
        <v>61659.500186148245</v>
      </c>
      <c r="P397" s="48" t="str">
        <f t="shared" si="245"/>
        <v>547.187404092767</v>
      </c>
      <c r="Q397" s="17" t="str">
        <f t="shared" si="246"/>
        <v>1+7430.03192843444i</v>
      </c>
      <c r="R397" s="17">
        <f t="shared" si="255"/>
        <v>7430.0319957289003</v>
      </c>
      <c r="S397" s="17">
        <f t="shared" si="256"/>
        <v>1.5706617378720502</v>
      </c>
      <c r="T397" s="17" t="str">
        <f t="shared" si="247"/>
        <v>1+0.140590598957511i</v>
      </c>
      <c r="U397" s="17">
        <f t="shared" si="257"/>
        <v>1.0098344995667516</v>
      </c>
      <c r="V397" s="17">
        <f t="shared" si="258"/>
        <v>0.13967514018851182</v>
      </c>
      <c r="W397" s="31" t="str">
        <f t="shared" si="248"/>
        <v>1-2.44139060808053i</v>
      </c>
      <c r="X397" s="17">
        <f t="shared" si="259"/>
        <v>2.6382547453238514</v>
      </c>
      <c r="Y397" s="17">
        <f t="shared" si="260"/>
        <v>-1.1820393329813461</v>
      </c>
      <c r="Z397" s="31" t="str">
        <f t="shared" si="249"/>
        <v>-0.25682445064649+11.6812391617625i</v>
      </c>
      <c r="AA397" s="17">
        <f t="shared" si="261"/>
        <v>11.684062099832564</v>
      </c>
      <c r="AB397" s="17">
        <f t="shared" si="262"/>
        <v>1.5927788474185656</v>
      </c>
      <c r="AC397" s="66" t="str">
        <f t="shared" si="263"/>
        <v>-0.00814766689808175+0.0146835840165745i</v>
      </c>
      <c r="AD397" s="64">
        <f t="shared" si="264"/>
        <v>-35.497630344562921</v>
      </c>
      <c r="AE397" s="61">
        <f t="shared" si="265"/>
        <v>119.02513675986253</v>
      </c>
      <c r="AF397" s="31" t="str">
        <f t="shared" si="250"/>
        <v>-6627.51882264077</v>
      </c>
      <c r="AG397" s="31" t="str">
        <f t="shared" si="266"/>
        <v>387418.065617644i</v>
      </c>
      <c r="AH397" s="31">
        <f t="shared" si="267"/>
        <v>387418.065617644</v>
      </c>
      <c r="AI397" s="31">
        <f t="shared" si="268"/>
        <v>1.5707963267948966</v>
      </c>
      <c r="AJ397" s="31" t="str">
        <f t="shared" si="251"/>
        <v>-16.9120696880359+189.116191640925i</v>
      </c>
      <c r="AK397" s="31">
        <f t="shared" si="269"/>
        <v>189.87088255417169</v>
      </c>
      <c r="AL397" s="31">
        <f t="shared" si="270"/>
        <v>1.6599859501714676</v>
      </c>
      <c r="AM397" s="31" t="str">
        <f t="shared" si="252"/>
        <v>1+224.67535879364i</v>
      </c>
      <c r="AN397" s="31">
        <f t="shared" si="271"/>
        <v>224.67758421580658</v>
      </c>
      <c r="AO397" s="31">
        <f t="shared" si="272"/>
        <v>1.5663454898092835</v>
      </c>
      <c r="AP397" s="31" t="str">
        <f t="shared" si="253"/>
        <v>1+181.311654709057i</v>
      </c>
      <c r="AQ397" s="31">
        <f t="shared" si="273"/>
        <v>181.31441237071118</v>
      </c>
      <c r="AR397" s="31">
        <f t="shared" si="274"/>
        <v>1.5652810174672176</v>
      </c>
      <c r="AS397" s="58" t="str">
        <f t="shared" si="275"/>
        <v>-3.65229908447619+0.363338071911297i</v>
      </c>
      <c r="AT397" s="49">
        <f t="shared" si="276"/>
        <v>11.294096095688978</v>
      </c>
      <c r="AU397" s="61">
        <f t="shared" si="277"/>
        <v>174.31879288239961</v>
      </c>
      <c r="AV397" s="58" t="str">
        <f t="shared" si="254"/>
        <v>0.0244226112471512-0.0565891980418888i</v>
      </c>
      <c r="AW397" s="64">
        <f t="shared" si="278"/>
        <v>-24.203534248873943</v>
      </c>
      <c r="AX397" s="61">
        <f t="shared" si="279"/>
        <v>-66.656070357737889</v>
      </c>
    </row>
    <row r="398" spans="14:50" x14ac:dyDescent="0.35">
      <c r="N398" s="10">
        <v>80</v>
      </c>
      <c r="O398" s="50">
        <f t="shared" si="280"/>
        <v>63095.734448019342</v>
      </c>
      <c r="P398" s="48" t="str">
        <f t="shared" si="245"/>
        <v>547.187404092767</v>
      </c>
      <c r="Q398" s="17" t="str">
        <f t="shared" si="246"/>
        <v>1+7603.09960478921i</v>
      </c>
      <c r="R398" s="17">
        <f t="shared" si="255"/>
        <v>7603.0996705518628</v>
      </c>
      <c r="S398" s="17">
        <f t="shared" si="256"/>
        <v>1.5706648014899272</v>
      </c>
      <c r="T398" s="17" t="str">
        <f t="shared" si="247"/>
        <v>1+0.143865374693774i</v>
      </c>
      <c r="U398" s="17">
        <f t="shared" si="257"/>
        <v>1.0102956230904794</v>
      </c>
      <c r="V398" s="17">
        <f t="shared" si="258"/>
        <v>0.14288498203422681</v>
      </c>
      <c r="W398" s="31" t="str">
        <f t="shared" si="248"/>
        <v>1-2.49825790066885i</v>
      </c>
      <c r="X398" s="17">
        <f t="shared" si="259"/>
        <v>2.690964982725403</v>
      </c>
      <c r="Y398" s="17">
        <f t="shared" si="260"/>
        <v>-1.1900495156897972</v>
      </c>
      <c r="Z398" s="31" t="str">
        <f t="shared" si="249"/>
        <v>-0.31605676216032+11.953330175387i</v>
      </c>
      <c r="AA398" s="17">
        <f t="shared" si="261"/>
        <v>11.957507857355759</v>
      </c>
      <c r="AB398" s="17">
        <f t="shared" si="262"/>
        <v>1.5972310637620999</v>
      </c>
      <c r="AC398" s="66" t="str">
        <f t="shared" si="263"/>
        <v>-0.00780642069251055+0.0143807334311947i</v>
      </c>
      <c r="AD398" s="64">
        <f t="shared" si="264"/>
        <v>-35.722774983830348</v>
      </c>
      <c r="AE398" s="61">
        <f t="shared" si="265"/>
        <v>118.49482874986552</v>
      </c>
      <c r="AF398" s="31" t="str">
        <f t="shared" si="250"/>
        <v>-6627.51882264077</v>
      </c>
      <c r="AG398" s="31" t="str">
        <f t="shared" si="266"/>
        <v>396442.1916295i</v>
      </c>
      <c r="AH398" s="31">
        <f t="shared" si="267"/>
        <v>396442.19162950001</v>
      </c>
      <c r="AI398" s="31">
        <f t="shared" si="268"/>
        <v>1.5707963267948966</v>
      </c>
      <c r="AJ398" s="31" t="str">
        <f t="shared" si="251"/>
        <v>-17.7562395250195+193.521273632982i</v>
      </c>
      <c r="AK398" s="31">
        <f t="shared" si="269"/>
        <v>194.33416423933636</v>
      </c>
      <c r="AL398" s="31">
        <f t="shared" si="270"/>
        <v>1.6622935626500726</v>
      </c>
      <c r="AM398" s="31" t="str">
        <f t="shared" si="252"/>
        <v>1+229.908720191696i</v>
      </c>
      <c r="AN398" s="31">
        <f t="shared" si="271"/>
        <v>229.91089495755426</v>
      </c>
      <c r="AO398" s="31">
        <f t="shared" si="272"/>
        <v>1.5664468019354825</v>
      </c>
      <c r="AP398" s="31" t="str">
        <f t="shared" si="253"/>
        <v>1+185.534945682606i</v>
      </c>
      <c r="AQ398" s="31">
        <f t="shared" si="273"/>
        <v>185.53764057313967</v>
      </c>
      <c r="AR398" s="31">
        <f t="shared" si="274"/>
        <v>1.5654065587751718</v>
      </c>
      <c r="AS398" s="58" t="str">
        <f t="shared" si="275"/>
        <v>-3.65076777123438+0.370858880001901i</v>
      </c>
      <c r="AT398" s="49">
        <f t="shared" si="276"/>
        <v>11.292270520674077</v>
      </c>
      <c r="AU398" s="61">
        <f t="shared" si="277"/>
        <v>174.19957417096887</v>
      </c>
      <c r="AV398" s="58" t="str">
        <f t="shared" si="254"/>
        <v>0.0231662063790159-0.0553957985721665i</v>
      </c>
      <c r="AW398" s="64">
        <f t="shared" si="278"/>
        <v>-24.430504463156282</v>
      </c>
      <c r="AX398" s="61">
        <f t="shared" si="279"/>
        <v>-67.305597079165608</v>
      </c>
    </row>
    <row r="399" spans="14:50" x14ac:dyDescent="0.35">
      <c r="N399" s="10">
        <v>81</v>
      </c>
      <c r="O399" s="50">
        <f t="shared" si="280"/>
        <v>64565.422903465682</v>
      </c>
      <c r="P399" s="48" t="str">
        <f t="shared" si="245"/>
        <v>547.187404092767</v>
      </c>
      <c r="Q399" s="17" t="str">
        <f t="shared" si="246"/>
        <v>1+7780.19854519338i</v>
      </c>
      <c r="R399" s="17">
        <f t="shared" si="255"/>
        <v>7780.1986094590911</v>
      </c>
      <c r="S399" s="17">
        <f t="shared" si="256"/>
        <v>1.5706677953713495</v>
      </c>
      <c r="T399" s="17" t="str">
        <f t="shared" si="247"/>
        <v>1+0.147216429755985i</v>
      </c>
      <c r="U399" s="17">
        <f t="shared" si="257"/>
        <v>1.0107782532237715</v>
      </c>
      <c r="V399" s="17">
        <f t="shared" si="258"/>
        <v>0.14616652414921247</v>
      </c>
      <c r="W399" s="31" t="str">
        <f t="shared" si="248"/>
        <v>1-2.55644980266447i</v>
      </c>
      <c r="X399" s="17">
        <f t="shared" si="259"/>
        <v>2.7450747883333175</v>
      </c>
      <c r="Y399" s="17">
        <f t="shared" si="260"/>
        <v>-1.1979273132595827</v>
      </c>
      <c r="Z399" s="31" t="str">
        <f t="shared" si="249"/>
        <v>-0.37808060651351+12.2317590028916i</v>
      </c>
      <c r="AA399" s="17">
        <f t="shared" si="261"/>
        <v>12.237600796309763</v>
      </c>
      <c r="AB399" s="17">
        <f t="shared" si="262"/>
        <v>1.6016962380619852</v>
      </c>
      <c r="AC399" s="66" t="str">
        <f t="shared" si="263"/>
        <v>-0.00748029446938146+0.0140829265201241i</v>
      </c>
      <c r="AD399" s="64">
        <f t="shared" si="264"/>
        <v>-35.946816064887898</v>
      </c>
      <c r="AE399" s="61">
        <f t="shared" si="265"/>
        <v>117.97547553179776</v>
      </c>
      <c r="AF399" s="31" t="str">
        <f t="shared" si="250"/>
        <v>-6627.51882264077</v>
      </c>
      <c r="AG399" s="31" t="str">
        <f t="shared" si="266"/>
        <v>405676.516538892i</v>
      </c>
      <c r="AH399" s="31">
        <f t="shared" si="267"/>
        <v>405676.516538892</v>
      </c>
      <c r="AI399" s="31">
        <f t="shared" si="268"/>
        <v>1.5707963267948966</v>
      </c>
      <c r="AJ399" s="31" t="str">
        <f t="shared" si="251"/>
        <v>-18.6401938607287+198.028963165877i</v>
      </c>
      <c r="AK399" s="31">
        <f t="shared" si="269"/>
        <v>198.90431639287726</v>
      </c>
      <c r="AL399" s="31">
        <f t="shared" si="270"/>
        <v>1.664648420201976</v>
      </c>
      <c r="AM399" s="31" t="str">
        <f t="shared" si="252"/>
        <v>1+235.2639822364i</v>
      </c>
      <c r="AN399" s="31">
        <f t="shared" si="271"/>
        <v>235.26610749899598</v>
      </c>
      <c r="AO399" s="31">
        <f t="shared" si="272"/>
        <v>1.5665458080024171</v>
      </c>
      <c r="AP399" s="31" t="str">
        <f t="shared" si="253"/>
        <v>1+189.856609740201i</v>
      </c>
      <c r="AQ399" s="31">
        <f t="shared" si="273"/>
        <v>189.85924328839769</v>
      </c>
      <c r="AR399" s="31">
        <f t="shared" si="274"/>
        <v>1.5655292425782383</v>
      </c>
      <c r="AS399" s="58" t="str">
        <f t="shared" si="275"/>
        <v>-3.64916566793159+0.378562459154904i</v>
      </c>
      <c r="AT399" s="49">
        <f t="shared" si="276"/>
        <v>11.290360127715122</v>
      </c>
      <c r="AU399" s="61">
        <f t="shared" si="277"/>
        <v>174.07735266580215</v>
      </c>
      <c r="AV399" s="58" t="str">
        <f t="shared" si="254"/>
        <v>0.0219655664681294-0.054222690630772i</v>
      </c>
      <c r="AW399" s="64">
        <f t="shared" si="278"/>
        <v>-24.65645593717278</v>
      </c>
      <c r="AX399" s="61">
        <f t="shared" si="279"/>
        <v>-67.94717180240005</v>
      </c>
    </row>
    <row r="400" spans="14:50" x14ac:dyDescent="0.35">
      <c r="N400" s="10">
        <v>82</v>
      </c>
      <c r="O400" s="50">
        <f t="shared" si="280"/>
        <v>66069.344800759733</v>
      </c>
      <c r="P400" s="48" t="str">
        <f t="shared" si="245"/>
        <v>547.187404092767</v>
      </c>
      <c r="Q400" s="17" t="str">
        <f t="shared" si="246"/>
        <v>1+7961.42264984931i</v>
      </c>
      <c r="R400" s="17">
        <f t="shared" si="255"/>
        <v>7961.4227126521555</v>
      </c>
      <c r="S400" s="17">
        <f t="shared" si="256"/>
        <v>1.5706707211037128</v>
      </c>
      <c r="T400" s="17" t="str">
        <f t="shared" si="247"/>
        <v>1+0.150645540917891i</v>
      </c>
      <c r="U400" s="17">
        <f t="shared" si="257"/>
        <v>1.0112833821429303</v>
      </c>
      <c r="V400" s="17">
        <f t="shared" si="258"/>
        <v>0.14952122360457484</v>
      </c>
      <c r="W400" s="31" t="str">
        <f t="shared" si="248"/>
        <v>1-2.61599716818407i</v>
      </c>
      <c r="X400" s="17">
        <f t="shared" si="259"/>
        <v>2.8006144297184279</v>
      </c>
      <c r="Y400" s="17">
        <f t="shared" si="260"/>
        <v>-1.2056729904209276</v>
      </c>
      <c r="Z400" s="31" t="str">
        <f t="shared" si="249"/>
        <v>-0.4430275445956+12.516673270926i</v>
      </c>
      <c r="AA400" s="17">
        <f t="shared" si="261"/>
        <v>12.524511294912221</v>
      </c>
      <c r="AB400" s="17">
        <f t="shared" si="262"/>
        <v>1.6061765484280826</v>
      </c>
      <c r="AC400" s="66" t="str">
        <f t="shared" si="263"/>
        <v>-0.0071686250799655+0.0137901749603151i</v>
      </c>
      <c r="AD400" s="64">
        <f t="shared" si="264"/>
        <v>-36.169783753094485</v>
      </c>
      <c r="AE400" s="61">
        <f t="shared" si="265"/>
        <v>117.46702053430649</v>
      </c>
      <c r="AF400" s="31" t="str">
        <f t="shared" si="250"/>
        <v>-6627.51882264077</v>
      </c>
      <c r="AG400" s="31" t="str">
        <f t="shared" si="266"/>
        <v>415125.936507116i</v>
      </c>
      <c r="AH400" s="31">
        <f t="shared" si="267"/>
        <v>415125.93650711601</v>
      </c>
      <c r="AI400" s="31">
        <f t="shared" si="268"/>
        <v>1.5707963267948966</v>
      </c>
      <c r="AJ400" s="31" t="str">
        <f t="shared" si="251"/>
        <v>-19.565807680823+202.641650276266i</v>
      </c>
      <c r="AK400" s="31">
        <f t="shared" si="269"/>
        <v>203.58403487722569</v>
      </c>
      <c r="AL400" s="31">
        <f t="shared" si="270"/>
        <v>1.6670516817656313</v>
      </c>
      <c r="AM400" s="31" t="str">
        <f t="shared" si="252"/>
        <v>1+240.743984358572i</v>
      </c>
      <c r="AN400" s="31">
        <f t="shared" si="271"/>
        <v>240.74606124470725</v>
      </c>
      <c r="AO400" s="31">
        <f t="shared" si="272"/>
        <v>1.5666425604966459</v>
      </c>
      <c r="AP400" s="31" t="str">
        <f t="shared" si="253"/>
        <v>1+194.27893828533i</v>
      </c>
      <c r="AQ400" s="31">
        <f t="shared" si="273"/>
        <v>194.28151188745434</v>
      </c>
      <c r="AR400" s="31">
        <f t="shared" si="274"/>
        <v>1.5656491339102128</v>
      </c>
      <c r="AS400" s="58" t="str">
        <f t="shared" si="275"/>
        <v>-3.64748956893617+0.386451921984743i</v>
      </c>
      <c r="AT400" s="49">
        <f t="shared" si="276"/>
        <v>11.288360979592069</v>
      </c>
      <c r="AU400" s="61">
        <f t="shared" si="277"/>
        <v>173.95206869803769</v>
      </c>
      <c r="AV400" s="58" t="str">
        <f t="shared" si="254"/>
        <v>0.0208182455848687-0.0530698482616948i</v>
      </c>
      <c r="AW400" s="64">
        <f t="shared" si="278"/>
        <v>-24.881422773502418</v>
      </c>
      <c r="AX400" s="61">
        <f t="shared" si="279"/>
        <v>-68.580910767655851</v>
      </c>
    </row>
    <row r="401" spans="14:50" x14ac:dyDescent="0.35">
      <c r="N401" s="10">
        <v>83</v>
      </c>
      <c r="O401" s="50">
        <f t="shared" si="280"/>
        <v>67608.297539198305</v>
      </c>
      <c r="P401" s="48" t="str">
        <f t="shared" si="245"/>
        <v>547.187404092767</v>
      </c>
      <c r="Q401" s="17" t="str">
        <f t="shared" si="246"/>
        <v>1+8146.86800617607i</v>
      </c>
      <c r="R401" s="17">
        <f t="shared" si="255"/>
        <v>8146.8680675493479</v>
      </c>
      <c r="S401" s="17">
        <f t="shared" si="256"/>
        <v>1.5706735802382787</v>
      </c>
      <c r="T401" s="17" t="str">
        <f t="shared" si="247"/>
        <v>1+0.154154526339621i</v>
      </c>
      <c r="U401" s="17">
        <f t="shared" si="257"/>
        <v>1.0118120467710359</v>
      </c>
      <c r="V401" s="17">
        <f t="shared" si="258"/>
        <v>0.15295055691933629</v>
      </c>
      <c r="W401" s="31" t="str">
        <f t="shared" si="248"/>
        <v>1-2.67693157002906i</v>
      </c>
      <c r="X401" s="17">
        <f t="shared" si="259"/>
        <v>2.8576148499436114</v>
      </c>
      <c r="Y401" s="17">
        <f t="shared" si="260"/>
        <v>-1.2132869353673665</v>
      </c>
      <c r="Z401" s="31" t="str">
        <f t="shared" si="249"/>
        <v>-0.51103533756985+12.8082240448064i</v>
      </c>
      <c r="AA401" s="17">
        <f t="shared" si="261"/>
        <v>12.81841489023514</v>
      </c>
      <c r="AB401" s="17">
        <f t="shared" si="262"/>
        <v>1.6106741753530041</v>
      </c>
      <c r="AC401" s="66" t="str">
        <f t="shared" si="263"/>
        <v>-0.00687077756417327+0.0135024820107596i</v>
      </c>
      <c r="AD401" s="64">
        <f t="shared" si="264"/>
        <v>-36.391707517365049</v>
      </c>
      <c r="AE401" s="61">
        <f t="shared" si="265"/>
        <v>116.96940109194388</v>
      </c>
      <c r="AF401" s="31" t="str">
        <f t="shared" si="250"/>
        <v>-6627.51882264077</v>
      </c>
      <c r="AG401" s="31" t="str">
        <f t="shared" si="266"/>
        <v>424795.461741717i</v>
      </c>
      <c r="AH401" s="31">
        <f t="shared" si="267"/>
        <v>424795.46174171701</v>
      </c>
      <c r="AI401" s="31">
        <f t="shared" si="268"/>
        <v>1.5707963267948966</v>
      </c>
      <c r="AJ401" s="31" t="str">
        <f t="shared" si="251"/>
        <v>-20.5350443363143+207.36178067191i</v>
      </c>
      <c r="AK401" s="31">
        <f t="shared" si="269"/>
        <v>208.3760929889024</v>
      </c>
      <c r="AL401" s="31">
        <f t="shared" si="270"/>
        <v>1.6695045256643057</v>
      </c>
      <c r="AM401" s="31" t="str">
        <f t="shared" si="252"/>
        <v>1+246.351632127874i</v>
      </c>
      <c r="AN401" s="31">
        <f t="shared" si="271"/>
        <v>246.35366173870312</v>
      </c>
      <c r="AO401" s="31">
        <f t="shared" si="272"/>
        <v>1.5667371107103725</v>
      </c>
      <c r="AP401" s="31" t="str">
        <f t="shared" si="253"/>
        <v>1+198.804276095123i</v>
      </c>
      <c r="AQ401" s="31">
        <f t="shared" si="273"/>
        <v>198.80679111566056</v>
      </c>
      <c r="AR401" s="31">
        <f t="shared" si="274"/>
        <v>1.5657662963252714</v>
      </c>
      <c r="AS401" s="58" t="str">
        <f t="shared" si="275"/>
        <v>-3.64573612986812+0.394530412499669i</v>
      </c>
      <c r="AT401" s="49">
        <f t="shared" si="276"/>
        <v>11.286268961765298</v>
      </c>
      <c r="AU401" s="61">
        <f t="shared" si="277"/>
        <v>173.82366133493827</v>
      </c>
      <c r="AV401" s="58" t="str">
        <f t="shared" si="254"/>
        <v>0.0197219022085194-0.0519372172161074i</v>
      </c>
      <c r="AW401" s="64">
        <f t="shared" si="278"/>
        <v>-25.10543855559974</v>
      </c>
      <c r="AX401" s="61">
        <f t="shared" si="279"/>
        <v>-69.206937573117855</v>
      </c>
    </row>
    <row r="402" spans="14:50" x14ac:dyDescent="0.35">
      <c r="N402" s="10">
        <v>84</v>
      </c>
      <c r="O402" s="50">
        <f t="shared" si="280"/>
        <v>69183.097091893651</v>
      </c>
      <c r="P402" s="48" t="str">
        <f t="shared" si="245"/>
        <v>547.187404092767</v>
      </c>
      <c r="Q402" s="17" t="str">
        <f t="shared" si="246"/>
        <v>1+8336.63293975623i</v>
      </c>
      <c r="R402" s="17">
        <f t="shared" si="255"/>
        <v>8336.632999732481</v>
      </c>
      <c r="S402" s="17">
        <f t="shared" si="256"/>
        <v>1.5706763742909984</v>
      </c>
      <c r="T402" s="17" t="str">
        <f t="shared" si="247"/>
        <v>1+0.157745246531693i</v>
      </c>
      <c r="U402" s="17">
        <f t="shared" si="257"/>
        <v>1.012365330700012</v>
      </c>
      <c r="V402" s="17">
        <f t="shared" si="258"/>
        <v>0.15645601956439495</v>
      </c>
      <c r="W402" s="31" t="str">
        <f t="shared" si="248"/>
        <v>1-2.73928531642584i</v>
      </c>
      <c r="X402" s="17">
        <f t="shared" si="259"/>
        <v>2.9161076874467811</v>
      </c>
      <c r="Y402" s="17">
        <f t="shared" si="260"/>
        <v>-1.2207696529342604</v>
      </c>
      <c r="Z402" s="31" t="str">
        <f t="shared" si="249"/>
        <v>-0.58224823908311+13.1065659086123i</v>
      </c>
      <c r="AA402" s="17">
        <f t="shared" si="261"/>
        <v>13.119492479845155</v>
      </c>
      <c r="AB402" s="17">
        <f t="shared" si="262"/>
        <v>1.6151913019929973</v>
      </c>
      <c r="AC402" s="66" t="str">
        <f t="shared" si="263"/>
        <v>-0.0065861440182404+0.0132198432265416i</v>
      </c>
      <c r="AD402" s="64">
        <f t="shared" si="264"/>
        <v>-36.612616093743512</v>
      </c>
      <c r="AE402" s="61">
        <f t="shared" si="265"/>
        <v>116.48254879144888</v>
      </c>
      <c r="AF402" s="31" t="str">
        <f t="shared" si="250"/>
        <v>-6627.51882264077</v>
      </c>
      <c r="AG402" s="31" t="str">
        <f t="shared" si="266"/>
        <v>434690.219152965i</v>
      </c>
      <c r="AH402" s="31">
        <f t="shared" si="267"/>
        <v>434690.219152965</v>
      </c>
      <c r="AI402" s="31">
        <f t="shared" si="268"/>
        <v>1.5707963267948966</v>
      </c>
      <c r="AJ402" s="31" t="str">
        <f t="shared" si="251"/>
        <v>-21.5499597080964+212.191857028424i</v>
      </c>
      <c r="AK402" s="31">
        <f t="shared" si="269"/>
        <v>213.28334429249679</v>
      </c>
      <c r="AL402" s="31">
        <f t="shared" si="270"/>
        <v>1.6720081497971249</v>
      </c>
      <c r="AM402" s="31" t="str">
        <f t="shared" si="252"/>
        <v>1+252.089898793379i</v>
      </c>
      <c r="AN402" s="31">
        <f t="shared" si="271"/>
        <v>252.09188220499297</v>
      </c>
      <c r="AO402" s="31">
        <f t="shared" si="272"/>
        <v>1.5668295087686057</v>
      </c>
      <c r="AP402" s="31" t="str">
        <f t="shared" si="253"/>
        <v>1+203.435022563587i</v>
      </c>
      <c r="AQ402" s="31">
        <f t="shared" si="273"/>
        <v>203.43748033596748</v>
      </c>
      <c r="AR402" s="31">
        <f t="shared" si="274"/>
        <v>1.565880791931604</v>
      </c>
      <c r="AS402" s="58" t="str">
        <f t="shared" si="275"/>
        <v>-3.64390186220644+0.402801103244819i</v>
      </c>
      <c r="AT402" s="49">
        <f t="shared" si="276"/>
        <v>11.284079774681572</v>
      </c>
      <c r="AU402" s="61">
        <f t="shared" si="277"/>
        <v>173.69206837242825</v>
      </c>
      <c r="AV402" s="58" t="str">
        <f t="shared" si="254"/>
        <v>0.0186742950164515-0.0508247174279486i</v>
      </c>
      <c r="AW402" s="64">
        <f t="shared" si="278"/>
        <v>-25.328536319061939</v>
      </c>
      <c r="AX402" s="61">
        <f t="shared" si="279"/>
        <v>-69.825382836122856</v>
      </c>
    </row>
    <row r="403" spans="14:50" x14ac:dyDescent="0.35">
      <c r="N403" s="10">
        <v>85</v>
      </c>
      <c r="O403" s="50">
        <f t="shared" si="280"/>
        <v>70794.578438413781</v>
      </c>
      <c r="P403" s="48" t="str">
        <f t="shared" ref="P403:P466" si="281">COMPLEX(Adc,0)</f>
        <v>547.187404092767</v>
      </c>
      <c r="Q403" s="17" t="str">
        <f t="shared" ref="Q403:Q466" si="282">IMSUM(COMPLEX(1,0),IMDIV(COMPLEX(0,2*PI()*O403),COMPLEX(wp_lf,0)))</f>
        <v>1+8530.81806646945i</v>
      </c>
      <c r="R403" s="17">
        <f t="shared" si="255"/>
        <v>8530.8181250804755</v>
      </c>
      <c r="S403" s="17">
        <f t="shared" si="256"/>
        <v>1.5706791047433151</v>
      </c>
      <c r="T403" s="17" t="str">
        <f t="shared" ref="T403:T466" si="283">IMSUM(COMPLEX(1,0),IMDIV(COMPLEX(0,2*PI()*O403),COMPLEX(wz_esr,0)))</f>
        <v>1+0.161419605341481i</v>
      </c>
      <c r="U403" s="17">
        <f t="shared" si="257"/>
        <v>1.0129443661863171</v>
      </c>
      <c r="V403" s="17">
        <f t="shared" si="258"/>
        <v>0.16003912539713261</v>
      </c>
      <c r="W403" s="31" t="str">
        <f t="shared" ref="W403:W466" si="284">IMSUB(COMPLEX(1,0),IMDIV(COMPLEX(0,2*PI()*O403),COMPLEX(wz_rhp,0)))</f>
        <v>1-2.80309146815613i</v>
      </c>
      <c r="X403" s="17">
        <f t="shared" si="259"/>
        <v>2.9761252962282496</v>
      </c>
      <c r="Y403" s="17">
        <f t="shared" si="260"/>
        <v>-1.2281217578484176</v>
      </c>
      <c r="Z403" s="31" t="str">
        <f t="shared" ref="Z403:Z466" si="285">IMSUM(COMPLEX(1,0),IMDIV(COMPLEX(0,2*PI()*O403),COMPLEX(Q*(wsl/2),0)),IMDIV(IMPOWER(COMPLEX(0,2*PI()*O403),2),IMPOWER(COMPLEX(wsl/2,0),2)))</f>
        <v>-0.65681730124718+13.4118570471487i</v>
      </c>
      <c r="AA403" s="17">
        <f t="shared" si="261"/>
        <v>13.427930533792981</v>
      </c>
      <c r="AB403" s="17">
        <f t="shared" si="262"/>
        <v>1.6197301144237768</v>
      </c>
      <c r="AC403" s="66" t="str">
        <f t="shared" si="263"/>
        <v>-0.00631414250152846+0.0129422471239782i</v>
      </c>
      <c r="AD403" s="64">
        <f t="shared" si="264"/>
        <v>-36.832537453093835</v>
      </c>
      <c r="AE403" s="61">
        <f t="shared" si="265"/>
        <v>116.00638981141584</v>
      </c>
      <c r="AF403" s="31" t="str">
        <f t="shared" ref="AF403:AF466" si="286">COMPLEX(Adc_ea_iso,0)</f>
        <v>-6627.51882264077</v>
      </c>
      <c r="AG403" s="31" t="str">
        <f t="shared" si="266"/>
        <v>444815.455072214i</v>
      </c>
      <c r="AH403" s="31">
        <f t="shared" si="267"/>
        <v>444815.45507221401</v>
      </c>
      <c r="AI403" s="31">
        <f t="shared" si="268"/>
        <v>1.5707963267948966</v>
      </c>
      <c r="AJ403" s="31" t="str">
        <f t="shared" ref="AJ403:AJ466" si="287">IMSUM(IMPRODUCT(COMPLEX(wpA_ea_iso,0),IMPOWER(COMPLEX(0,2*PI()*O403),2)),COMPLEX(0,wpB_ea_iso*2*PI()*O403),COMPLEX(1,0))</f>
        <v>-22.6127065677452+217.134440316226i</v>
      </c>
      <c r="AK403" s="31">
        <f t="shared" si="269"/>
        <v>218.30872559235843</v>
      </c>
      <c r="AL403" s="31">
        <f t="shared" si="270"/>
        <v>1.6745637718113482</v>
      </c>
      <c r="AM403" s="31" t="str">
        <f t="shared" ref="AM403:AM466" si="288">IMSUM(COMPLEX(1,0),IMDIV(COMPLEX(0,2*PI()*O403),COMPLEX(wz1_ea_iso,0)))</f>
        <v>1+257.961826860029i</v>
      </c>
      <c r="AN403" s="31">
        <f t="shared" si="271"/>
        <v>257.96376512402588</v>
      </c>
      <c r="AO403" s="31">
        <f t="shared" si="272"/>
        <v>1.5669198036557048</v>
      </c>
      <c r="AP403" s="31" t="str">
        <f t="shared" ref="AP403:AP466" si="289">IMSUM(COMPLEX(1,0),IMDIV(COMPLEX(0,2*PI()*O403),COMPLEX(wz2_ea_iso,0)))</f>
        <v>1+208.173632973796i</v>
      </c>
      <c r="AQ403" s="31">
        <f t="shared" si="273"/>
        <v>208.17603480109983</v>
      </c>
      <c r="AR403" s="31">
        <f t="shared" si="274"/>
        <v>1.5659926814242822</v>
      </c>
      <c r="AS403" s="58" t="str">
        <f t="shared" si="275"/>
        <v>-3.641983127747+0.411267192169875i</v>
      </c>
      <c r="AT403" s="49">
        <f t="shared" si="276"/>
        <v>11.281788925784355</v>
      </c>
      <c r="AU403" s="61">
        <f t="shared" si="277"/>
        <v>173.55722632862725</v>
      </c>
      <c r="AV403" s="58" t="str">
        <f t="shared" ref="AV403:AV466" si="290">IMPRODUCT(AC403,AS403)</f>
        <v>0.0176732788217097-0.0497322453182248i</v>
      </c>
      <c r="AW403" s="64">
        <f t="shared" si="278"/>
        <v>-25.550748527309484</v>
      </c>
      <c r="AX403" s="61">
        <f t="shared" si="279"/>
        <v>-70.436383859956919</v>
      </c>
    </row>
    <row r="404" spans="14:50" x14ac:dyDescent="0.35">
      <c r="N404" s="10">
        <v>86</v>
      </c>
      <c r="O404" s="50">
        <f t="shared" si="280"/>
        <v>72443.596007499116</v>
      </c>
      <c r="P404" s="48" t="str">
        <f t="shared" si="281"/>
        <v>547.187404092767</v>
      </c>
      <c r="Q404" s="17" t="str">
        <f t="shared" si="282"/>
        <v>1+8729.52634584026i</v>
      </c>
      <c r="R404" s="17">
        <f t="shared" ref="R404:R467" si="291">IMABS(Q404)</f>
        <v>8729.5264031171373</v>
      </c>
      <c r="S404" s="17">
        <f t="shared" ref="S404:S467" si="292">IMARGUMENT(Q404)</f>
        <v>1.5706817730429508</v>
      </c>
      <c r="T404" s="17" t="str">
        <f t="shared" si="283"/>
        <v>1+0.165179550962663i</v>
      </c>
      <c r="U404" s="17">
        <f t="shared" ref="U404:U467" si="293">IMABS(T404)</f>
        <v>1.0135503362222456</v>
      </c>
      <c r="V404" s="17">
        <f t="shared" ref="V404:V467" si="294">IMARGUMENT(T404)</f>
        <v>0.1637014060220493</v>
      </c>
      <c r="W404" s="31" t="str">
        <f t="shared" si="284"/>
        <v>1-2.86838385608614i</v>
      </c>
      <c r="X404" s="17">
        <f t="shared" ref="X404:X467" si="295">IMABS(W404)</f>
        <v>3.0377007663454267</v>
      </c>
      <c r="Y404" s="17">
        <f t="shared" ref="Y404:Y467" si="296">IMARGUMENT(W404)</f>
        <v>-1.2353439680735947</v>
      </c>
      <c r="Z404" s="31" t="str">
        <f t="shared" si="285"/>
        <v>-0.73490069504058+13.7242593298186i</v>
      </c>
      <c r="AA404" s="17">
        <f t="shared" ref="AA404:AA467" si="297">IMABS(Z404)</f>
        <v>13.74392131757469</v>
      </c>
      <c r="AB404" s="17">
        <f t="shared" ref="AB404:AB467" si="298">IMARGUMENT(Z404)</f>
        <v>1.62429280186787</v>
      </c>
      <c r="AC404" s="66" t="str">
        <f t="shared" ref="AC404:AC467" si="299">(IMDIV(IMPRODUCT(P404,T404,W404),IMPRODUCT(Q404,Z404)))</f>
        <v>-0.00605421598167006+0.0126696757998838i</v>
      </c>
      <c r="AD404" s="64">
        <f t="shared" ref="AD404:AD467" si="300">20*LOG(IMABS(AC404))</f>
        <v>-37.05149877271969</v>
      </c>
      <c r="AE404" s="61">
        <f t="shared" ref="AE404:AE467" si="301">(180/PI())*IMARGUMENT(AC404)</f>
        <v>115.54084525386577</v>
      </c>
      <c r="AF404" s="31" t="str">
        <f t="shared" si="286"/>
        <v>-6627.51882264077</v>
      </c>
      <c r="AG404" s="31" t="str">
        <f t="shared" ref="AG404:AG467" si="302">COMPLEX(0,1*2*PI()*O404)</f>
        <v>455176.538033572i</v>
      </c>
      <c r="AH404" s="31">
        <f t="shared" ref="AH404:AH467" si="303">IMABS(AG404)</f>
        <v>455176.53803357203</v>
      </c>
      <c r="AI404" s="31">
        <f t="shared" ref="AI404:AI467" si="304">IMARGUMENT(AG404)</f>
        <v>1.5707963267948966</v>
      </c>
      <c r="AJ404" s="31" t="str">
        <f t="shared" si="287"/>
        <v>-23.7255391438351+222.192151158398i</v>
      </c>
      <c r="AK404" s="31">
        <f t="shared" ref="AK404:AK467" si="305">IMABS(AJ404)</f>
        <v>223.45526005010942</v>
      </c>
      <c r="AL404" s="31">
        <f t="shared" ref="AL404:AL467" si="306">IMARGUMENT(AJ404)</f>
        <v>1.6771726292540736</v>
      </c>
      <c r="AM404" s="31" t="str">
        <f t="shared" si="288"/>
        <v>1+263.97052970181i</v>
      </c>
      <c r="AN404" s="31">
        <f t="shared" ref="AN404:AN467" si="307">IMABS(AM404)</f>
        <v>263.97242384585206</v>
      </c>
      <c r="AO404" s="31">
        <f t="shared" ref="AO404:AO467" si="308">IMARGUMENT(AM404)</f>
        <v>1.5670080432413211</v>
      </c>
      <c r="AP404" s="31" t="str">
        <f t="shared" si="289"/>
        <v>1+213.022619799711i</v>
      </c>
      <c r="AQ404" s="31">
        <f t="shared" ref="AQ404:AQ467" si="309">IMABS(AP404)</f>
        <v>213.02496695535999</v>
      </c>
      <c r="AR404" s="31">
        <f t="shared" ref="AR404:AR467" si="310">IMARGUMENT(AP404)</f>
        <v>1.5661020241173833</v>
      </c>
      <c r="AS404" s="58" t="str">
        <f t="shared" ref="AS404:AS467" si="311">IMDIV(IMPRODUCT(AF404,AM404,AP404),IMPRODUCT(AG404,AJ404))</f>
        <v>-3.63997613291292+0.419931899202617i</v>
      </c>
      <c r="AT404" s="49">
        <f t="shared" ref="AT404:AT467" si="312">20*LOG(IMABS(AS404))</f>
        <v>11.279391721219907</v>
      </c>
      <c r="AU404" s="61">
        <f t="shared" ref="AU404:AU467" si="313">(180/PI())*IMARGUMENT(AS404)</f>
        <v>173.41907043848488</v>
      </c>
      <c r="AV404" s="58" t="str">
        <f t="shared" si="290"/>
        <v>0.0167168006558523-0.048659675938687i</v>
      </c>
      <c r="AW404" s="64">
        <f t="shared" ref="AW404:AW467" si="314">20*LOG(IMABS(AV404))</f>
        <v>-25.772107051499784</v>
      </c>
      <c r="AX404" s="61">
        <f t="shared" ref="AX404:AX467" si="315">(180/PI())*IMARGUMENT(AV404)</f>
        <v>-71.040084307649423</v>
      </c>
    </row>
    <row r="405" spans="14:50" x14ac:dyDescent="0.35">
      <c r="N405" s="10">
        <v>87</v>
      </c>
      <c r="O405" s="50">
        <f t="shared" si="280"/>
        <v>74131.024130091857</v>
      </c>
      <c r="P405" s="48" t="str">
        <f t="shared" si="281"/>
        <v>547.187404092767</v>
      </c>
      <c r="Q405" s="17" t="str">
        <f t="shared" si="282"/>
        <v>1+8932.86313562856i</v>
      </c>
      <c r="R405" s="17">
        <f t="shared" si="291"/>
        <v>8932.8631916016566</v>
      </c>
      <c r="S405" s="17">
        <f t="shared" si="292"/>
        <v>1.5706843806046731</v>
      </c>
      <c r="T405" s="17" t="str">
        <f t="shared" si="283"/>
        <v>1+0.169027076968175i</v>
      </c>
      <c r="U405" s="17">
        <f t="shared" si="293"/>
        <v>1.0141844766847921</v>
      </c>
      <c r="V405" s="17">
        <f t="shared" si="294"/>
        <v>0.16744441007259456</v>
      </c>
      <c r="W405" s="31" t="str">
        <f t="shared" si="284"/>
        <v>1-2.9351970991042i</v>
      </c>
      <c r="X405" s="17">
        <f t="shared" si="295"/>
        <v>3.1008679447196252</v>
      </c>
      <c r="Y405" s="17">
        <f t="shared" si="296"/>
        <v>-1.2424370982739525</v>
      </c>
      <c r="Z405" s="31" t="str">
        <f t="shared" si="285"/>
        <v>-0.81666404581034+14.0439383964471i</v>
      </c>
      <c r="AA405" s="17">
        <f t="shared" si="297"/>
        <v>14.067663126721524</v>
      </c>
      <c r="AB405" s="17">
        <f t="shared" si="298"/>
        <v>1.6288815568899788</v>
      </c>
      <c r="AC405" s="66" t="str">
        <f t="shared" si="299"/>
        <v>-0.00580583131724112+0.0124021055078258i</v>
      </c>
      <c r="AD405" s="64">
        <f t="shared" si="300"/>
        <v>-37.269526411716349</v>
      </c>
      <c r="AE405" s="61">
        <f t="shared" si="301"/>
        <v>115.0858314663773</v>
      </c>
      <c r="AF405" s="31" t="str">
        <f t="shared" si="286"/>
        <v>-6627.51882264077</v>
      </c>
      <c r="AG405" s="31" t="str">
        <f t="shared" si="302"/>
        <v>465778.961620369i</v>
      </c>
      <c r="AH405" s="31">
        <f t="shared" si="303"/>
        <v>465778.96162036899</v>
      </c>
      <c r="AI405" s="31">
        <f t="shared" si="304"/>
        <v>1.5707963267948966</v>
      </c>
      <c r="AJ405" s="31" t="str">
        <f t="shared" si="287"/>
        <v>-24.8908179034597+227.367671220175i</v>
      </c>
      <c r="AK405" s="31">
        <f t="shared" si="305"/>
        <v>228.72606045658372</v>
      </c>
      <c r="AL405" s="31">
        <f t="shared" si="306"/>
        <v>1.6798359797014875</v>
      </c>
      <c r="AM405" s="31" t="str">
        <f t="shared" si="288"/>
        <v>1+270.119193212501i</v>
      </c>
      <c r="AN405" s="31">
        <f t="shared" si="307"/>
        <v>270.12104424085965</v>
      </c>
      <c r="AO405" s="31">
        <f t="shared" si="308"/>
        <v>1.5670942743057512</v>
      </c>
      <c r="AP405" s="31" t="str">
        <f t="shared" si="289"/>
        <v>1+217.984554038332i</v>
      </c>
      <c r="AQ405" s="31">
        <f t="shared" si="309"/>
        <v>217.98684776676433</v>
      </c>
      <c r="AR405" s="31">
        <f t="shared" si="310"/>
        <v>1.5662088779753864</v>
      </c>
      <c r="AS405" s="58" t="str">
        <f t="shared" si="311"/>
        <v>-3.63787692292062+0.428798462508832i</v>
      </c>
      <c r="AT405" s="49">
        <f t="shared" si="312"/>
        <v>11.276883257231535</v>
      </c>
      <c r="AU405" s="61">
        <f t="shared" si="313"/>
        <v>173.27753464962686</v>
      </c>
      <c r="AV405" s="58" t="str">
        <f t="shared" si="290"/>
        <v>0.0158028959937333-0.0476068649649648i</v>
      </c>
      <c r="AW405" s="64">
        <f t="shared" si="314"/>
        <v>-25.99264315448481</v>
      </c>
      <c r="AX405" s="61">
        <f t="shared" si="315"/>
        <v>-71.636633883995827</v>
      </c>
    </row>
    <row r="406" spans="14:50" x14ac:dyDescent="0.35">
      <c r="N406" s="10">
        <v>88</v>
      </c>
      <c r="O406" s="50">
        <f t="shared" si="280"/>
        <v>75857.757502918481</v>
      </c>
      <c r="P406" s="48" t="str">
        <f t="shared" si="281"/>
        <v>547.187404092767</v>
      </c>
      <c r="Q406" s="17" t="str">
        <f t="shared" si="282"/>
        <v>1+9140.93624769178i</v>
      </c>
      <c r="R406" s="17">
        <f t="shared" si="291"/>
        <v>9140.9363023907699</v>
      </c>
      <c r="S406" s="17">
        <f t="shared" si="292"/>
        <v>1.5706869288110454</v>
      </c>
      <c r="T406" s="17" t="str">
        <f t="shared" si="283"/>
        <v>1+0.172964223367233i</v>
      </c>
      <c r="U406" s="17">
        <f t="shared" si="293"/>
        <v>1.0148480785639937</v>
      </c>
      <c r="V406" s="17">
        <f t="shared" si="294"/>
        <v>0.17126970240918971</v>
      </c>
      <c r="W406" s="31" t="str">
        <f t="shared" si="284"/>
        <v>1-3.00356662247612i</v>
      </c>
      <c r="X406" s="17">
        <f t="shared" si="295"/>
        <v>3.1656614562603829</v>
      </c>
      <c r="Y406" s="17">
        <f t="shared" si="296"/>
        <v>-1.2494020534148109</v>
      </c>
      <c r="Z406" s="31" t="str">
        <f t="shared" si="285"/>
        <v>-0.90228078458565+14.3710637451069i</v>
      </c>
      <c r="AA406" s="17">
        <f t="shared" si="297"/>
        <v>14.399360533723657</v>
      </c>
      <c r="AB406" s="17">
        <f t="shared" si="298"/>
        <v>1.633498575556745</v>
      </c>
      <c r="AC406" s="66" t="str">
        <f t="shared" si="299"/>
        <v>-0.00556847827710427+0.0121395071940692i</v>
      </c>
      <c r="AD406" s="64">
        <f t="shared" si="300"/>
        <v>-37.486645889860625</v>
      </c>
      <c r="AE406" s="61">
        <f t="shared" si="301"/>
        <v>114.6412603535895</v>
      </c>
      <c r="AF406" s="31" t="str">
        <f t="shared" si="286"/>
        <v>-6627.51882264077</v>
      </c>
      <c r="AG406" s="31" t="str">
        <f t="shared" si="302"/>
        <v>476628.347377929i</v>
      </c>
      <c r="AH406" s="31">
        <f t="shared" si="303"/>
        <v>476628.34737792902</v>
      </c>
      <c r="AI406" s="31">
        <f t="shared" si="304"/>
        <v>1.5707963267948966</v>
      </c>
      <c r="AJ406" s="31" t="str">
        <f t="shared" si="287"/>
        <v>-26.1110145590999+232.663744630799i</v>
      </c>
      <c r="AK406" s="31">
        <f t="shared" si="305"/>
        <v>234.12433266734831</v>
      </c>
      <c r="AL406" s="31">
        <f t="shared" si="306"/>
        <v>1.6825551008636432</v>
      </c>
      <c r="AM406" s="31" t="str">
        <f t="shared" si="288"/>
        <v>1+276.411077494883i</v>
      </c>
      <c r="AN406" s="31">
        <f t="shared" si="307"/>
        <v>276.41288638897106</v>
      </c>
      <c r="AO406" s="31">
        <f t="shared" si="308"/>
        <v>1.5671785425647147</v>
      </c>
      <c r="AP406" s="31" t="str">
        <f t="shared" si="289"/>
        <v>1+223.06206657287i</v>
      </c>
      <c r="AQ406" s="31">
        <f t="shared" si="309"/>
        <v>223.06430809019963</v>
      </c>
      <c r="AR406" s="31">
        <f t="shared" si="310"/>
        <v>1.5663132996438554</v>
      </c>
      <c r="AS406" s="58" t="str">
        <f t="shared" si="311"/>
        <v>-3.63568137580541+0.43787013441813i</v>
      </c>
      <c r="AT406" s="49">
        <f t="shared" si="312"/>
        <v>11.274258411233944</v>
      </c>
      <c r="AU406" s="61">
        <f t="shared" si="313"/>
        <v>173.13255161952907</v>
      </c>
      <c r="AV406" s="58" t="str">
        <f t="shared" si="290"/>
        <v>0.0149296851168081-0.0465736505486333i</v>
      </c>
      <c r="AW406" s="64">
        <f t="shared" si="314"/>
        <v>-26.212387478626678</v>
      </c>
      <c r="AX406" s="61">
        <f t="shared" si="315"/>
        <v>-72.226188026881388</v>
      </c>
    </row>
    <row r="407" spans="14:50" x14ac:dyDescent="0.35">
      <c r="N407" s="10">
        <v>89</v>
      </c>
      <c r="O407" s="50">
        <f t="shared" si="280"/>
        <v>77624.711662869129</v>
      </c>
      <c r="P407" s="48" t="str">
        <f t="shared" si="281"/>
        <v>547.187404092767</v>
      </c>
      <c r="Q407" s="17" t="str">
        <f t="shared" si="282"/>
        <v>1+9353.85600514811i</v>
      </c>
      <c r="R407" s="17">
        <f t="shared" si="291"/>
        <v>9353.856058602003</v>
      </c>
      <c r="S407" s="17">
        <f t="shared" si="292"/>
        <v>1.5706894190131604</v>
      </c>
      <c r="T407" s="17" t="str">
        <f t="shared" si="283"/>
        <v>1+0.176993077686972i</v>
      </c>
      <c r="U407" s="17">
        <f t="shared" si="293"/>
        <v>1.015542490272616</v>
      </c>
      <c r="V407" s="17">
        <f t="shared" si="294"/>
        <v>0.17517886322821191</v>
      </c>
      <c r="W407" s="31" t="str">
        <f t="shared" si="284"/>
        <v>1-3.07352867662819i</v>
      </c>
      <c r="X407" s="17">
        <f t="shared" si="295"/>
        <v>3.2321167253142069</v>
      </c>
      <c r="Y407" s="17">
        <f t="shared" si="296"/>
        <v>-1.2562398225175293</v>
      </c>
      <c r="Z407" s="31" t="str">
        <f t="shared" si="285"/>
        <v>-0.99193251594829+14.7058088219879i</v>
      </c>
      <c r="AA407" s="17">
        <f t="shared" si="297"/>
        <v>14.739224648028561</v>
      </c>
      <c r="AB407" s="17">
        <f t="shared" si="298"/>
        <v>1.638146057557182</v>
      </c>
      <c r="AC407" s="66" t="str">
        <f t="shared" si="299"/>
        <v>-0.00534166859554078+0.0118818469957588i</v>
      </c>
      <c r="AD407" s="64">
        <f t="shared" si="300"/>
        <v>-37.702881869840155</v>
      </c>
      <c r="AE407" s="61">
        <f t="shared" si="301"/>
        <v>114.20703967702734</v>
      </c>
      <c r="AF407" s="31" t="str">
        <f t="shared" si="286"/>
        <v>-6627.51882264077</v>
      </c>
      <c r="AG407" s="31" t="str">
        <f t="shared" si="302"/>
        <v>487730.447794191i</v>
      </c>
      <c r="AH407" s="31">
        <f t="shared" si="303"/>
        <v>487730.44779419102</v>
      </c>
      <c r="AI407" s="31">
        <f t="shared" si="304"/>
        <v>1.5707963267948966</v>
      </c>
      <c r="AJ407" s="31" t="str">
        <f t="shared" si="287"/>
        <v>-27.388717311457+238.083179438495i</v>
      </c>
      <c r="AK407" s="31">
        <f t="shared" si="305"/>
        <v>239.65337921153855</v>
      </c>
      <c r="AL407" s="31">
        <f t="shared" si="306"/>
        <v>1.6853312906625981</v>
      </c>
      <c r="AM407" s="31" t="str">
        <f t="shared" si="288"/>
        <v>1+282.849518589285i</v>
      </c>
      <c r="AN407" s="31">
        <f t="shared" si="307"/>
        <v>282.85128630817701</v>
      </c>
      <c r="AO407" s="31">
        <f t="shared" si="308"/>
        <v>1.5672608926935674</v>
      </c>
      <c r="AP407" s="31" t="str">
        <f t="shared" si="289"/>
        <v>1+228.257849567681i</v>
      </c>
      <c r="AQ407" s="31">
        <f t="shared" si="309"/>
        <v>228.26004006234226</v>
      </c>
      <c r="AR407" s="31">
        <f t="shared" si="310"/>
        <v>1.5664153444794271</v>
      </c>
      <c r="AS407" s="58" t="str">
        <f t="shared" si="311"/>
        <v>-3.63338519631177+0.447150176994033i</v>
      </c>
      <c r="AT407" s="49">
        <f t="shared" si="312"/>
        <v>11.271511832560261</v>
      </c>
      <c r="AU407" s="61">
        <f t="shared" si="313"/>
        <v>172.98405271414671</v>
      </c>
      <c r="AV407" s="58" t="str">
        <f t="shared" si="290"/>
        <v>0.0140953696114718-0.045559855037171i</v>
      </c>
      <c r="AW407" s="64">
        <f t="shared" si="314"/>
        <v>-26.431370037279901</v>
      </c>
      <c r="AX407" s="61">
        <f t="shared" si="315"/>
        <v>-72.808907608825933</v>
      </c>
    </row>
    <row r="408" spans="14:50" x14ac:dyDescent="0.35">
      <c r="N408" s="10">
        <v>90</v>
      </c>
      <c r="O408" s="50">
        <f t="shared" si="280"/>
        <v>79432.823472428237</v>
      </c>
      <c r="P408" s="48" t="str">
        <f t="shared" si="281"/>
        <v>547.187404092767</v>
      </c>
      <c r="Q408" s="17" t="str">
        <f t="shared" si="282"/>
        <v>1+9571.73530087133i</v>
      </c>
      <c r="R408" s="17">
        <f t="shared" si="291"/>
        <v>9571.7353531084627</v>
      </c>
      <c r="S408" s="17">
        <f t="shared" si="292"/>
        <v>1.5706918525313562</v>
      </c>
      <c r="T408" s="17" t="str">
        <f t="shared" si="283"/>
        <v>1+0.181115776079282i</v>
      </c>
      <c r="U408" s="17">
        <f t="shared" si="293"/>
        <v>1.0162691200389791</v>
      </c>
      <c r="V408" s="17">
        <f t="shared" si="294"/>
        <v>0.17917348707653605</v>
      </c>
      <c r="W408" s="31" t="str">
        <f t="shared" si="284"/>
        <v>1-3.14512035636757i</v>
      </c>
      <c r="X408" s="17">
        <f t="shared" si="295"/>
        <v>3.3002699974453105</v>
      </c>
      <c r="Y408" s="17">
        <f t="shared" si="296"/>
        <v>-1.2629514725828768</v>
      </c>
      <c r="Z408" s="31" t="str">
        <f t="shared" si="285"/>
        <v>-1.08580940324031+15.0483511133608i</v>
      </c>
      <c r="AA408" s="17">
        <f t="shared" si="297"/>
        <v>15.087473389907014</v>
      </c>
      <c r="AB408" s="17">
        <f t="shared" si="298"/>
        <v>1.642826206279931</v>
      </c>
      <c r="AC408" s="66" t="str">
        <f t="shared" si="299"/>
        <v>-0.00512493506226239+0.0116290867037329i</v>
      </c>
      <c r="AD408" s="64">
        <f t="shared" si="300"/>
        <v>-37.918258142629739</v>
      </c>
      <c r="AE408" s="61">
        <f t="shared" si="301"/>
        <v>113.78307334233631</v>
      </c>
      <c r="AF408" s="31" t="str">
        <f t="shared" si="286"/>
        <v>-6627.51882264077</v>
      </c>
      <c r="AG408" s="31" t="str">
        <f t="shared" si="302"/>
        <v>499091.149349751i</v>
      </c>
      <c r="AH408" s="31">
        <f t="shared" si="303"/>
        <v>499091.14934975101</v>
      </c>
      <c r="AI408" s="31">
        <f t="shared" si="304"/>
        <v>1.5707963267948966</v>
      </c>
      <c r="AJ408" s="31" t="str">
        <f t="shared" si="287"/>
        <v>-28.7266363393735+243.628849099334i</v>
      </c>
      <c r="AK408" s="31">
        <f t="shared" si="305"/>
        <v>245.31660308434215</v>
      </c>
      <c r="AL408" s="31">
        <f t="shared" si="306"/>
        <v>1.6881658672816366</v>
      </c>
      <c r="AM408" s="31" t="str">
        <f t="shared" si="288"/>
        <v>1+289.437930242401i</v>
      </c>
      <c r="AN408" s="31">
        <f t="shared" si="307"/>
        <v>289.43965772334138</v>
      </c>
      <c r="AO408" s="31">
        <f t="shared" si="308"/>
        <v>1.567341368350968</v>
      </c>
      <c r="AP408" s="31" t="str">
        <f t="shared" si="289"/>
        <v>1+233.574657895683i</v>
      </c>
      <c r="AQ408" s="31">
        <f t="shared" si="309"/>
        <v>233.57679852906054</v>
      </c>
      <c r="AR408" s="31">
        <f t="shared" si="310"/>
        <v>1.5665150665791181</v>
      </c>
      <c r="AS408" s="58" t="str">
        <f t="shared" si="311"/>
        <v>-3.63098390965476+0.456641857226104i</v>
      </c>
      <c r="AT408" s="49">
        <f t="shared" si="312"/>
        <v>11.26863793287507</v>
      </c>
      <c r="AU408" s="61">
        <f t="shared" si="313"/>
        <v>172.8319680081284</v>
      </c>
      <c r="AV408" s="58" t="str">
        <f t="shared" si="290"/>
        <v>0.0132982289988643-0.0445652865702289i</v>
      </c>
      <c r="AW408" s="64">
        <f t="shared" si="314"/>
        <v>-26.649620209754676</v>
      </c>
      <c r="AX408" s="61">
        <f t="shared" si="315"/>
        <v>-73.384958649535221</v>
      </c>
    </row>
    <row r="409" spans="14:50" x14ac:dyDescent="0.35">
      <c r="N409" s="10">
        <v>91</v>
      </c>
      <c r="O409" s="50">
        <f t="shared" si="280"/>
        <v>81283.051616410012</v>
      </c>
      <c r="P409" s="48" t="str">
        <f t="shared" si="281"/>
        <v>547.187404092767</v>
      </c>
      <c r="Q409" s="17" t="str">
        <f t="shared" si="282"/>
        <v>1+9794.68965734794i</v>
      </c>
      <c r="R409" s="17">
        <f t="shared" si="291"/>
        <v>9794.6897083960102</v>
      </c>
      <c r="S409" s="17">
        <f t="shared" si="292"/>
        <v>1.5706942306559164</v>
      </c>
      <c r="T409" s="17" t="str">
        <f t="shared" si="283"/>
        <v>1+0.18533450445342i</v>
      </c>
      <c r="U409" s="17">
        <f t="shared" si="293"/>
        <v>1.017029438384649</v>
      </c>
      <c r="V409" s="17">
        <f t="shared" si="294"/>
        <v>0.18325518176602881</v>
      </c>
      <c r="W409" s="31" t="str">
        <f t="shared" si="284"/>
        <v>1-3.21837962055048i</v>
      </c>
      <c r="X409" s="17">
        <f t="shared" si="295"/>
        <v>3.3701583615573099</v>
      </c>
      <c r="Y409" s="17">
        <f t="shared" si="296"/>
        <v>-1.2695381426950043</v>
      </c>
      <c r="Z409" s="31" t="str">
        <f t="shared" si="285"/>
        <v>-1.18411057192594+15.3988722396823i</v>
      </c>
      <c r="AA409" s="17">
        <f t="shared" si="297"/>
        <v>15.444331779025111</v>
      </c>
      <c r="AB409" s="17">
        <f t="shared" si="298"/>
        <v>1.6475412288433593</v>
      </c>
      <c r="AC409" s="66" t="str">
        <f t="shared" si="299"/>
        <v>-0.00491783064637867+0.0113811841922231i</v>
      </c>
      <c r="AD409" s="64">
        <f t="shared" si="300"/>
        <v>-38.132797615825659</v>
      </c>
      <c r="AE409" s="61">
        <f t="shared" si="301"/>
        <v>113.36926167314141</v>
      </c>
      <c r="AF409" s="31" t="str">
        <f t="shared" si="286"/>
        <v>-6627.51882264077</v>
      </c>
      <c r="AG409" s="31" t="str">
        <f t="shared" si="302"/>
        <v>510716.475638947i</v>
      </c>
      <c r="AH409" s="31">
        <f t="shared" si="303"/>
        <v>510716.47563894698</v>
      </c>
      <c r="AI409" s="31">
        <f t="shared" si="304"/>
        <v>1.5707963267948966</v>
      </c>
      <c r="AJ409" s="31" t="str">
        <f t="shared" si="287"/>
        <v>-30.1276095484853+249.303694000774i</v>
      </c>
      <c r="AK409" s="31">
        <f t="shared" si="305"/>
        <v>251.11751173412327</v>
      </c>
      <c r="AL409" s="31">
        <f t="shared" si="306"/>
        <v>1.6910601691831346</v>
      </c>
      <c r="AM409" s="31" t="str">
        <f t="shared" si="288"/>
        <v>1+296.179805717295i</v>
      </c>
      <c r="AN409" s="31">
        <f t="shared" si="307"/>
        <v>296.18149387619508</v>
      </c>
      <c r="AO409" s="31">
        <f t="shared" si="308"/>
        <v>1.567420012202003</v>
      </c>
      <c r="AP409" s="31" t="str">
        <f t="shared" si="289"/>
        <v>1+239.015310599027i</v>
      </c>
      <c r="AQ409" s="31">
        <f t="shared" si="309"/>
        <v>239.01740250607139</v>
      </c>
      <c r="AR409" s="31">
        <f t="shared" si="310"/>
        <v>1.5666125188089679</v>
      </c>
      <c r="AS409" s="58" t="str">
        <f t="shared" si="311"/>
        <v>-3.6284728551597+0.466348441820433i</v>
      </c>
      <c r="AT409" s="49">
        <f t="shared" si="312"/>
        <v>11.265630876245478</v>
      </c>
      <c r="AU409" s="61">
        <f t="shared" si="313"/>
        <v>172.67622628675934</v>
      </c>
      <c r="AV409" s="58" t="str">
        <f t="shared" si="290"/>
        <v>0.0125366174925429-0.0435897405601297i</v>
      </c>
      <c r="AW409" s="64">
        <f t="shared" si="314"/>
        <v>-26.867166739580171</v>
      </c>
      <c r="AX409" s="61">
        <f t="shared" si="315"/>
        <v>-73.954512040099246</v>
      </c>
    </row>
    <row r="410" spans="14:50" x14ac:dyDescent="0.35">
      <c r="N410" s="10">
        <v>92</v>
      </c>
      <c r="O410" s="50">
        <f t="shared" si="280"/>
        <v>83176.377110267174</v>
      </c>
      <c r="P410" s="48" t="str">
        <f t="shared" si="281"/>
        <v>547.187404092767</v>
      </c>
      <c r="Q410" s="17" t="str">
        <f t="shared" si="282"/>
        <v>1+10022.8372879289i</v>
      </c>
      <c r="R410" s="17">
        <f t="shared" si="291"/>
        <v>10022.837337814974</v>
      </c>
      <c r="S410" s="17">
        <f t="shared" si="292"/>
        <v>1.5706965546477536</v>
      </c>
      <c r="T410" s="17" t="str">
        <f t="shared" si="283"/>
        <v>1+0.189651499635011i</v>
      </c>
      <c r="U410" s="17">
        <f t="shared" si="293"/>
        <v>1.0178249806886293</v>
      </c>
      <c r="V410" s="17">
        <f t="shared" si="294"/>
        <v>0.18742556718223025</v>
      </c>
      <c r="W410" s="31" t="str">
        <f t="shared" si="284"/>
        <v>1-3.2933453122085i</v>
      </c>
      <c r="X410" s="17">
        <f t="shared" si="295"/>
        <v>3.4418197723654425</v>
      </c>
      <c r="Y410" s="17">
        <f t="shared" si="296"/>
        <v>-1.2760010383159546</v>
      </c>
      <c r="Z410" s="31" t="str">
        <f t="shared" si="285"/>
        <v>-1.28704453196344+15.7575580518936i</v>
      </c>
      <c r="AA410" s="17">
        <f t="shared" si="297"/>
        <v>15.810032238615261</v>
      </c>
      <c r="AB410" s="17">
        <f t="shared" si="298"/>
        <v>1.6522933360743786</v>
      </c>
      <c r="AC410" s="66" t="str">
        <f t="shared" si="299"/>
        <v>-0.00471992765338466+0.0111380938175634i</v>
      </c>
      <c r="AD410" s="64">
        <f t="shared" si="300"/>
        <v>-38.346522304752767</v>
      </c>
      <c r="AE410" s="61">
        <f t="shared" si="301"/>
        <v>112.96550167086386</v>
      </c>
      <c r="AF410" s="31" t="str">
        <f t="shared" si="286"/>
        <v>-6627.51882264077</v>
      </c>
      <c r="AG410" s="31" t="str">
        <f t="shared" si="302"/>
        <v>522612.590563659i</v>
      </c>
      <c r="AH410" s="31">
        <f t="shared" si="303"/>
        <v>522612.59056365897</v>
      </c>
      <c r="AI410" s="31">
        <f t="shared" si="304"/>
        <v>1.5707963267948966</v>
      </c>
      <c r="AJ410" s="31" t="str">
        <f t="shared" si="287"/>
        <v>-31.5946085908007+255.110723020697i</v>
      </c>
      <c r="AK410" s="31">
        <f t="shared" si="305"/>
        <v>257.05972125587601</v>
      </c>
      <c r="AL410" s="31">
        <f t="shared" si="306"/>
        <v>1.6940155550924869</v>
      </c>
      <c r="AM410" s="31" t="str">
        <f t="shared" si="288"/>
        <v>1+303.078719645583i</v>
      </c>
      <c r="AN410" s="31">
        <f t="shared" si="307"/>
        <v>303.08036937750677</v>
      </c>
      <c r="AO410" s="31">
        <f t="shared" si="308"/>
        <v>1.56749686594079</v>
      </c>
      <c r="AP410" s="31" t="str">
        <f t="shared" si="289"/>
        <v>1+244.582692383792i</v>
      </c>
      <c r="AQ410" s="31">
        <f t="shared" si="309"/>
        <v>244.58473667362119</v>
      </c>
      <c r="AR410" s="31">
        <f t="shared" si="310"/>
        <v>1.5667077528320303</v>
      </c>
      <c r="AS410" s="58" t="str">
        <f t="shared" si="311"/>
        <v>-3.62584717978951+0.4762731915642i</v>
      </c>
      <c r="AT410" s="49">
        <f t="shared" si="312"/>
        <v>11.262484568864819</v>
      </c>
      <c r="AU410" s="61">
        <f t="shared" si="313"/>
        <v>172.51675504978084</v>
      </c>
      <c r="AV410" s="58" t="str">
        <f t="shared" si="290"/>
        <v>0.0118089608804029-0.0426330010640729i</v>
      </c>
      <c r="AW410" s="64">
        <f t="shared" si="314"/>
        <v>-27.084037735887946</v>
      </c>
      <c r="AX410" s="61">
        <f t="shared" si="315"/>
        <v>-74.517743279355287</v>
      </c>
    </row>
    <row r="411" spans="14:50" x14ac:dyDescent="0.35">
      <c r="N411" s="10">
        <v>93</v>
      </c>
      <c r="O411" s="50">
        <f t="shared" si="280"/>
        <v>85113.803820237721</v>
      </c>
      <c r="P411" s="48" t="str">
        <f t="shared" si="281"/>
        <v>547.187404092767</v>
      </c>
      <c r="Q411" s="17" t="str">
        <f t="shared" si="282"/>
        <v>1+10256.2991595079i</v>
      </c>
      <c r="R411" s="17">
        <f t="shared" si="291"/>
        <v>10256.299208258426</v>
      </c>
      <c r="S411" s="17">
        <f t="shared" si="292"/>
        <v>1.5706988257390793</v>
      </c>
      <c r="T411" s="17" t="str">
        <f t="shared" si="283"/>
        <v>1+0.194069050552042i</v>
      </c>
      <c r="U411" s="17">
        <f t="shared" si="293"/>
        <v>1.0186573498395675</v>
      </c>
      <c r="V411" s="17">
        <f t="shared" si="294"/>
        <v>0.19168627398126745</v>
      </c>
      <c r="W411" s="31" t="str">
        <f t="shared" si="284"/>
        <v>1-3.37005717914363i</v>
      </c>
      <c r="X411" s="17">
        <f t="shared" si="295"/>
        <v>3.5152930732298153</v>
      </c>
      <c r="Y411" s="17">
        <f t="shared" si="296"/>
        <v>-1.2823414257786578</v>
      </c>
      <c r="Z411" s="31" t="str">
        <f t="shared" si="285"/>
        <v>-1.39482962008262+16.1245987299599i</v>
      </c>
      <c r="AA411" s="17">
        <f t="shared" si="297"/>
        <v>16.184814916188699</v>
      </c>
      <c r="AB411" s="17">
        <f t="shared" si="298"/>
        <v>1.6570847424317265</v>
      </c>
      <c r="AC411" s="66" t="str">
        <f t="shared" si="299"/>
        <v>-0.00453081691422658+0.0108997667879027i</v>
      </c>
      <c r="AD411" s="64">
        <f t="shared" si="300"/>
        <v>-38.559453326167386</v>
      </c>
      <c r="AE411" s="61">
        <f t="shared" si="301"/>
        <v>112.57168725994478</v>
      </c>
      <c r="AF411" s="31" t="str">
        <f t="shared" si="286"/>
        <v>-6627.51882264077</v>
      </c>
      <c r="AG411" s="31" t="str">
        <f t="shared" si="302"/>
        <v>534785.801601483i</v>
      </c>
      <c r="AH411" s="31">
        <f t="shared" si="303"/>
        <v>534785.80160148302</v>
      </c>
      <c r="AI411" s="31">
        <f t="shared" si="304"/>
        <v>1.5707963267948966</v>
      </c>
      <c r="AJ411" s="31" t="str">
        <f t="shared" si="287"/>
        <v>-33.1307451679725+261.053015122756i</v>
      </c>
      <c r="AK411" s="31">
        <f t="shared" si="305"/>
        <v>263.14696080340167</v>
      </c>
      <c r="AL411" s="31">
        <f t="shared" si="306"/>
        <v>1.6970334039453558</v>
      </c>
      <c r="AM411" s="31" t="str">
        <f t="shared" si="288"/>
        <v>1+310.138329922748i</v>
      </c>
      <c r="AN411" s="31">
        <f t="shared" si="307"/>
        <v>310.13994210238593</v>
      </c>
      <c r="AO411" s="31">
        <f t="shared" si="308"/>
        <v>1.5675719703125646</v>
      </c>
      <c r="AP411" s="31" t="str">
        <f t="shared" si="289"/>
        <v>1+250.279755149494i</v>
      </c>
      <c r="AQ411" s="31">
        <f t="shared" si="309"/>
        <v>250.28175290598128</v>
      </c>
      <c r="AR411" s="31">
        <f t="shared" si="310"/>
        <v>1.5668008191357312</v>
      </c>
      <c r="AS411" s="58" t="str">
        <f t="shared" si="311"/>
        <v>-3.62310183157023+0.486419355238884i</v>
      </c>
      <c r="AT411" s="49">
        <f t="shared" si="312"/>
        <v>11.259192648422902</v>
      </c>
      <c r="AU411" s="61">
        <f t="shared" si="313"/>
        <v>172.35348051724569</v>
      </c>
      <c r="AV411" s="58" t="str">
        <f t="shared" si="290"/>
        <v>0.0111137535272179-0.0416948420550622i</v>
      </c>
      <c r="AW411" s="64">
        <f t="shared" si="314"/>
        <v>-27.300260677744475</v>
      </c>
      <c r="AX411" s="61">
        <f t="shared" si="315"/>
        <v>-75.074832222809519</v>
      </c>
    </row>
    <row r="412" spans="14:50" x14ac:dyDescent="0.35">
      <c r="N412" s="10">
        <v>94</v>
      </c>
      <c r="O412" s="50">
        <f t="shared" si="280"/>
        <v>87096.358995608127</v>
      </c>
      <c r="P412" s="48" t="str">
        <f t="shared" si="281"/>
        <v>547.187404092767</v>
      </c>
      <c r="Q412" s="17" t="str">
        <f t="shared" si="282"/>
        <v>1+10495.1990566594i</v>
      </c>
      <c r="R412" s="17">
        <f t="shared" si="291"/>
        <v>10495.199104300229</v>
      </c>
      <c r="S412" s="17">
        <f t="shared" si="292"/>
        <v>1.5707010451340557</v>
      </c>
      <c r="T412" s="17" t="str">
        <f t="shared" si="283"/>
        <v>1+0.198589499448484i</v>
      </c>
      <c r="U412" s="17">
        <f t="shared" si="293"/>
        <v>1.0195282189773853</v>
      </c>
      <c r="V412" s="17">
        <f t="shared" si="294"/>
        <v>0.19603894216890688</v>
      </c>
      <c r="W412" s="31" t="str">
        <f t="shared" si="284"/>
        <v>1-3.44855589500312i</v>
      </c>
      <c r="X412" s="17">
        <f t="shared" si="295"/>
        <v>3.5906180193611195</v>
      </c>
      <c r="Y412" s="17">
        <f t="shared" si="296"/>
        <v>-1.2885606269845253</v>
      </c>
      <c r="Z412" s="31" t="str">
        <f t="shared" si="285"/>
        <v>-1.50769446290641+16.5001888837071i</v>
      </c>
      <c r="AA412" s="17">
        <f t="shared" si="297"/>
        <v>16.568928021797003</v>
      </c>
      <c r="AB412" s="17">
        <f t="shared" si="298"/>
        <v>1.6619176658692849</v>
      </c>
      <c r="AC412" s="66" t="str">
        <f t="shared" si="299"/>
        <v>-0.00435010700550066+0.0106661515057932i</v>
      </c>
      <c r="AD412" s="64">
        <f t="shared" si="300"/>
        <v>-38.771610894388708</v>
      </c>
      <c r="AE412" s="61">
        <f t="shared" si="301"/>
        <v>112.18770951803143</v>
      </c>
      <c r="AF412" s="31" t="str">
        <f t="shared" si="286"/>
        <v>-6627.51882264077</v>
      </c>
      <c r="AG412" s="31" t="str">
        <f t="shared" si="302"/>
        <v>547242.563150044i</v>
      </c>
      <c r="AH412" s="31">
        <f t="shared" si="303"/>
        <v>547242.56315004395</v>
      </c>
      <c r="AI412" s="31">
        <f t="shared" si="304"/>
        <v>1.5707963267948966</v>
      </c>
      <c r="AJ412" s="31" t="str">
        <f t="shared" si="287"/>
        <v>-34.7392776316344+267.133720988878i</v>
      </c>
      <c r="AK412" s="31">
        <f t="shared" si="305"/>
        <v>269.38307723339176</v>
      </c>
      <c r="AL412" s="31">
        <f t="shared" si="306"/>
        <v>1.7001151147953448</v>
      </c>
      <c r="AM412" s="31" t="str">
        <f t="shared" si="288"/>
        <v>1+317.362379647605i</v>
      </c>
      <c r="AN412" s="31">
        <f t="shared" si="307"/>
        <v>317.36395512973837</v>
      </c>
      <c r="AO412" s="31">
        <f t="shared" si="308"/>
        <v>1.5676453651352682</v>
      </c>
      <c r="AP412" s="31" t="str">
        <f t="shared" si="289"/>
        <v>1+256.10951955422i</v>
      </c>
      <c r="AQ412" s="31">
        <f t="shared" si="309"/>
        <v>256.11147183656851</v>
      </c>
      <c r="AR412" s="31">
        <f t="shared" si="310"/>
        <v>1.5668917670586042</v>
      </c>
      <c r="AS412" s="58" t="str">
        <f t="shared" si="311"/>
        <v>-3.62023155292682+0.496790163055691i</v>
      </c>
      <c r="AT412" s="49">
        <f t="shared" si="312"/>
        <v>11.255748473117109</v>
      </c>
      <c r="AU412" s="61">
        <f t="shared" si="313"/>
        <v>172.18632763757674</v>
      </c>
      <c r="AV412" s="58" t="str">
        <f t="shared" si="290"/>
        <v>0.0104495554941818-0.0407750285981428i</v>
      </c>
      <c r="AW412" s="64">
        <f t="shared" si="314"/>
        <v>-27.515862421271603</v>
      </c>
      <c r="AX412" s="61">
        <f t="shared" si="315"/>
        <v>-75.625962844391807</v>
      </c>
    </row>
    <row r="413" spans="14:50" x14ac:dyDescent="0.35">
      <c r="N413" s="10">
        <v>95</v>
      </c>
      <c r="O413" s="50">
        <f t="shared" si="280"/>
        <v>89125.093813374609</v>
      </c>
      <c r="P413" s="48" t="str">
        <f t="shared" si="281"/>
        <v>547.187404092767</v>
      </c>
      <c r="Q413" s="17" t="str">
        <f t="shared" si="282"/>
        <v>1+10739.6636472712i</v>
      </c>
      <c r="R413" s="17">
        <f t="shared" si="291"/>
        <v>10739.663693827593</v>
      </c>
      <c r="S413" s="17">
        <f t="shared" si="292"/>
        <v>1.5707032140094357</v>
      </c>
      <c r="T413" s="17" t="str">
        <f t="shared" si="283"/>
        <v>1+0.203215243126177i</v>
      </c>
      <c r="U413" s="17">
        <f t="shared" si="293"/>
        <v>1.0204393343255791</v>
      </c>
      <c r="V413" s="17">
        <f t="shared" si="294"/>
        <v>0.20048521955549983</v>
      </c>
      <c r="W413" s="31" t="str">
        <f t="shared" si="284"/>
        <v>1-3.52888308084518i</v>
      </c>
      <c r="X413" s="17">
        <f t="shared" si="295"/>
        <v>3.6678353014108156</v>
      </c>
      <c r="Y413" s="17">
        <f t="shared" si="296"/>
        <v>-1.2946600143100389</v>
      </c>
      <c r="Z413" s="31" t="str">
        <f t="shared" si="285"/>
        <v>-1.62587846189846+16.8845276560063i</v>
      </c>
      <c r="AA413" s="17">
        <f t="shared" si="297"/>
        <v>16.962628184904215</v>
      </c>
      <c r="AB413" s="17">
        <f t="shared" si="298"/>
        <v>1.6667943276348509</v>
      </c>
      <c r="AC413" s="66" t="str">
        <f t="shared" si="299"/>
        <v>-0.00417742349984254+0.010437193885418i</v>
      </c>
      <c r="AD413" s="64">
        <f t="shared" si="300"/>
        <v>-38.983014319697183</v>
      </c>
      <c r="AE413" s="61">
        <f t="shared" si="301"/>
        <v>111.81345689077467</v>
      </c>
      <c r="AF413" s="31" t="str">
        <f t="shared" si="286"/>
        <v>-6627.51882264077</v>
      </c>
      <c r="AG413" s="31" t="str">
        <f t="shared" si="302"/>
        <v>559989.479949198i</v>
      </c>
      <c r="AH413" s="31">
        <f t="shared" si="303"/>
        <v>559989.47994919796</v>
      </c>
      <c r="AI413" s="31">
        <f t="shared" si="304"/>
        <v>1.5707963267948966</v>
      </c>
      <c r="AJ413" s="31" t="str">
        <f t="shared" si="287"/>
        <v>-36.4236178948013+273.356064689801i</v>
      </c>
      <c r="AK413" s="31">
        <f t="shared" si="305"/>
        <v>275.77203999543019</v>
      </c>
      <c r="AL413" s="31">
        <f t="shared" si="306"/>
        <v>1.7032621066790197</v>
      </c>
      <c r="AM413" s="31" t="str">
        <f t="shared" si="288"/>
        <v>1+324.754699106939i</v>
      </c>
      <c r="AN413" s="31">
        <f t="shared" si="307"/>
        <v>324.7562387268926</v>
      </c>
      <c r="AO413" s="31">
        <f t="shared" si="308"/>
        <v>1.5677170893206425</v>
      </c>
      <c r="AP413" s="31" t="str">
        <f t="shared" si="289"/>
        <v>1+262.075076616224i</v>
      </c>
      <c r="AQ413" s="31">
        <f t="shared" si="309"/>
        <v>262.07698445952803</v>
      </c>
      <c r="AR413" s="31">
        <f t="shared" si="310"/>
        <v>1.5669806448164203</v>
      </c>
      <c r="AS413" s="58" t="str">
        <f t="shared" si="311"/>
        <v>-3.61723087394391+0.507388819585959i</v>
      </c>
      <c r="AT413" s="49">
        <f t="shared" si="312"/>
        <v>11.252145110300813</v>
      </c>
      <c r="AU413" s="61">
        <f t="shared" si="313"/>
        <v>172.01522009800667</v>
      </c>
      <c r="AV413" s="58" t="str">
        <f t="shared" si="290"/>
        <v>0.00981498977185723-0.0398733179381683i</v>
      </c>
      <c r="AW413" s="64">
        <f t="shared" si="314"/>
        <v>-27.730869209396374</v>
      </c>
      <c r="AX413" s="61">
        <f t="shared" si="315"/>
        <v>-76.171323011218632</v>
      </c>
    </row>
    <row r="414" spans="14:50" x14ac:dyDescent="0.35">
      <c r="N414" s="10">
        <v>96</v>
      </c>
      <c r="O414" s="50">
        <f t="shared" si="280"/>
        <v>91201.083935591028</v>
      </c>
      <c r="P414" s="48" t="str">
        <f t="shared" si="281"/>
        <v>547.187404092767</v>
      </c>
      <c r="Q414" s="17" t="str">
        <f t="shared" si="282"/>
        <v>1+10989.822549705i</v>
      </c>
      <c r="R414" s="17">
        <f t="shared" si="291"/>
        <v>10989.82259520164</v>
      </c>
      <c r="S414" s="17">
        <f t="shared" si="292"/>
        <v>1.5707053335151855</v>
      </c>
      <c r="T414" s="17" t="str">
        <f t="shared" si="283"/>
        <v>1+0.207948734215646i</v>
      </c>
      <c r="U414" s="17">
        <f t="shared" si="293"/>
        <v>1.0213925181152883</v>
      </c>
      <c r="V414" s="17">
        <f t="shared" si="294"/>
        <v>0.20502676008047424</v>
      </c>
      <c r="W414" s="31" t="str">
        <f t="shared" si="284"/>
        <v>1-3.61108132720699i</v>
      </c>
      <c r="X414" s="17">
        <f t="shared" si="295"/>
        <v>3.7469865694585822</v>
      </c>
      <c r="Y414" s="17">
        <f t="shared" si="296"/>
        <v>-1.3006410057252022</v>
      </c>
      <c r="Z414" s="31" t="str">
        <f t="shared" si="285"/>
        <v>-1.74963230116587+17.2778188283618i</v>
      </c>
      <c r="AA414" s="17">
        <f t="shared" si="297"/>
        <v>17.366180830999557</v>
      </c>
      <c r="AB414" s="17">
        <f t="shared" si="298"/>
        <v>1.6717169519996409</v>
      </c>
      <c r="AC414" s="66" t="str">
        <f t="shared" si="299"/>
        <v>-0.00401240824556963+0.0102128376461098i</v>
      </c>
      <c r="AD414" s="64">
        <f t="shared" si="300"/>
        <v>-39.19368200885102</v>
      </c>
      <c r="AE414" s="61">
        <f t="shared" si="301"/>
        <v>111.4488153909857</v>
      </c>
      <c r="AF414" s="31" t="str">
        <f t="shared" si="286"/>
        <v>-6627.51882264077</v>
      </c>
      <c r="AG414" s="31" t="str">
        <f t="shared" si="302"/>
        <v>573033.310582958i</v>
      </c>
      <c r="AH414" s="31">
        <f t="shared" si="303"/>
        <v>573033.31058295805</v>
      </c>
      <c r="AI414" s="31">
        <f t="shared" si="304"/>
        <v>1.5707963267948966</v>
      </c>
      <c r="AJ414" s="31" t="str">
        <f t="shared" si="287"/>
        <v>-38.1873386689949+279.723345394518i</v>
      </c>
      <c r="AK414" s="31">
        <f t="shared" si="305"/>
        <v>282.31794628277061</v>
      </c>
      <c r="AL414" s="31">
        <f t="shared" si="306"/>
        <v>1.7064758184350473</v>
      </c>
      <c r="AM414" s="31" t="str">
        <f t="shared" si="288"/>
        <v>1+332.319207806375i</v>
      </c>
      <c r="AN414" s="31">
        <f t="shared" si="307"/>
        <v>332.32071238046035</v>
      </c>
      <c r="AO414" s="31">
        <f t="shared" si="308"/>
        <v>1.5677871808948465</v>
      </c>
      <c r="AP414" s="31" t="str">
        <f t="shared" si="289"/>
        <v>1+268.179589352824i</v>
      </c>
      <c r="AQ414" s="31">
        <f t="shared" si="309"/>
        <v>268.18145376861781</v>
      </c>
      <c r="AR414" s="31">
        <f t="shared" si="310"/>
        <v>1.5670674995277234</v>
      </c>
      <c r="AS414" s="58" t="str">
        <f t="shared" si="311"/>
        <v>-3.61409410556723+0.518218496158329i</v>
      </c>
      <c r="AT414" s="49">
        <f t="shared" si="312"/>
        <v>11.248375324764211</v>
      </c>
      <c r="AU414" s="61">
        <f t="shared" si="313"/>
        <v>171.84008033758454</v>
      </c>
      <c r="AV414" s="58" t="str">
        <f t="shared" si="290"/>
        <v>0.00920873962296636-0.0389894605049129i</v>
      </c>
      <c r="AW414" s="64">
        <f t="shared" si="314"/>
        <v>-27.945306684086809</v>
      </c>
      <c r="AX414" s="61">
        <f t="shared" si="315"/>
        <v>-76.711104271429789</v>
      </c>
    </row>
    <row r="415" spans="14:50" x14ac:dyDescent="0.35">
      <c r="N415" s="10">
        <v>97</v>
      </c>
      <c r="O415" s="50">
        <f t="shared" si="280"/>
        <v>93325.430079699145</v>
      </c>
      <c r="P415" s="48" t="str">
        <f t="shared" si="281"/>
        <v>547.187404092767</v>
      </c>
      <c r="Q415" s="17" t="str">
        <f t="shared" si="282"/>
        <v>1+11245.8084015221i</v>
      </c>
      <c r="R415" s="17">
        <f t="shared" si="291"/>
        <v>11245.80844598311</v>
      </c>
      <c r="S415" s="17">
        <f t="shared" si="292"/>
        <v>1.5707074047750951</v>
      </c>
      <c r="T415" s="17" t="str">
        <f t="shared" si="283"/>
        <v>1+0.212792482476524i</v>
      </c>
      <c r="U415" s="17">
        <f t="shared" si="293"/>
        <v>1.0223896716020373</v>
      </c>
      <c r="V415" s="17">
        <f t="shared" si="294"/>
        <v>0.20966522199992527</v>
      </c>
      <c r="W415" s="31" t="str">
        <f t="shared" si="284"/>
        <v>1-3.6951942166868i</v>
      </c>
      <c r="X415" s="17">
        <f t="shared" si="295"/>
        <v>3.8281144574105381</v>
      </c>
      <c r="Y415" s="17">
        <f t="shared" si="296"/>
        <v>-1.3065050601253085</v>
      </c>
      <c r="Z415" s="31" t="str">
        <f t="shared" si="285"/>
        <v>-1.87921847919367+17.6802709289591i</v>
      </c>
      <c r="AA415" s="17">
        <f t="shared" si="297"/>
        <v>17.77986057914795</v>
      </c>
      <c r="AB415" s="17">
        <f t="shared" si="298"/>
        <v>1.6766877659135828</v>
      </c>
      <c r="AC415" s="66" t="str">
        <f t="shared" si="299"/>
        <v>-0.00385471867464591+0.00999302458371317i</v>
      </c>
      <c r="AD415" s="64">
        <f t="shared" si="300"/>
        <v>-39.403631467581384</v>
      </c>
      <c r="AE415" s="61">
        <f t="shared" si="301"/>
        <v>111.09366878197631</v>
      </c>
      <c r="AF415" s="31" t="str">
        <f t="shared" si="286"/>
        <v>-6627.51882264077</v>
      </c>
      <c r="AG415" s="31" t="str">
        <f t="shared" si="302"/>
        <v>586380.971062982i</v>
      </c>
      <c r="AH415" s="31">
        <f t="shared" si="303"/>
        <v>586380.97106298199</v>
      </c>
      <c r="AI415" s="31">
        <f t="shared" si="304"/>
        <v>1.5707963267948966</v>
      </c>
      <c r="AJ415" s="31" t="str">
        <f t="shared" si="287"/>
        <v>-40.0341810424436+286.238939119539i</v>
      </c>
      <c r="AK415" s="31">
        <f t="shared" si="305"/>
        <v>289.02502645967928</v>
      </c>
      <c r="AL415" s="31">
        <f t="shared" si="306"/>
        <v>1.7097577084740228</v>
      </c>
      <c r="AM415" s="31" t="str">
        <f t="shared" si="288"/>
        <v>1+340.059916548555i</v>
      </c>
      <c r="AN415" s="31">
        <f t="shared" si="307"/>
        <v>340.06138687450272</v>
      </c>
      <c r="AO415" s="31">
        <f t="shared" si="308"/>
        <v>1.5678556770186038</v>
      </c>
      <c r="AP415" s="31" t="str">
        <f t="shared" si="289"/>
        <v>1+274.426294457475i</v>
      </c>
      <c r="AQ415" s="31">
        <f t="shared" si="309"/>
        <v>274.4281164342691</v>
      </c>
      <c r="AR415" s="31">
        <f t="shared" si="310"/>
        <v>1.5671523772387863</v>
      </c>
      <c r="AS415" s="58" t="str">
        <f t="shared" si="311"/>
        <v>-3.6108153327647+0.529282322693606i</v>
      </c>
      <c r="AT415" s="49">
        <f t="shared" si="312"/>
        <v>11.244431566645833</v>
      </c>
      <c r="AU415" s="61">
        <f t="shared" si="313"/>
        <v>171.66082956294815</v>
      </c>
      <c r="AV415" s="58" t="str">
        <f t="shared" si="290"/>
        <v>0.00862954603150386-0.0381232008410131i</v>
      </c>
      <c r="AW415" s="64">
        <f t="shared" si="314"/>
        <v>-28.159199900935548</v>
      </c>
      <c r="AX415" s="61">
        <f t="shared" si="315"/>
        <v>-77.245501655075543</v>
      </c>
    </row>
    <row r="416" spans="14:50" x14ac:dyDescent="0.35">
      <c r="N416" s="10">
        <v>98</v>
      </c>
      <c r="O416" s="50">
        <f t="shared" si="280"/>
        <v>95499.258602143804</v>
      </c>
      <c r="P416" s="48" t="str">
        <f t="shared" si="281"/>
        <v>547.187404092767</v>
      </c>
      <c r="Q416" s="17" t="str">
        <f t="shared" si="282"/>
        <v>1+11507.7569298096i</v>
      </c>
      <c r="R416" s="17">
        <f t="shared" si="291"/>
        <v>11507.756973258554</v>
      </c>
      <c r="S416" s="17">
        <f t="shared" si="292"/>
        <v>1.5707094288873737</v>
      </c>
      <c r="T416" s="17" t="str">
        <f t="shared" si="283"/>
        <v>1+0.217749056128253i</v>
      </c>
      <c r="U416" s="17">
        <f t="shared" si="293"/>
        <v>1.0234327781758532</v>
      </c>
      <c r="V416" s="17">
        <f t="shared" si="294"/>
        <v>0.21440226593077069</v>
      </c>
      <c r="W416" s="31" t="str">
        <f t="shared" si="284"/>
        <v>1-3.78126634705198i</v>
      </c>
      <c r="X416" s="17">
        <f t="shared" si="295"/>
        <v>3.9112626078221626</v>
      </c>
      <c r="Y416" s="17">
        <f t="shared" si="296"/>
        <v>-1.3122536728762184</v>
      </c>
      <c r="Z416" s="31" t="str">
        <f t="shared" si="285"/>
        <v>-2.01491186563939+18.092097343229i</v>
      </c>
      <c r="AA416" s="17">
        <f t="shared" si="297"/>
        <v>18.203951661745542</v>
      </c>
      <c r="AB416" s="17">
        <f t="shared" si="298"/>
        <v>1.6817089985813511</v>
      </c>
      <c r="AC416" s="66" t="str">
        <f t="shared" si="299"/>
        <v>-0.00370402713805015+0.0097776948212462i</v>
      </c>
      <c r="AD416" s="64">
        <f t="shared" si="300"/>
        <v>-39.612879304938481</v>
      </c>
      <c r="AE416" s="61">
        <f t="shared" si="301"/>
        <v>110.74789874499245</v>
      </c>
      <c r="AF416" s="31" t="str">
        <f t="shared" si="286"/>
        <v>-6627.51882264077</v>
      </c>
      <c r="AG416" s="31" t="str">
        <f t="shared" si="302"/>
        <v>600039.538495534i</v>
      </c>
      <c r="AH416" s="31">
        <f t="shared" si="303"/>
        <v>600039.53849553398</v>
      </c>
      <c r="AI416" s="31">
        <f t="shared" si="304"/>
        <v>1.5707963267948966</v>
      </c>
      <c r="AJ416" s="31" t="str">
        <f t="shared" si="287"/>
        <v>-41.9680624154317+292.906300518902i</v>
      </c>
      <c r="AK416" s="31">
        <f t="shared" si="305"/>
        <v>295.89764978210775</v>
      </c>
      <c r="AL416" s="31">
        <f t="shared" si="306"/>
        <v>1.7131092544953777</v>
      </c>
      <c r="AM416" s="31" t="str">
        <f t="shared" si="288"/>
        <v>1+347.980929559715i</v>
      </c>
      <c r="AN416" s="31">
        <f t="shared" si="307"/>
        <v>347.98236641709781</v>
      </c>
      <c r="AO416" s="31">
        <f t="shared" si="308"/>
        <v>1.567922614006894</v>
      </c>
      <c r="AP416" s="31" t="str">
        <f t="shared" si="289"/>
        <v>1+280.818504015909i</v>
      </c>
      <c r="AQ416" s="31">
        <f t="shared" si="309"/>
        <v>280.82028451971399</v>
      </c>
      <c r="AR416" s="31">
        <f t="shared" si="310"/>
        <v>1.5672353229480005</v>
      </c>
      <c r="AS416" s="58" t="str">
        <f t="shared" si="311"/>
        <v>-3.60738840766792+0.540583378947507i</v>
      </c>
      <c r="AT416" s="49">
        <f t="shared" si="312"/>
        <v>11.240305958972627</v>
      </c>
      <c r="AU416" s="61">
        <f t="shared" si="313"/>
        <v>171.47738776706967</v>
      </c>
      <c r="AV416" s="58" t="str">
        <f t="shared" si="290"/>
        <v>0.00807620525470268-0.0372742784578786i</v>
      </c>
      <c r="AW416" s="64">
        <f t="shared" si="314"/>
        <v>-28.372573345965858</v>
      </c>
      <c r="AX416" s="61">
        <f t="shared" si="315"/>
        <v>-77.774713487937859</v>
      </c>
    </row>
    <row r="417" spans="14:50" x14ac:dyDescent="0.35">
      <c r="N417" s="10">
        <v>99</v>
      </c>
      <c r="O417" s="50">
        <f t="shared" si="280"/>
        <v>97723.722095581266</v>
      </c>
      <c r="P417" s="48" t="str">
        <f t="shared" si="281"/>
        <v>547.187404092767</v>
      </c>
      <c r="Q417" s="17" t="str">
        <f t="shared" si="282"/>
        <v>1+11775.8070231445i</v>
      </c>
      <c r="R417" s="17">
        <f t="shared" si="291"/>
        <v>11775.807065604435</v>
      </c>
      <c r="S417" s="17">
        <f t="shared" si="292"/>
        <v>1.5707114069252324</v>
      </c>
      <c r="T417" s="17" t="str">
        <f t="shared" si="283"/>
        <v>1+0.222821083211789i</v>
      </c>
      <c r="U417" s="17">
        <f t="shared" si="293"/>
        <v>1.0245239065652274</v>
      </c>
      <c r="V417" s="17">
        <f t="shared" si="294"/>
        <v>0.21923955274493975</v>
      </c>
      <c r="W417" s="31" t="str">
        <f t="shared" si="284"/>
        <v>1-3.86934335488533i</v>
      </c>
      <c r="X417" s="17">
        <f t="shared" si="295"/>
        <v>3.9964756971605948</v>
      </c>
      <c r="Y417" s="17">
        <f t="shared" si="296"/>
        <v>-1.3178883715722116</v>
      </c>
      <c r="Z417" s="31" t="str">
        <f t="shared" si="285"/>
        <v>-2.1570002843684+18.5135164269875i</v>
      </c>
      <c r="AA417" s="17">
        <f t="shared" si="297"/>
        <v>18.638748367825063</v>
      </c>
      <c r="AB417" s="17">
        <f t="shared" si="298"/>
        <v>1.6867828809538608</v>
      </c>
      <c r="AC417" s="66" t="str">
        <f t="shared" si="299"/>
        <v>-0.00356002026764082+0.00956678704022789i</v>
      </c>
      <c r="AD417" s="64">
        <f t="shared" si="300"/>
        <v>-39.821441239371588</v>
      </c>
      <c r="AE417" s="61">
        <f t="shared" si="301"/>
        <v>110.41138503071868</v>
      </c>
      <c r="AF417" s="31" t="str">
        <f t="shared" si="286"/>
        <v>-6627.51882264077</v>
      </c>
      <c r="AG417" s="31" t="str">
        <f t="shared" si="302"/>
        <v>614016.254833857i</v>
      </c>
      <c r="AH417" s="31">
        <f t="shared" si="303"/>
        <v>614016.25483385695</v>
      </c>
      <c r="AI417" s="31">
        <f t="shared" si="304"/>
        <v>1.5707963267948966</v>
      </c>
      <c r="AJ417" s="31" t="str">
        <f t="shared" si="287"/>
        <v>-43.9930848096314+299.728964715873i</v>
      </c>
      <c r="AK417" s="31">
        <f t="shared" si="305"/>
        <v>302.94033042947001</v>
      </c>
      <c r="AL417" s="31">
        <f t="shared" si="306"/>
        <v>1.7165319531475893</v>
      </c>
      <c r="AM417" s="31" t="str">
        <f t="shared" si="288"/>
        <v>1+356.086446665799i</v>
      </c>
      <c r="AN417" s="31">
        <f t="shared" si="307"/>
        <v>356.08785081644521</v>
      </c>
      <c r="AO417" s="31">
        <f t="shared" si="308"/>
        <v>1.5679880273481936</v>
      </c>
      <c r="AP417" s="31" t="str">
        <f t="shared" si="289"/>
        <v>1+287.359607262245i</v>
      </c>
      <c r="AQ417" s="31">
        <f t="shared" si="309"/>
        <v>287.36134723708352</v>
      </c>
      <c r="AR417" s="31">
        <f t="shared" si="310"/>
        <v>1.5673163806297106</v>
      </c>
      <c r="AS417" s="58" t="str">
        <f t="shared" si="311"/>
        <v>-3.60380694271769+0.552124685130784i</v>
      </c>
      <c r="AT417" s="49">
        <f t="shared" si="312"/>
        <v>11.235990284828123</v>
      </c>
      <c r="AU417" s="61">
        <f t="shared" si="313"/>
        <v>171.28967375119228</v>
      </c>
      <c r="AV417" s="58" t="str">
        <f t="shared" si="290"/>
        <v>0.00754756647444059-0.0364424286244053i</v>
      </c>
      <c r="AW417" s="64">
        <f t="shared" si="314"/>
        <v>-28.585450954543461</v>
      </c>
      <c r="AX417" s="61">
        <f t="shared" si="315"/>
        <v>-78.298941218089055</v>
      </c>
    </row>
    <row r="418" spans="14:50" x14ac:dyDescent="0.35">
      <c r="N418" s="10">
        <v>100</v>
      </c>
      <c r="O418" s="50">
        <f t="shared" si="280"/>
        <v>100000</v>
      </c>
      <c r="P418" s="48" t="str">
        <f t="shared" si="281"/>
        <v>547.187404092767</v>
      </c>
      <c r="Q418" s="17" t="str">
        <f t="shared" si="282"/>
        <v>1+12050.1008052342i</v>
      </c>
      <c r="R418" s="17">
        <f t="shared" si="291"/>
        <v>12050.100846727628</v>
      </c>
      <c r="S418" s="17">
        <f t="shared" si="292"/>
        <v>1.5707133399374531</v>
      </c>
      <c r="T418" s="17" t="str">
        <f t="shared" si="283"/>
        <v>1+0.22801125298303i</v>
      </c>
      <c r="U418" s="17">
        <f t="shared" si="293"/>
        <v>1.0256652141351441</v>
      </c>
      <c r="V418" s="17">
        <f t="shared" si="294"/>
        <v>0.22417874130704538</v>
      </c>
      <c r="W418" s="31" t="str">
        <f t="shared" si="284"/>
        <v>1-3.95947193978226i</v>
      </c>
      <c r="X418" s="17">
        <f t="shared" si="295"/>
        <v>4.0837994615214761</v>
      </c>
      <c r="Y418" s="17">
        <f t="shared" si="296"/>
        <v>-1.3234107120044885</v>
      </c>
      <c r="Z418" s="31" t="str">
        <f t="shared" si="285"/>
        <v>-2.30578512396695+18.9447516222109i</v>
      </c>
      <c r="AA418" s="17">
        <f t="shared" si="297"/>
        <v>19.084555511333498</v>
      </c>
      <c r="AB418" s="17">
        <f t="shared" si="298"/>
        <v>1.6919116451298115</v>
      </c>
      <c r="AC418" s="66" t="str">
        <f t="shared" si="299"/>
        <v>-0.00342239836362552+0.00936023869395135i</v>
      </c>
      <c r="AD418" s="64">
        <f t="shared" si="300"/>
        <v>-40.029332106438986</v>
      </c>
      <c r="AE418" s="61">
        <f t="shared" si="301"/>
        <v>110.08400559490079</v>
      </c>
      <c r="AF418" s="31" t="str">
        <f t="shared" si="286"/>
        <v>-6627.51882264077</v>
      </c>
      <c r="AG418" s="31" t="str">
        <f t="shared" si="302"/>
        <v>628318.530717959i</v>
      </c>
      <c r="AH418" s="31">
        <f t="shared" si="303"/>
        <v>628318.53071795905</v>
      </c>
      <c r="AI418" s="31">
        <f t="shared" si="304"/>
        <v>1.5707963267948966</v>
      </c>
      <c r="AJ418" s="31" t="str">
        <f t="shared" si="287"/>
        <v>-46.1135435690402+306.710549177318i</v>
      </c>
      <c r="AK418" s="31">
        <f t="shared" si="305"/>
        <v>310.15773386640836</v>
      </c>
      <c r="AL418" s="31">
        <f t="shared" si="306"/>
        <v>1.7200273196276885</v>
      </c>
      <c r="AM418" s="31" t="str">
        <f t="shared" si="288"/>
        <v>1+364.380765519266i</v>
      </c>
      <c r="AN418" s="31">
        <f t="shared" si="307"/>
        <v>364.38213770766305</v>
      </c>
      <c r="AO418" s="31">
        <f t="shared" si="308"/>
        <v>1.5680519517232812</v>
      </c>
      <c r="AP418" s="31" t="str">
        <f t="shared" si="289"/>
        <v>1+294.053072376004i</v>
      </c>
      <c r="AQ418" s="31">
        <f t="shared" si="309"/>
        <v>294.05477274441142</v>
      </c>
      <c r="AR418" s="31">
        <f t="shared" si="310"/>
        <v>1.5673955932575094</v>
      </c>
      <c r="AS418" s="58" t="str">
        <f t="shared" si="311"/>
        <v>-3.60006430384009+0.563909191875545i</v>
      </c>
      <c r="AT418" s="49">
        <f t="shared" si="312"/>
        <v>11.231475974149944</v>
      </c>
      <c r="AU418" s="61">
        <f t="shared" si="313"/>
        <v>171.09760515018863</v>
      </c>
      <c r="AV418" s="58" t="str">
        <f t="shared" si="290"/>
        <v>0.00704252954474066-0.0356273830930253i</v>
      </c>
      <c r="AW418" s="64">
        <f t="shared" si="314"/>
        <v>-28.797856132289038</v>
      </c>
      <c r="AX418" s="61">
        <f t="shared" si="315"/>
        <v>-78.818389254910585</v>
      </c>
    </row>
    <row r="419" spans="14:50" x14ac:dyDescent="0.35">
      <c r="N419" s="10">
        <v>1</v>
      </c>
      <c r="O419" s="50">
        <f>10^(5+(N419/100))</f>
        <v>102329.29922807543</v>
      </c>
      <c r="P419" s="48" t="str">
        <f t="shared" si="281"/>
        <v>547.187404092767</v>
      </c>
      <c r="Q419" s="17" t="str">
        <f t="shared" si="282"/>
        <v>1+12330.7837102728i</v>
      </c>
      <c r="R419" s="17">
        <f t="shared" si="291"/>
        <v>12330.783750821722</v>
      </c>
      <c r="S419" s="17">
        <f t="shared" si="292"/>
        <v>1.5707152289489443</v>
      </c>
      <c r="T419" s="17" t="str">
        <f t="shared" si="283"/>
        <v>1+0.233322317338689i</v>
      </c>
      <c r="U419" s="17">
        <f t="shared" si="293"/>
        <v>1.0268589502791003</v>
      </c>
      <c r="V419" s="17">
        <f t="shared" si="294"/>
        <v>0.2292214860490209</v>
      </c>
      <c r="W419" s="31" t="str">
        <f t="shared" si="284"/>
        <v>1-4.05169988911147i</v>
      </c>
      <c r="X419" s="17">
        <f t="shared" si="295"/>
        <v>4.1732807228157922</v>
      </c>
      <c r="Y419" s="17">
        <f t="shared" si="296"/>
        <v>-1.3288222743374949</v>
      </c>
      <c r="Z419" s="31" t="str">
        <f t="shared" si="285"/>
        <v>-2.46158197702778+19.3860315755079i</v>
      </c>
      <c r="AA419" s="17">
        <f t="shared" si="297"/>
        <v>19.541688925889115</v>
      </c>
      <c r="AB419" s="17">
        <f t="shared" si="298"/>
        <v>1.697097523661677</v>
      </c>
      <c r="AC419" s="66" t="str">
        <f t="shared" si="299"/>
        <v>-0.00329087480675893+0.00915798620390273i</v>
      </c>
      <c r="AD419" s="64">
        <f t="shared" si="300"/>
        <v>-40.23656586805572</v>
      </c>
      <c r="AE419" s="61">
        <f t="shared" si="301"/>
        <v>109.76563671819524</v>
      </c>
      <c r="AF419" s="31" t="str">
        <f t="shared" si="286"/>
        <v>-6627.51882264077</v>
      </c>
      <c r="AG419" s="31" t="str">
        <f t="shared" si="302"/>
        <v>642953.949403827i</v>
      </c>
      <c r="AH419" s="31">
        <f t="shared" si="303"/>
        <v>642953.94940382696</v>
      </c>
      <c r="AI419" s="31">
        <f t="shared" si="304"/>
        <v>1.5707963267948966</v>
      </c>
      <c r="AJ419" s="31" t="str">
        <f t="shared" si="287"/>
        <v>-48.3339364709819+313.854755631731i</v>
      </c>
      <c r="AK419" s="31">
        <f t="shared" si="305"/>
        <v>317.55468355455645</v>
      </c>
      <c r="AL419" s="31">
        <f t="shared" si="306"/>
        <v>1.723596887215894</v>
      </c>
      <c r="AM419" s="31" t="str">
        <f t="shared" si="288"/>
        <v>1+372.868283877762i</v>
      </c>
      <c r="AN419" s="31">
        <f t="shared" si="307"/>
        <v>372.86962483145135</v>
      </c>
      <c r="AO419" s="31">
        <f t="shared" si="308"/>
        <v>1.5681144210236158</v>
      </c>
      <c r="AP419" s="31" t="str">
        <f t="shared" si="289"/>
        <v>1+300.902448320991i</v>
      </c>
      <c r="AQ419" s="31">
        <f t="shared" si="309"/>
        <v>300.90410998450432</v>
      </c>
      <c r="AR419" s="31">
        <f t="shared" si="310"/>
        <v>1.5674730028270023</v>
      </c>
      <c r="AS419" s="58" t="str">
        <f t="shared" si="311"/>
        <v>-3.59615360368248+0.575939769516168i</v>
      </c>
      <c r="AT419" s="49">
        <f t="shared" si="312"/>
        <v>11.22675409015859</v>
      </c>
      <c r="AU419" s="61">
        <f t="shared" si="313"/>
        <v>170.90109846158188</v>
      </c>
      <c r="AV419" s="58" t="str">
        <f t="shared" si="290"/>
        <v>0.00656004283208603-0.0348288707673505i</v>
      </c>
      <c r="AW419" s="64">
        <f t="shared" si="314"/>
        <v>-29.009811777897134</v>
      </c>
      <c r="AX419" s="61">
        <f t="shared" si="315"/>
        <v>-79.333264820222851</v>
      </c>
    </row>
    <row r="420" spans="14:50" x14ac:dyDescent="0.35">
      <c r="N420" s="10">
        <v>2</v>
      </c>
      <c r="O420" s="50">
        <f t="shared" ref="O420:O483" si="316">10^(5+(N420/100))</f>
        <v>104712.85480508996</v>
      </c>
      <c r="P420" s="48" t="str">
        <f t="shared" si="281"/>
        <v>547.187404092767</v>
      </c>
      <c r="Q420" s="17" t="str">
        <f t="shared" si="282"/>
        <v>1+12618.0045600519i</v>
      </c>
      <c r="R420" s="17">
        <f t="shared" si="291"/>
        <v>12618.004599677817</v>
      </c>
      <c r="S420" s="17">
        <f t="shared" si="292"/>
        <v>1.5707170749612849</v>
      </c>
      <c r="T420" s="17" t="str">
        <f t="shared" si="283"/>
        <v>1+0.238757092275387i</v>
      </c>
      <c r="U420" s="17">
        <f t="shared" si="293"/>
        <v>1.0281074599047502</v>
      </c>
      <c r="V420" s="17">
        <f t="shared" si="294"/>
        <v>0.23436943437532964</v>
      </c>
      <c r="W420" s="31" t="str">
        <f t="shared" si="284"/>
        <v>1-4.14607610335247i</v>
      </c>
      <c r="X420" s="17">
        <f t="shared" si="295"/>
        <v>4.2649674154429826</v>
      </c>
      <c r="Y420" s="17">
        <f t="shared" si="296"/>
        <v>-1.3341246594895073</v>
      </c>
      <c r="Z420" s="31" t="str">
        <f t="shared" si="285"/>
        <v>-2.62472130956426+19.8375902593506i</v>
      </c>
      <c r="AA420" s="17">
        <f t="shared" si="297"/>
        <v>20.010475987611152</v>
      </c>
      <c r="AB420" s="17">
        <f t="shared" si="298"/>
        <v>1.7023427487603779</v>
      </c>
      <c r="AC420" s="66" t="str">
        <f t="shared" si="299"/>
        <v>-0.00316517549441202+0.00895996514045281i</v>
      </c>
      <c r="AD420" s="64">
        <f t="shared" si="300"/>
        <v>-40.443155623196972</v>
      </c>
      <c r="AE420" s="61">
        <f t="shared" si="301"/>
        <v>109.45615311041328</v>
      </c>
      <c r="AF420" s="31" t="str">
        <f t="shared" si="286"/>
        <v>-6627.51882264077</v>
      </c>
      <c r="AG420" s="31" t="str">
        <f t="shared" si="302"/>
        <v>657930.270784171i</v>
      </c>
      <c r="AH420" s="31">
        <f t="shared" si="303"/>
        <v>657930.27078417095</v>
      </c>
      <c r="AI420" s="31">
        <f t="shared" si="304"/>
        <v>1.5707963267948966</v>
      </c>
      <c r="AJ420" s="31" t="str">
        <f t="shared" si="287"/>
        <v>-50.6589732664946+321.165372031939i</v>
      </c>
      <c r="AK420" s="31">
        <f t="shared" si="305"/>
        <v>325.13616803553128</v>
      </c>
      <c r="AL420" s="31">
        <f t="shared" si="306"/>
        <v>1.7272422067409881</v>
      </c>
      <c r="AM420" s="31" t="str">
        <f t="shared" si="288"/>
        <v>1+381.553501935865i</v>
      </c>
      <c r="AN420" s="31">
        <f t="shared" si="307"/>
        <v>381.55481236582784</v>
      </c>
      <c r="AO420" s="31">
        <f t="shared" si="308"/>
        <v>1.5681754683692961</v>
      </c>
      <c r="AP420" s="31" t="str">
        <f t="shared" si="289"/>
        <v>1+307.911366726992i</v>
      </c>
      <c r="AQ420" s="31">
        <f t="shared" si="309"/>
        <v>307.91299056662774</v>
      </c>
      <c r="AR420" s="31">
        <f t="shared" si="310"/>
        <v>1.5675486503780547</v>
      </c>
      <c r="AS420" s="58" t="str">
        <f t="shared" si="311"/>
        <v>-3.59206769494223+0.588219196652807i</v>
      </c>
      <c r="AT420" s="49">
        <f t="shared" si="312"/>
        <v>11.22181531542174</v>
      </c>
      <c r="AU420" s="61">
        <f t="shared" si="313"/>
        <v>170.70006907848116</v>
      </c>
      <c r="AV420" s="58" t="str">
        <f t="shared" si="290"/>
        <v>0.00609910114534591-0.0340466183154172i</v>
      </c>
      <c r="AW420" s="64">
        <f t="shared" si="314"/>
        <v>-29.22134030777525</v>
      </c>
      <c r="AX420" s="61">
        <f t="shared" si="315"/>
        <v>-79.843777811105539</v>
      </c>
    </row>
    <row r="421" spans="14:50" x14ac:dyDescent="0.35">
      <c r="N421" s="10">
        <v>3</v>
      </c>
      <c r="O421" s="50">
        <f t="shared" si="316"/>
        <v>107151.93052376082</v>
      </c>
      <c r="P421" s="48" t="str">
        <f t="shared" si="281"/>
        <v>547.187404092767</v>
      </c>
      <c r="Q421" s="17" t="str">
        <f t="shared" si="282"/>
        <v>1+12911.9156428677i</v>
      </c>
      <c r="R421" s="17">
        <f t="shared" si="291"/>
        <v>12911.915681591621</v>
      </c>
      <c r="S421" s="17">
        <f t="shared" si="292"/>
        <v>1.5707188789532549</v>
      </c>
      <c r="T421" s="17" t="str">
        <f t="shared" si="283"/>
        <v>1+0.244318459382733i</v>
      </c>
      <c r="U421" s="17">
        <f t="shared" si="293"/>
        <v>1.0294131870124612</v>
      </c>
      <c r="V421" s="17">
        <f t="shared" si="294"/>
        <v>0.23962422389247862</v>
      </c>
      <c r="W421" s="31" t="str">
        <f t="shared" si="284"/>
        <v>1-4.24265062202329i</v>
      </c>
      <c r="X421" s="17">
        <f t="shared" si="295"/>
        <v>4.3589086134667481</v>
      </c>
      <c r="Y421" s="17">
        <f t="shared" si="296"/>
        <v>-1.3393194857132427</v>
      </c>
      <c r="Z421" s="31" t="str">
        <f t="shared" si="285"/>
        <v>-2.79554916197319+20.2996670961305i</v>
      </c>
      <c r="AA421" s="17">
        <f t="shared" si="297"/>
        <v>20.491256167710468</v>
      </c>
      <c r="AB421" s="17">
        <f t="shared" si="298"/>
        <v>1.707649551392717</v>
      </c>
      <c r="AC421" s="66" t="str">
        <f t="shared" si="299"/>
        <v>-0.00304503829967261+0.00876611038887263i</v>
      </c>
      <c r="AD421" s="64">
        <f t="shared" si="300"/>
        <v>-40.649113619990956</v>
      </c>
      <c r="AE421" s="61">
        <f t="shared" si="301"/>
        <v>109.15542799938351</v>
      </c>
      <c r="AF421" s="31" t="str">
        <f t="shared" si="286"/>
        <v>-6627.51882264077</v>
      </c>
      <c r="AG421" s="31" t="str">
        <f t="shared" si="302"/>
        <v>673255.435502822i</v>
      </c>
      <c r="AH421" s="31">
        <f t="shared" si="303"/>
        <v>673255.43550282205</v>
      </c>
      <c r="AI421" s="31">
        <f t="shared" si="304"/>
        <v>1.5707963267948966</v>
      </c>
      <c r="AJ421" s="31" t="str">
        <f t="shared" si="287"/>
        <v>-53.0935856703449+328.646274563525i</v>
      </c>
      <c r="AK421" s="31">
        <f t="shared" si="305"/>
        <v>332.9073484076585</v>
      </c>
      <c r="AL421" s="31">
        <f t="shared" si="306"/>
        <v>1.7309648459718558</v>
      </c>
      <c r="AM421" s="31" t="str">
        <f t="shared" si="288"/>
        <v>1+390.441024711152i</v>
      </c>
      <c r="AN421" s="31">
        <f t="shared" si="307"/>
        <v>390.44230531218614</v>
      </c>
      <c r="AO421" s="31">
        <f t="shared" si="308"/>
        <v>1.5682351261266116</v>
      </c>
      <c r="AP421" s="31" t="str">
        <f t="shared" si="289"/>
        <v>1+315.08354381532i</v>
      </c>
      <c r="AQ421" s="31">
        <f t="shared" si="309"/>
        <v>315.08513069204122</v>
      </c>
      <c r="AR421" s="31">
        <f t="shared" si="310"/>
        <v>1.5676225760165341</v>
      </c>
      <c r="AS421" s="58" t="str">
        <f t="shared" si="311"/>
        <v>-3.5877991638248+0.600750147965457i</v>
      </c>
      <c r="AT421" s="49">
        <f t="shared" si="312"/>
        <v>11.216649937560724</v>
      </c>
      <c r="AU421" s="61">
        <f t="shared" si="313"/>
        <v>170.49443132669469</v>
      </c>
      <c r="AV421" s="58" t="str">
        <f t="shared" si="290"/>
        <v>0.00565874375218312-0.0332803507322819i</v>
      </c>
      <c r="AW421" s="64">
        <f t="shared" si="314"/>
        <v>-29.432463682430242</v>
      </c>
      <c r="AX421" s="61">
        <f t="shared" si="315"/>
        <v>-80.350140673921786</v>
      </c>
    </row>
    <row r="422" spans="14:50" x14ac:dyDescent="0.35">
      <c r="N422" s="10">
        <v>4</v>
      </c>
      <c r="O422" s="50">
        <f t="shared" si="316"/>
        <v>109647.81961431868</v>
      </c>
      <c r="P422" s="48" t="str">
        <f t="shared" si="281"/>
        <v>547.187404092767</v>
      </c>
      <c r="Q422" s="17" t="str">
        <f t="shared" si="282"/>
        <v>1+13212.6727942668i</v>
      </c>
      <c r="R422" s="17">
        <f t="shared" si="291"/>
        <v>13212.672832109256</v>
      </c>
      <c r="S422" s="17">
        <f t="shared" si="292"/>
        <v>1.5707206418813549</v>
      </c>
      <c r="T422" s="17" t="str">
        <f t="shared" si="283"/>
        <v>1+0.250009367371181i</v>
      </c>
      <c r="U422" s="17">
        <f t="shared" si="293"/>
        <v>1.0307786783656994</v>
      </c>
      <c r="V422" s="17">
        <f t="shared" si="294"/>
        <v>0.24498747945677879</v>
      </c>
      <c r="W422" s="31" t="str">
        <f t="shared" si="284"/>
        <v>1-4.34147465021201i</v>
      </c>
      <c r="X422" s="17">
        <f t="shared" si="295"/>
        <v>4.4551545583103511</v>
      </c>
      <c r="Y422" s="17">
        <f t="shared" si="296"/>
        <v>-1.344408385371695</v>
      </c>
      <c r="Z422" s="31" t="str">
        <f t="shared" si="285"/>
        <v>-2.97442788303279+20.7725070851025i</v>
      </c>
      <c r="AA422" s="17">
        <f t="shared" si="297"/>
        <v>20.984381616621363</v>
      </c>
      <c r="AB422" s="17">
        <f t="shared" si="298"/>
        <v>1.7130201602655035</v>
      </c>
      <c r="AC422" s="66" t="str">
        <f t="shared" si="299"/>
        <v>-0.0029302125526581+0.00857635630166142i</v>
      </c>
      <c r="AD422" s="64">
        <f t="shared" si="300"/>
        <v>-40.85445126914405</v>
      </c>
      <c r="AE422" s="61">
        <f t="shared" si="301"/>
        <v>108.86333320470719</v>
      </c>
      <c r="AF422" s="31" t="str">
        <f t="shared" si="286"/>
        <v>-6627.51882264077</v>
      </c>
      <c r="AG422" s="31" t="str">
        <f t="shared" si="302"/>
        <v>688937.569164965i</v>
      </c>
      <c r="AH422" s="31">
        <f t="shared" si="303"/>
        <v>688937.56916496495</v>
      </c>
      <c r="AI422" s="31">
        <f t="shared" si="304"/>
        <v>1.5707963267948966</v>
      </c>
      <c r="AJ422" s="31" t="str">
        <f t="shared" si="287"/>
        <v>-55.6429378218551+336.301429700032i</v>
      </c>
      <c r="AK422" s="31">
        <f t="shared" si="305"/>
        <v>340.87356622028113</v>
      </c>
      <c r="AL422" s="31">
        <f t="shared" si="306"/>
        <v>1.7347663889303968</v>
      </c>
      <c r="AM422" s="31" t="str">
        <f t="shared" si="288"/>
        <v>1+399.535564485838i</v>
      </c>
      <c r="AN422" s="31">
        <f t="shared" si="307"/>
        <v>399.53681593692619</v>
      </c>
      <c r="AO422" s="31">
        <f t="shared" si="308"/>
        <v>1.5682934259251953</v>
      </c>
      <c r="AP422" s="31" t="str">
        <f t="shared" si="289"/>
        <v>1+322.422782369203i</v>
      </c>
      <c r="AQ422" s="31">
        <f t="shared" si="309"/>
        <v>322.42433312437572</v>
      </c>
      <c r="AR422" s="31">
        <f t="shared" si="310"/>
        <v>1.5676948189355588</v>
      </c>
      <c r="AS422" s="58" t="str">
        <f t="shared" si="311"/>
        <v>-3.58334032367083+0.613535181246221i</v>
      </c>
      <c r="AT422" s="49">
        <f t="shared" si="312"/>
        <v>11.211247834606224</v>
      </c>
      <c r="AU422" s="61">
        <f t="shared" si="313"/>
        <v>170.28409850629774</v>
      </c>
      <c r="AV422" s="58" t="str">
        <f t="shared" si="290"/>
        <v>0.0052380524788942-0.0325297918554968i</v>
      </c>
      <c r="AW422" s="64">
        <f t="shared" si="314"/>
        <v>-29.643203434537838</v>
      </c>
      <c r="AX422" s="61">
        <f t="shared" si="315"/>
        <v>-80.852568288995073</v>
      </c>
    </row>
    <row r="423" spans="14:50" x14ac:dyDescent="0.35">
      <c r="N423" s="10">
        <v>5</v>
      </c>
      <c r="O423" s="50">
        <f t="shared" si="316"/>
        <v>112201.84543019651</v>
      </c>
      <c r="P423" s="48" t="str">
        <f t="shared" si="281"/>
        <v>547.187404092767</v>
      </c>
      <c r="Q423" s="17" t="str">
        <f t="shared" si="282"/>
        <v>1+13520.4354796717i</v>
      </c>
      <c r="R423" s="17">
        <f t="shared" si="291"/>
        <v>13520.435516652757</v>
      </c>
      <c r="S423" s="17">
        <f t="shared" si="292"/>
        <v>1.5707223646803123</v>
      </c>
      <c r="T423" s="17" t="str">
        <f t="shared" si="283"/>
        <v>1+0.255832833635474i</v>
      </c>
      <c r="U423" s="17">
        <f t="shared" si="293"/>
        <v>1.0322065872517749</v>
      </c>
      <c r="V423" s="17">
        <f t="shared" si="294"/>
        <v>0.25046081003456955</v>
      </c>
      <c r="W423" s="31" t="str">
        <f t="shared" si="284"/>
        <v>1-4.44260058572649i</v>
      </c>
      <c r="X423" s="17">
        <f t="shared" si="295"/>
        <v>4.5537566869890345</v>
      </c>
      <c r="Y423" s="17">
        <f t="shared" si="296"/>
        <v>-1.3493930019039597</v>
      </c>
      <c r="Z423" s="31" t="str">
        <f t="shared" si="285"/>
        <v>-3.16173689849314+21.2563609322877i</v>
      </c>
      <c r="AA423" s="17">
        <f t="shared" si="297"/>
        <v>21.490217781562379</v>
      </c>
      <c r="AB423" s="17">
        <f t="shared" si="298"/>
        <v>1.7184568006901453</v>
      </c>
      <c r="AC423" s="66" t="str">
        <f t="shared" si="299"/>
        <v>-0.00282045854324207+0.00839063683811156i</v>
      </c>
      <c r="AD423" s="64">
        <f t="shared" si="300"/>
        <v>-41.059179158653329</v>
      </c>
      <c r="AE423" s="61">
        <f t="shared" si="301"/>
        <v>108.57973919673326</v>
      </c>
      <c r="AF423" s="31" t="str">
        <f t="shared" si="286"/>
        <v>-6627.51882264077</v>
      </c>
      <c r="AG423" s="31" t="str">
        <f t="shared" si="302"/>
        <v>704984.986645446i</v>
      </c>
      <c r="AH423" s="31">
        <f t="shared" si="303"/>
        <v>704984.98664544604</v>
      </c>
      <c r="AI423" s="31">
        <f t="shared" si="304"/>
        <v>1.5707963267948966</v>
      </c>
      <c r="AJ423" s="31" t="str">
        <f t="shared" si="287"/>
        <v>-58.3124372387366+344.134896306041i</v>
      </c>
      <c r="AK423" s="31">
        <f t="shared" si="305"/>
        <v>349.04035181092058</v>
      </c>
      <c r="AL423" s="31">
        <f t="shared" si="306"/>
        <v>1.7386484351208407</v>
      </c>
      <c r="AM423" s="31" t="str">
        <f t="shared" si="288"/>
        <v>1+408.841943305294i</v>
      </c>
      <c r="AN423" s="31">
        <f t="shared" si="307"/>
        <v>408.84316626996377</v>
      </c>
      <c r="AO423" s="31">
        <f t="shared" si="308"/>
        <v>1.568350398674786</v>
      </c>
      <c r="AP423" s="31" t="str">
        <f t="shared" si="289"/>
        <v>1+329.932973750068i</v>
      </c>
      <c r="AQ423" s="31">
        <f t="shared" si="309"/>
        <v>329.93448920590748</v>
      </c>
      <c r="AR423" s="31">
        <f t="shared" si="310"/>
        <v>1.567765417436263</v>
      </c>
      <c r="AS423" s="58" t="str">
        <f t="shared" si="311"/>
        <v>-3.57868320879657+0.626576723618061i</v>
      </c>
      <c r="AT423" s="49">
        <f t="shared" si="312"/>
        <v>11.205598460013999</v>
      </c>
      <c r="AU423" s="61">
        <f t="shared" si="313"/>
        <v>170.06898293793958</v>
      </c>
      <c r="AV423" s="58" t="str">
        <f t="shared" si="290"/>
        <v>0.00483614989071428-0.031794664836785i</v>
      </c>
      <c r="AW423" s="64">
        <f t="shared" si="314"/>
        <v>-29.85358069863932</v>
      </c>
      <c r="AX423" s="61">
        <f t="shared" si="315"/>
        <v>-81.351277865327177</v>
      </c>
    </row>
    <row r="424" spans="14:50" x14ac:dyDescent="0.35">
      <c r="N424" s="10">
        <v>6</v>
      </c>
      <c r="O424" s="50">
        <f t="shared" si="316"/>
        <v>114815.36214968823</v>
      </c>
      <c r="P424" s="48" t="str">
        <f t="shared" si="281"/>
        <v>547.187404092767</v>
      </c>
      <c r="Q424" s="17" t="str">
        <f t="shared" si="282"/>
        <v>1+13835.3668789321i</v>
      </c>
      <c r="R424" s="17">
        <f t="shared" si="291"/>
        <v>13835.366915071365</v>
      </c>
      <c r="S424" s="17">
        <f t="shared" si="292"/>
        <v>1.5707240482635783</v>
      </c>
      <c r="T424" s="17" t="str">
        <f t="shared" si="283"/>
        <v>1+0.261791945854508i</v>
      </c>
      <c r="U424" s="17">
        <f t="shared" si="293"/>
        <v>1.0336996773310367</v>
      </c>
      <c r="V424" s="17">
        <f t="shared" si="294"/>
        <v>0.25604580536947658</v>
      </c>
      <c r="W424" s="31" t="str">
        <f t="shared" si="284"/>
        <v>1-4.54608204687628i</v>
      </c>
      <c r="X424" s="17">
        <f t="shared" si="295"/>
        <v>4.6547676608968178</v>
      </c>
      <c r="Y424" s="17">
        <f t="shared" si="296"/>
        <v>-1.3542749869753836</v>
      </c>
      <c r="Z424" s="31" t="str">
        <f t="shared" si="285"/>
        <v>-3.35787351588895+21.7514851834004i</v>
      </c>
      <c r="AA424" s="17">
        <f t="shared" si="297"/>
        <v>22.009144059512984</v>
      </c>
      <c r="AB424" s="17">
        <f t="shared" si="298"/>
        <v>1.7239616933213762</v>
      </c>
      <c r="AC424" s="66" t="str">
        <f t="shared" si="299"/>
        <v>-0.00271554704441643+0.00820888569197427i</v>
      </c>
      <c r="AD424" s="64">
        <f t="shared" si="300"/>
        <v>-41.263307069775415</v>
      </c>
      <c r="AE424" s="61">
        <f t="shared" si="301"/>
        <v>108.30451514112742</v>
      </c>
      <c r="AF424" s="31" t="str">
        <f t="shared" si="286"/>
        <v>-6627.51882264077</v>
      </c>
      <c r="AG424" s="31" t="str">
        <f t="shared" si="302"/>
        <v>721406.196497424i</v>
      </c>
      <c r="AH424" s="31">
        <f t="shared" si="303"/>
        <v>721406.19649742404</v>
      </c>
      <c r="AI424" s="31">
        <f t="shared" si="304"/>
        <v>1.5707963267948966</v>
      </c>
      <c r="AJ424" s="31" t="str">
        <f t="shared" si="287"/>
        <v>-61.107746287158+352.150827789235i</v>
      </c>
      <c r="AK424" s="31">
        <f t="shared" si="305"/>
        <v>357.41343311204622</v>
      </c>
      <c r="AL424" s="31">
        <f t="shared" si="306"/>
        <v>1.7426125986702643</v>
      </c>
      <c r="AM424" s="31" t="str">
        <f t="shared" si="288"/>
        <v>1+418.365095534751i</v>
      </c>
      <c r="AN424" s="31">
        <f t="shared" si="307"/>
        <v>418.36629066142666</v>
      </c>
      <c r="AO424" s="31">
        <f t="shared" si="308"/>
        <v>1.5684060745816093</v>
      </c>
      <c r="AP424" s="31" t="str">
        <f t="shared" si="289"/>
        <v>1+337.618099960794i</v>
      </c>
      <c r="AQ424" s="31">
        <f t="shared" si="309"/>
        <v>337.61958092080005</v>
      </c>
      <c r="AR424" s="31">
        <f t="shared" si="310"/>
        <v>1.5678344089480889</v>
      </c>
      <c r="AS424" s="58" t="str">
        <f t="shared" si="311"/>
        <v>-3.57381956859601+0.639877056908466i</v>
      </c>
      <c r="AT424" s="49">
        <f t="shared" si="312"/>
        <v>11.199690827353553</v>
      </c>
      <c r="AU424" s="61">
        <f t="shared" si="313"/>
        <v>169.8489960141894</v>
      </c>
      <c r="AV424" s="58" t="str">
        <f t="shared" si="290"/>
        <v>0.00445219754969998-0.0310746925730231i</v>
      </c>
      <c r="AW424" s="64">
        <f t="shared" si="314"/>
        <v>-30.063616242421872</v>
      </c>
      <c r="AX424" s="61">
        <f t="shared" si="315"/>
        <v>-81.846488844683194</v>
      </c>
    </row>
    <row r="425" spans="14:50" x14ac:dyDescent="0.35">
      <c r="N425" s="10">
        <v>7</v>
      </c>
      <c r="O425" s="50">
        <f t="shared" si="316"/>
        <v>117489.75549395311</v>
      </c>
      <c r="P425" s="48" t="str">
        <f t="shared" si="281"/>
        <v>547.187404092767</v>
      </c>
      <c r="Q425" s="17" t="str">
        <f t="shared" si="282"/>
        <v>1+14157.6339728445i</v>
      </c>
      <c r="R425" s="17">
        <f t="shared" si="291"/>
        <v>14157.634008161136</v>
      </c>
      <c r="S425" s="17">
        <f t="shared" si="292"/>
        <v>1.5707256935238108</v>
      </c>
      <c r="T425" s="17" t="str">
        <f t="shared" si="283"/>
        <v>1+0.267889863628461i</v>
      </c>
      <c r="U425" s="17">
        <f t="shared" si="293"/>
        <v>1.0352608265721617</v>
      </c>
      <c r="V425" s="17">
        <f t="shared" si="294"/>
        <v>0.26174403245169292</v>
      </c>
      <c r="W425" s="31" t="str">
        <f t="shared" si="284"/>
        <v>1-4.65197390090185i</v>
      </c>
      <c r="X425" s="17">
        <f t="shared" si="295"/>
        <v>4.7582413951660731</v>
      </c>
      <c r="Y425" s="17">
        <f t="shared" si="296"/>
        <v>-1.3590559978061201</v>
      </c>
      <c r="Z425" s="31" t="str">
        <f t="shared" si="285"/>
        <v>-3.56325376728228+22.2581423598723i</v>
      </c>
      <c r="AA425" s="17">
        <f t="shared" si="297"/>
        <v>22.54155448770987</v>
      </c>
      <c r="AB425" s="17">
        <f t="shared" si="298"/>
        <v>1.7295370527636784</v>
      </c>
      <c r="AC425" s="66" t="str">
        <f t="shared" si="299"/>
        <v>-0.00261525885553414+0.00803103640803853i</v>
      </c>
      <c r="AD425" s="64">
        <f t="shared" si="300"/>
        <v>-41.46684399422773</v>
      </c>
      <c r="AE425" s="61">
        <f t="shared" si="301"/>
        <v>108.03752892945818</v>
      </c>
      <c r="AF425" s="31" t="str">
        <f t="shared" si="286"/>
        <v>-6627.51882264077</v>
      </c>
      <c r="AG425" s="31" t="str">
        <f t="shared" si="302"/>
        <v>738209.905463728i</v>
      </c>
      <c r="AH425" s="31">
        <f t="shared" si="303"/>
        <v>738209.90546372801</v>
      </c>
      <c r="AI425" s="31">
        <f t="shared" si="304"/>
        <v>1.5707963267948966</v>
      </c>
      <c r="AJ425" s="31" t="str">
        <f t="shared" si="287"/>
        <v>-64.0347941923856+360.353474302592i</v>
      </c>
      <c r="AK425" s="31">
        <f t="shared" si="305"/>
        <v>365.99874495578536</v>
      </c>
      <c r="AL425" s="31">
        <f t="shared" si="306"/>
        <v>1.7466605073749628</v>
      </c>
      <c r="AM425" s="31" t="str">
        <f t="shared" si="288"/>
        <v>1+428.11007047558i</v>
      </c>
      <c r="AN425" s="31">
        <f t="shared" si="307"/>
        <v>428.11123839792634</v>
      </c>
      <c r="AO425" s="31">
        <f t="shared" si="308"/>
        <v>1.5684604831643867</v>
      </c>
      <c r="AP425" s="31" t="str">
        <f t="shared" si="289"/>
        <v>1+345.482235757024i</v>
      </c>
      <c r="AQ425" s="31">
        <f t="shared" si="309"/>
        <v>345.48368300640755</v>
      </c>
      <c r="AR425" s="31">
        <f t="shared" si="310"/>
        <v>1.5679018300486214</v>
      </c>
      <c r="AS425" s="58" t="str">
        <f t="shared" si="311"/>
        <v>-3.56874086195777+0.653438302147485i</v>
      </c>
      <c r="AT425" s="49">
        <f t="shared" si="312"/>
        <v>11.193513494685677</v>
      </c>
      <c r="AU425" s="61">
        <f t="shared" si="313"/>
        <v>169.62404825622895</v>
      </c>
      <c r="AV425" s="58" t="str">
        <f t="shared" si="290"/>
        <v>0.00408539434738826-0.0303695980994741i</v>
      </c>
      <c r="AW425" s="64">
        <f t="shared" si="314"/>
        <v>-30.273330499542041</v>
      </c>
      <c r="AX425" s="61">
        <f t="shared" si="315"/>
        <v>-82.338422814312892</v>
      </c>
    </row>
    <row r="426" spans="14:50" x14ac:dyDescent="0.35">
      <c r="N426" s="10">
        <v>8</v>
      </c>
      <c r="O426" s="50">
        <f t="shared" si="316"/>
        <v>120226.44346174144</v>
      </c>
      <c r="P426" s="48" t="str">
        <f t="shared" si="281"/>
        <v>547.187404092767</v>
      </c>
      <c r="Q426" s="17" t="str">
        <f t="shared" si="282"/>
        <v>1+14487.4076316877i</v>
      </c>
      <c r="R426" s="17">
        <f t="shared" si="291"/>
        <v>14487.407666200428</v>
      </c>
      <c r="S426" s="17">
        <f t="shared" si="292"/>
        <v>1.5707273013333485</v>
      </c>
      <c r="T426" s="17" t="str">
        <f t="shared" si="283"/>
        <v>1+0.274129820154051i</v>
      </c>
      <c r="U426" s="17">
        <f t="shared" si="293"/>
        <v>1.0368930312706766</v>
      </c>
      <c r="V426" s="17">
        <f t="shared" si="294"/>
        <v>0.26755703178479029</v>
      </c>
      <c r="W426" s="31" t="str">
        <f t="shared" si="284"/>
        <v>1-4.76033229306583i</v>
      </c>
      <c r="X426" s="17">
        <f t="shared" si="295"/>
        <v>4.8642330886179161</v>
      </c>
      <c r="Y426" s="17">
        <f t="shared" si="296"/>
        <v>-1.3637376946718893</v>
      </c>
      <c r="Z426" s="31" t="str">
        <f t="shared" si="285"/>
        <v>-3.77831329172209+22.7766010980447i</v>
      </c>
      <c r="AA426" s="17">
        <f t="shared" si="297"/>
        <v>23.087858473878754</v>
      </c>
      <c r="AB426" s="17">
        <f t="shared" si="298"/>
        <v>1.7351850860388442</v>
      </c>
      <c r="AC426" s="66" t="str">
        <f t="shared" si="299"/>
        <v>-0.0025193843646979+0.00785702248837925i</v>
      </c>
      <c r="AD426" s="64">
        <f t="shared" si="300"/>
        <v>-41.669798152613573</v>
      </c>
      <c r="AE426" s="61">
        <f t="shared" si="301"/>
        <v>107.77864719627148</v>
      </c>
      <c r="AF426" s="31" t="str">
        <f t="shared" si="286"/>
        <v>-6627.51882264077</v>
      </c>
      <c r="AG426" s="31" t="str">
        <f t="shared" si="302"/>
        <v>755405.023093271i</v>
      </c>
      <c r="AH426" s="31">
        <f t="shared" si="303"/>
        <v>755405.02309327095</v>
      </c>
      <c r="AI426" s="31">
        <f t="shared" si="304"/>
        <v>1.5707963267948966</v>
      </c>
      <c r="AJ426" s="31" t="str">
        <f t="shared" si="287"/>
        <v>-67.0997896154618+368.747184997865i</v>
      </c>
      <c r="AK426" s="31">
        <f t="shared" si="305"/>
        <v>374.8024389065377</v>
      </c>
      <c r="AL426" s="31">
        <f t="shared" si="306"/>
        <v>1.7507938016470825</v>
      </c>
      <c r="AM426" s="31" t="str">
        <f t="shared" si="288"/>
        <v>1+438.082035042481i</v>
      </c>
      <c r="AN426" s="31">
        <f t="shared" si="307"/>
        <v>438.08317637973903</v>
      </c>
      <c r="AO426" s="31">
        <f t="shared" si="308"/>
        <v>1.5685136532699795</v>
      </c>
      <c r="AP426" s="31" t="str">
        <f t="shared" si="289"/>
        <v>1+353.52955080765i</v>
      </c>
      <c r="AQ426" s="31">
        <f t="shared" si="309"/>
        <v>353.53096511374901</v>
      </c>
      <c r="AR426" s="31">
        <f t="shared" si="310"/>
        <v>1.5679677164829666</v>
      </c>
      <c r="AS426" s="58" t="str">
        <f t="shared" si="311"/>
        <v>-3.56343825205397+0.667262403160432i</v>
      </c>
      <c r="AT426" s="49">
        <f t="shared" si="312"/>
        <v>11.187054548646408</v>
      </c>
      <c r="AU426" s="61">
        <f t="shared" si="313"/>
        <v>169.39404937621282</v>
      </c>
      <c r="AV426" s="58" t="str">
        <f t="shared" si="290"/>
        <v>0.00373497490950969-0.029679104948012i</v>
      </c>
      <c r="AW426" s="64">
        <f t="shared" si="314"/>
        <v>-30.482743603967176</v>
      </c>
      <c r="AX426" s="61">
        <f t="shared" si="315"/>
        <v>-82.827303427515702</v>
      </c>
    </row>
    <row r="427" spans="14:50" x14ac:dyDescent="0.35">
      <c r="N427" s="10">
        <v>9</v>
      </c>
      <c r="O427" s="50">
        <f t="shared" si="316"/>
        <v>123026.87708123829</v>
      </c>
      <c r="P427" s="48" t="str">
        <f t="shared" si="281"/>
        <v>547.187404092767</v>
      </c>
      <c r="Q427" s="17" t="str">
        <f t="shared" si="282"/>
        <v>1+14824.8627058208i</v>
      </c>
      <c r="R427" s="17">
        <f t="shared" si="291"/>
        <v>14824.862739547925</v>
      </c>
      <c r="S427" s="17">
        <f t="shared" si="292"/>
        <v>1.5707288725446733</v>
      </c>
      <c r="T427" s="17" t="str">
        <f t="shared" si="283"/>
        <v>1+0.280515123938824i</v>
      </c>
      <c r="U427" s="17">
        <f t="shared" si="293"/>
        <v>1.0385994101473455</v>
      </c>
      <c r="V427" s="17">
        <f t="shared" si="294"/>
        <v>0.27348631344619423</v>
      </c>
      <c r="W427" s="31" t="str">
        <f t="shared" si="284"/>
        <v>1-4.87121467642203i</v>
      </c>
      <c r="X427" s="17">
        <f t="shared" si="295"/>
        <v>4.9727992543223962</v>
      </c>
      <c r="Y427" s="17">
        <f t="shared" si="296"/>
        <v>-1.368321738570609</v>
      </c>
      <c r="Z427" s="31" t="str">
        <f t="shared" si="285"/>
        <v>-4.00350825929327+23.3071362916033i</v>
      </c>
      <c r="AA427" s="17">
        <f t="shared" si="297"/>
        <v>23.648481568540525</v>
      </c>
      <c r="AB427" s="17">
        <f t="shared" si="298"/>
        <v>1.7409079909081213</v>
      </c>
      <c r="AC427" s="66" t="str">
        <f t="shared" si="299"/>
        <v>-0.0024277231295834+0.00768677748898544i</v>
      </c>
      <c r="AD427" s="64">
        <f t="shared" si="300"/>
        <v>-41.872177014070175</v>
      </c>
      <c r="AE427" s="61">
        <f t="shared" si="301"/>
        <v>107.52773532317305</v>
      </c>
      <c r="AF427" s="31" t="str">
        <f t="shared" si="286"/>
        <v>-6627.51882264077</v>
      </c>
      <c r="AG427" s="31" t="str">
        <f t="shared" si="302"/>
        <v>773000.666465025i</v>
      </c>
      <c r="AH427" s="31">
        <f t="shared" si="303"/>
        <v>773000.66646502505</v>
      </c>
      <c r="AI427" s="31">
        <f t="shared" si="304"/>
        <v>1.5707963267948966</v>
      </c>
      <c r="AJ427" s="31" t="str">
        <f t="shared" si="287"/>
        <v>-70.3092338226102+377.33641033157i</v>
      </c>
      <c r="AK427" s="31">
        <f t="shared" si="305"/>
        <v>383.83089365323042</v>
      </c>
      <c r="AL427" s="31">
        <f t="shared" si="306"/>
        <v>1.7550141333557927</v>
      </c>
      <c r="AM427" s="31" t="str">
        <f t="shared" si="288"/>
        <v>1+448.286276503062i</v>
      </c>
      <c r="AN427" s="31">
        <f t="shared" si="307"/>
        <v>448.28739186037768</v>
      </c>
      <c r="AO427" s="31">
        <f t="shared" si="308"/>
        <v>1.5685656130886785</v>
      </c>
      <c r="AP427" s="31" t="str">
        <f t="shared" si="289"/>
        <v>1+361.764311905631i</v>
      </c>
      <c r="AQ427" s="31">
        <f t="shared" si="309"/>
        <v>361.76569401831716</v>
      </c>
      <c r="AR427" s="31">
        <f t="shared" si="310"/>
        <v>1.5680321031826954</v>
      </c>
      <c r="AS427" s="58" t="str">
        <f t="shared" si="311"/>
        <v>-3.55790260156427+0.681351109227307i</v>
      </c>
      <c r="AT427" s="49">
        <f t="shared" si="312"/>
        <v>11.180301588260523</v>
      </c>
      <c r="AU427" s="61">
        <f t="shared" si="313"/>
        <v>169.15890834562541</v>
      </c>
      <c r="AV427" s="58" t="str">
        <f t="shared" si="290"/>
        <v>0.00340020807011881-0.0290029374729454i</v>
      </c>
      <c r="AW427" s="64">
        <f t="shared" si="314"/>
        <v>-30.691875425809645</v>
      </c>
      <c r="AX427" s="61">
        <f t="shared" si="315"/>
        <v>-83.313356331201533</v>
      </c>
    </row>
    <row r="428" spans="14:50" x14ac:dyDescent="0.35">
      <c r="N428" s="10">
        <v>10</v>
      </c>
      <c r="O428" s="50">
        <f t="shared" si="316"/>
        <v>125892.54117941685</v>
      </c>
      <c r="P428" s="48" t="str">
        <f t="shared" si="281"/>
        <v>547.187404092767</v>
      </c>
      <c r="Q428" s="17" t="str">
        <f t="shared" si="282"/>
        <v>1+15170.1781183907i</v>
      </c>
      <c r="R428" s="17">
        <f t="shared" si="291"/>
        <v>15170.178151350101</v>
      </c>
      <c r="S428" s="17">
        <f t="shared" si="292"/>
        <v>1.5707304079908624</v>
      </c>
      <c r="T428" s="17" t="str">
        <f t="shared" si="283"/>
        <v>1+0.287049160555366i</v>
      </c>
      <c r="U428" s="17">
        <f t="shared" si="293"/>
        <v>1.0403832085224849</v>
      </c>
      <c r="V428" s="17">
        <f t="shared" si="294"/>
        <v>0.27953335293814752</v>
      </c>
      <c r="W428" s="31" t="str">
        <f t="shared" si="284"/>
        <v>1-4.98467984227783i</v>
      </c>
      <c r="X428" s="17">
        <f t="shared" si="295"/>
        <v>5.0839977507873595</v>
      </c>
      <c r="Y428" s="17">
        <f t="shared" si="296"/>
        <v>-1.3728097890484177</v>
      </c>
      <c r="Z428" s="31" t="str">
        <f t="shared" si="285"/>
        <v>-4.23931633871445+23.8500292373301i</v>
      </c>
      <c r="AA428" s="17">
        <f t="shared" si="297"/>
        <v>24.223866281855006</v>
      </c>
      <c r="AB428" s="17">
        <f t="shared" si="298"/>
        <v>1.7467079540422923</v>
      </c>
      <c r="AC428" s="66" t="str">
        <f t="shared" si="299"/>
        <v>-0.00234008347600775+0.00752023510743371i</v>
      </c>
      <c r="AD428" s="64">
        <f t="shared" si="300"/>
        <v>-42.07398731714764</v>
      </c>
      <c r="AE428" s="61">
        <f t="shared" si="301"/>
        <v>107.28465743048504</v>
      </c>
      <c r="AF428" s="31" t="str">
        <f t="shared" si="286"/>
        <v>-6627.51882264077</v>
      </c>
      <c r="AG428" s="31" t="str">
        <f t="shared" si="302"/>
        <v>791006.165022013i</v>
      </c>
      <c r="AH428" s="31">
        <f t="shared" si="303"/>
        <v>791006.16502201301</v>
      </c>
      <c r="AI428" s="31">
        <f t="shared" si="304"/>
        <v>1.5707963267948966</v>
      </c>
      <c r="AJ428" s="31" t="str">
        <f t="shared" si="287"/>
        <v>-73.669934475292+386.125704424671i</v>
      </c>
      <c r="AK428" s="31">
        <f t="shared" si="305"/>
        <v>393.0907259947025</v>
      </c>
      <c r="AL428" s="31">
        <f t="shared" si="306"/>
        <v>1.7593231645570733</v>
      </c>
      <c r="AM428" s="31" t="str">
        <f t="shared" si="288"/>
        <v>1+458.728205281216i</v>
      </c>
      <c r="AN428" s="31">
        <f t="shared" si="307"/>
        <v>458.7292952499605</v>
      </c>
      <c r="AO428" s="31">
        <f t="shared" si="308"/>
        <v>1.5686163901691441</v>
      </c>
      <c r="AP428" s="31" t="str">
        <f t="shared" si="289"/>
        <v>1+370.190885230302i</v>
      </c>
      <c r="AQ428" s="31">
        <f t="shared" si="309"/>
        <v>370.19223588237855</v>
      </c>
      <c r="AR428" s="31">
        <f t="shared" si="310"/>
        <v>1.568095024284351</v>
      </c>
      <c r="AS428" s="58" t="str">
        <f t="shared" si="311"/>
        <v>-3.55212446840266+0.695705956782586i</v>
      </c>
      <c r="AT428" s="49">
        <f t="shared" si="312"/>
        <v>11.173241708509067</v>
      </c>
      <c r="AU428" s="61">
        <f t="shared" si="313"/>
        <v>168.91853346997567</v>
      </c>
      <c r="AV428" s="58" t="str">
        <f t="shared" si="290"/>
        <v>0.00308039541258472-0.0283408211468831i</v>
      </c>
      <c r="AW428" s="64">
        <f t="shared" si="314"/>
        <v>-30.900745608638562</v>
      </c>
      <c r="AX428" s="61">
        <f t="shared" si="315"/>
        <v>-83.79680909953926</v>
      </c>
    </row>
    <row r="429" spans="14:50" x14ac:dyDescent="0.35">
      <c r="N429" s="10">
        <v>11</v>
      </c>
      <c r="O429" s="50">
        <f t="shared" si="316"/>
        <v>128824.95516931375</v>
      </c>
      <c r="P429" s="48" t="str">
        <f t="shared" si="281"/>
        <v>547.187404092767</v>
      </c>
      <c r="Q429" s="17" t="str">
        <f t="shared" si="282"/>
        <v>1+15523.5369602001i</v>
      </c>
      <c r="R429" s="17">
        <f t="shared" si="291"/>
        <v>15523.536992409252</v>
      </c>
      <c r="S429" s="17">
        <f t="shared" si="292"/>
        <v>1.5707319084860292</v>
      </c>
      <c r="T429" s="17" t="str">
        <f t="shared" si="283"/>
        <v>1+0.293735394436379i</v>
      </c>
      <c r="U429" s="17">
        <f t="shared" si="293"/>
        <v>1.0422478025617012</v>
      </c>
      <c r="V429" s="17">
        <f t="shared" si="294"/>
        <v>0.28569958682683649</v>
      </c>
      <c r="W429" s="31" t="str">
        <f t="shared" si="284"/>
        <v>1-5.10078795136605i</v>
      </c>
      <c r="X429" s="17">
        <f t="shared" si="295"/>
        <v>5.1978878137952416</v>
      </c>
      <c r="Y429" s="17">
        <f t="shared" si="296"/>
        <v>-1.3772035021785565</v>
      </c>
      <c r="Z429" s="31" t="str">
        <f t="shared" si="285"/>
        <v>-4.48623771053743+24.405567784251i</v>
      </c>
      <c r="AA429" s="17">
        <f t="shared" si="297"/>
        <v>24.814472947598915</v>
      </c>
      <c r="AB429" s="17">
        <f t="shared" si="298"/>
        <v>1.7525871490330887</v>
      </c>
      <c r="AC429" s="66" t="str">
        <f t="shared" si="299"/>
        <v>-0.00225628211357594+0.00735732926222649i</v>
      </c>
      <c r="AD429" s="64">
        <f t="shared" si="300"/>
        <v>-42.275235091940495</v>
      </c>
      <c r="AE429" s="61">
        <f t="shared" si="301"/>
        <v>107.04927635710175</v>
      </c>
      <c r="AF429" s="31" t="str">
        <f t="shared" si="286"/>
        <v>-6627.51882264077</v>
      </c>
      <c r="AG429" s="31" t="str">
        <f t="shared" si="302"/>
        <v>809431.065517901i</v>
      </c>
      <c r="AH429" s="31">
        <f t="shared" si="303"/>
        <v>809431.06551790098</v>
      </c>
      <c r="AI429" s="31">
        <f t="shared" si="304"/>
        <v>1.5707963267948966</v>
      </c>
      <c r="AJ429" s="31" t="str">
        <f t="shared" si="287"/>
        <v>-77.1890200701685+395.119727477236i</v>
      </c>
      <c r="AK429" s="31">
        <f t="shared" si="305"/>
        <v>402.58880245366748</v>
      </c>
      <c r="AL429" s="31">
        <f t="shared" si="306"/>
        <v>1.7637225661060485</v>
      </c>
      <c r="AM429" s="31" t="str">
        <f t="shared" si="288"/>
        <v>1+469.413357825797i</v>
      </c>
      <c r="AN429" s="31">
        <f t="shared" si="307"/>
        <v>469.41442298388074</v>
      </c>
      <c r="AO429" s="31">
        <f t="shared" si="308"/>
        <v>1.5686660114330087</v>
      </c>
      <c r="AP429" s="31" t="str">
        <f t="shared" si="289"/>
        <v>1+378.813738662377i</v>
      </c>
      <c r="AQ429" s="31">
        <f t="shared" si="309"/>
        <v>378.81505856996722</v>
      </c>
      <c r="AR429" s="31">
        <f t="shared" si="310"/>
        <v>1.5681565131475406</v>
      </c>
      <c r="AS429" s="58" t="str">
        <f t="shared" si="311"/>
        <v>-3.54609410202052+0.710328250131595i</v>
      </c>
      <c r="AT429" s="49">
        <f t="shared" si="312"/>
        <v>11.165861483680491</v>
      </c>
      <c r="AU429" s="61">
        <f t="shared" si="313"/>
        <v>168.6728324701775</v>
      </c>
      <c r="AV429" s="58" t="str">
        <f t="shared" si="290"/>
        <v>0.00277486987496671-0.027692482828944i</v>
      </c>
      <c r="AW429" s="64">
        <f t="shared" si="314"/>
        <v>-31.109373608259983</v>
      </c>
      <c r="AX429" s="61">
        <f t="shared" si="315"/>
        <v>-84.277891172720786</v>
      </c>
    </row>
    <row r="430" spans="14:50" x14ac:dyDescent="0.35">
      <c r="N430" s="10">
        <v>12</v>
      </c>
      <c r="O430" s="50">
        <f t="shared" si="316"/>
        <v>131825.67385564081</v>
      </c>
      <c r="P430" s="48" t="str">
        <f t="shared" si="281"/>
        <v>547.187404092767</v>
      </c>
      <c r="Q430" s="17" t="str">
        <f t="shared" si="282"/>
        <v>1+15885.126586784i</v>
      </c>
      <c r="R430" s="17">
        <f t="shared" si="291"/>
        <v>15885.126618259983</v>
      </c>
      <c r="S430" s="17">
        <f t="shared" si="292"/>
        <v>1.5707333748257564</v>
      </c>
      <c r="T430" s="17" t="str">
        <f t="shared" si="283"/>
        <v>1+0.300577370711569i</v>
      </c>
      <c r="U430" s="17">
        <f t="shared" si="293"/>
        <v>1.0441967035879207</v>
      </c>
      <c r="V430" s="17">
        <f t="shared" si="294"/>
        <v>0.29198640816828603</v>
      </c>
      <c r="W430" s="31" t="str">
        <f t="shared" si="284"/>
        <v>1-5.21960056574297i</v>
      </c>
      <c r="X430" s="17">
        <f t="shared" si="295"/>
        <v>5.3145300889076097</v>
      </c>
      <c r="Y430" s="17">
        <f t="shared" si="296"/>
        <v>-1.3815045286865633</v>
      </c>
      <c r="Z430" s="31" t="str">
        <f t="shared" si="285"/>
        <v>-4.74479612809712+24.9740464862569i</v>
      </c>
      <c r="AA430" s="17">
        <f t="shared" si="297"/>
        <v>25.420780637008885</v>
      </c>
      <c r="AB430" s="17">
        <f t="shared" si="298"/>
        <v>1.7585477342393687</v>
      </c>
      <c r="AC430" s="66" t="str">
        <f t="shared" si="299"/>
        <v>-0.00217614376776053+0.00719799416438015i</v>
      </c>
      <c r="AD430" s="64">
        <f t="shared" si="300"/>
        <v>-42.475925683495312</v>
      </c>
      <c r="AE430" s="61">
        <f t="shared" si="301"/>
        <v>106.82145362921129</v>
      </c>
      <c r="AF430" s="31" t="str">
        <f t="shared" si="286"/>
        <v>-6627.51882264077</v>
      </c>
      <c r="AG430" s="31" t="str">
        <f t="shared" si="302"/>
        <v>828285.13707881i</v>
      </c>
      <c r="AH430" s="31">
        <f t="shared" si="303"/>
        <v>828285.13707881002</v>
      </c>
      <c r="AI430" s="31">
        <f t="shared" si="304"/>
        <v>1.5707963267948966</v>
      </c>
      <c r="AJ430" s="31" t="str">
        <f t="shared" si="287"/>
        <v>-80.8739550595978+404.323248239336i</v>
      </c>
      <c r="AK430" s="31">
        <f t="shared" si="305"/>
        <v>412.33225155666582</v>
      </c>
      <c r="AL430" s="31">
        <f t="shared" si="306"/>
        <v>1.7682140161456559</v>
      </c>
      <c r="AM430" s="31" t="str">
        <f t="shared" si="288"/>
        <v>1+480.347399546115i</v>
      </c>
      <c r="AN430" s="31">
        <f t="shared" si="307"/>
        <v>480.34844045829385</v>
      </c>
      <c r="AO430" s="31">
        <f t="shared" si="308"/>
        <v>1.5687145031891452</v>
      </c>
      <c r="AP430" s="31" t="str">
        <f t="shared" si="289"/>
        <v>1+387.637444152882i</v>
      </c>
      <c r="AQ430" s="31">
        <f t="shared" si="309"/>
        <v>387.63873401580844</v>
      </c>
      <c r="AR430" s="31">
        <f t="shared" si="310"/>
        <v>1.5682166023726125</v>
      </c>
      <c r="AS430" s="58" t="str">
        <f t="shared" si="311"/>
        <v>-3.53980144036534+0.725219041162444i</v>
      </c>
      <c r="AT430" s="49">
        <f t="shared" si="312"/>
        <v>11.158146950539376</v>
      </c>
      <c r="AU430" s="61">
        <f t="shared" si="313"/>
        <v>168.42171257097272</v>
      </c>
      <c r="AV430" s="58" t="str">
        <f t="shared" si="290"/>
        <v>0.00248299441737614-0.0270576510075011i</v>
      </c>
      <c r="AW430" s="64">
        <f t="shared" si="314"/>
        <v>-31.317778732955929</v>
      </c>
      <c r="AX430" s="61">
        <f t="shared" si="315"/>
        <v>-84.756833799815979</v>
      </c>
    </row>
    <row r="431" spans="14:50" x14ac:dyDescent="0.35">
      <c r="N431" s="10">
        <v>13</v>
      </c>
      <c r="O431" s="50">
        <f t="shared" si="316"/>
        <v>134896.28825916545</v>
      </c>
      <c r="P431" s="48" t="str">
        <f t="shared" si="281"/>
        <v>547.187404092767</v>
      </c>
      <c r="Q431" s="17" t="str">
        <f t="shared" si="282"/>
        <v>1+16255.1387177487i</v>
      </c>
      <c r="R431" s="17">
        <f t="shared" si="291"/>
        <v>16255.138748508203</v>
      </c>
      <c r="S431" s="17">
        <f t="shared" si="292"/>
        <v>1.5707348077875167</v>
      </c>
      <c r="T431" s="17" t="str">
        <f t="shared" si="283"/>
        <v>1+0.307578717087323i</v>
      </c>
      <c r="U431" s="17">
        <f t="shared" si="293"/>
        <v>1.0462335624539501</v>
      </c>
      <c r="V431" s="17">
        <f t="shared" si="294"/>
        <v>0.29839516172070812</v>
      </c>
      <c r="W431" s="31" t="str">
        <f t="shared" si="284"/>
        <v>1-5.34118068142944i</v>
      </c>
      <c r="X431" s="17">
        <f t="shared" si="295"/>
        <v>5.4339866646574544</v>
      </c>
      <c r="Y431" s="17">
        <f t="shared" si="296"/>
        <v>-1.3857145122152377</v>
      </c>
      <c r="Z431" s="31" t="str">
        <f t="shared" si="285"/>
        <v>-5.01554002846277+25.5557667582805i</v>
      </c>
      <c r="AA431" s="17">
        <f t="shared" si="297"/>
        <v>26.043288125364413</v>
      </c>
      <c r="AB431" s="17">
        <f t="shared" si="298"/>
        <v>1.7645918504615872</v>
      </c>
      <c r="AC431" s="66" t="str">
        <f t="shared" si="299"/>
        <v>-0.0020995008277911+0.00704216438180597i</v>
      </c>
      <c r="AD431" s="64">
        <f t="shared" si="300"/>
        <v>-42.676063776531954</v>
      </c>
      <c r="AE431" s="61">
        <f t="shared" si="301"/>
        <v>106.60104941861117</v>
      </c>
      <c r="AF431" s="31" t="str">
        <f t="shared" si="286"/>
        <v>-6627.51882264077</v>
      </c>
      <c r="AG431" s="31" t="str">
        <f t="shared" si="302"/>
        <v>847578.37638305i</v>
      </c>
      <c r="AH431" s="31">
        <f t="shared" si="303"/>
        <v>847578.37638305</v>
      </c>
      <c r="AI431" s="31">
        <f t="shared" si="304"/>
        <v>1.5707963267948966</v>
      </c>
      <c r="AJ431" s="31" t="str">
        <f t="shared" si="287"/>
        <v>-84.7325556847412+413.741146539504i</v>
      </c>
      <c r="AK431" s="31">
        <f t="shared" si="305"/>
        <v>422.32847681951438</v>
      </c>
      <c r="AL431" s="31">
        <f t="shared" si="306"/>
        <v>1.772799198465322</v>
      </c>
      <c r="AM431" s="31" t="str">
        <f t="shared" si="288"/>
        <v>1+491.536127815823i</v>
      </c>
      <c r="AN431" s="31">
        <f t="shared" si="307"/>
        <v>491.53714503399755</v>
      </c>
      <c r="AO431" s="31">
        <f t="shared" si="308"/>
        <v>1.5687618911476118</v>
      </c>
      <c r="AP431" s="31" t="str">
        <f t="shared" si="289"/>
        <v>1+396.666680147267i</v>
      </c>
      <c r="AQ431" s="31">
        <f t="shared" si="309"/>
        <v>396.66794064942314</v>
      </c>
      <c r="AR431" s="31">
        <f t="shared" si="310"/>
        <v>1.5682753238179323</v>
      </c>
      <c r="AS431" s="58" t="str">
        <f t="shared" si="311"/>
        <v>-3.53323610757944+0.740379108035791i</v>
      </c>
      <c r="AT431" s="49">
        <f t="shared" si="312"/>
        <v>11.15008359134908</v>
      </c>
      <c r="AU431" s="61">
        <f t="shared" si="313"/>
        <v>168.16508059676147</v>
      </c>
      <c r="AV431" s="58" t="str">
        <f t="shared" si="290"/>
        <v>0.00220416074900152-0.0264360560195071i</v>
      </c>
      <c r="AW431" s="64">
        <f t="shared" si="314"/>
        <v>-31.525980185182867</v>
      </c>
      <c r="AX431" s="61">
        <f t="shared" si="315"/>
        <v>-85.233869984627333</v>
      </c>
    </row>
    <row r="432" spans="14:50" x14ac:dyDescent="0.35">
      <c r="N432" s="10">
        <v>14</v>
      </c>
      <c r="O432" s="50">
        <f t="shared" si="316"/>
        <v>138038.42646028858</v>
      </c>
      <c r="P432" s="48" t="str">
        <f t="shared" si="281"/>
        <v>547.187404092767</v>
      </c>
      <c r="Q432" s="17" t="str">
        <f t="shared" si="282"/>
        <v>1+16633.7695384238i</v>
      </c>
      <c r="R432" s="17">
        <f t="shared" si="291"/>
        <v>16633.769568483131</v>
      </c>
      <c r="S432" s="17">
        <f t="shared" si="292"/>
        <v>1.5707362081310854</v>
      </c>
      <c r="T432" s="17" t="str">
        <f t="shared" si="283"/>
        <v>1+0.314743145770163i</v>
      </c>
      <c r="U432" s="17">
        <f t="shared" si="293"/>
        <v>1.0483621739691384</v>
      </c>
      <c r="V432" s="17">
        <f t="shared" si="294"/>
        <v>0.304927138944178</v>
      </c>
      <c r="W432" s="31" t="str">
        <f t="shared" si="284"/>
        <v>1-5.46559276181209i</v>
      </c>
      <c r="X432" s="17">
        <f t="shared" si="295"/>
        <v>5.5563211064491869</v>
      </c>
      <c r="Y432" s="17">
        <f t="shared" si="296"/>
        <v>-1.3898350877228924</v>
      </c>
      <c r="Z432" s="31" t="str">
        <f t="shared" si="285"/>
        <v>-5.29904369574629+26.1510370361099i</v>
      </c>
      <c r="AA432" s="17">
        <f t="shared" si="297"/>
        <v>26.682514914329577</v>
      </c>
      <c r="AB432" s="17">
        <f t="shared" si="298"/>
        <v>1.7707216184382144</v>
      </c>
      <c r="AC432" s="66" t="str">
        <f t="shared" si="299"/>
        <v>-0.00202619300975317+0.00688977489699573i</v>
      </c>
      <c r="AD432" s="64">
        <f t="shared" si="300"/>
        <v>-42.875653421518166</v>
      </c>
      <c r="AE432" s="61">
        <f t="shared" si="301"/>
        <v>106.38792249140641</v>
      </c>
      <c r="AF432" s="31" t="str">
        <f t="shared" si="286"/>
        <v>-6627.51882264077</v>
      </c>
      <c r="AG432" s="31" t="str">
        <f t="shared" si="302"/>
        <v>867321.012961475i</v>
      </c>
      <c r="AH432" s="31">
        <f t="shared" si="303"/>
        <v>867321.01296147495</v>
      </c>
      <c r="AI432" s="31">
        <f t="shared" si="304"/>
        <v>1.5707963267948966</v>
      </c>
      <c r="AJ432" s="31" t="str">
        <f t="shared" si="287"/>
        <v>-88.7730065548561+423.378415872079i</v>
      </c>
      <c r="AK432" s="31">
        <f t="shared" si="305"/>
        <v>432.58517047991791</v>
      </c>
      <c r="AL432" s="31">
        <f t="shared" si="306"/>
        <v>1.7774798007232049</v>
      </c>
      <c r="AM432" s="31" t="str">
        <f t="shared" si="288"/>
        <v>1+502.985475046748i</v>
      </c>
      <c r="AN432" s="31">
        <f t="shared" si="307"/>
        <v>502.98646911025622</v>
      </c>
      <c r="AO432" s="31">
        <f t="shared" si="308"/>
        <v>1.5688082004332797</v>
      </c>
      <c r="AP432" s="31" t="str">
        <f t="shared" si="289"/>
        <v>1+405.90623406597i</v>
      </c>
      <c r="AQ432" s="31">
        <f t="shared" si="309"/>
        <v>405.90746587568213</v>
      </c>
      <c r="AR432" s="31">
        <f t="shared" si="310"/>
        <v>1.5683327086167671</v>
      </c>
      <c r="AS432" s="58" t="str">
        <f t="shared" si="311"/>
        <v>-3.52638741253033+0.755808932838964i</v>
      </c>
      <c r="AT432" s="49">
        <f t="shared" si="312"/>
        <v>11.141656316792339</v>
      </c>
      <c r="AU432" s="61">
        <f t="shared" si="313"/>
        <v>167.90284307520787</v>
      </c>
      <c r="AV432" s="58" t="str">
        <f t="shared" si="290"/>
        <v>0.0019377881125515-0.0258274302483605i</v>
      </c>
      <c r="AW432" s="64">
        <f t="shared" si="314"/>
        <v>-31.73399710472583</v>
      </c>
      <c r="AX432" s="61">
        <f t="shared" si="315"/>
        <v>-85.709234433385731</v>
      </c>
    </row>
    <row r="433" spans="14:50" x14ac:dyDescent="0.35">
      <c r="N433" s="10">
        <v>15</v>
      </c>
      <c r="O433" s="50">
        <f t="shared" si="316"/>
        <v>141253.75446227577</v>
      </c>
      <c r="P433" s="48" t="str">
        <f t="shared" si="281"/>
        <v>547.187404092767</v>
      </c>
      <c r="Q433" s="17" t="str">
        <f t="shared" si="282"/>
        <v>1+17021.2198038822i</v>
      </c>
      <c r="R433" s="17">
        <f t="shared" si="291"/>
        <v>17021.219833257295</v>
      </c>
      <c r="S433" s="17">
        <f t="shared" si="292"/>
        <v>1.5707375765989429</v>
      </c>
      <c r="T433" s="17" t="str">
        <f t="shared" si="283"/>
        <v>1+0.322074455435008i</v>
      </c>
      <c r="U433" s="17">
        <f t="shared" si="293"/>
        <v>1.0505864813730268</v>
      </c>
      <c r="V433" s="17">
        <f t="shared" si="294"/>
        <v>0.31158357278987286</v>
      </c>
      <c r="W433" s="31" t="str">
        <f t="shared" si="284"/>
        <v>1-5.59290277182273i</v>
      </c>
      <c r="X433" s="17">
        <f t="shared" si="295"/>
        <v>5.6815984911873505</v>
      </c>
      <c r="Y433" s="17">
        <f t="shared" si="296"/>
        <v>-1.3938678800084958</v>
      </c>
      <c r="Z433" s="31" t="str">
        <f t="shared" si="285"/>
        <v>-5.59590847923601+26.7601729399258i</v>
      </c>
      <c r="AA433" s="17">
        <f t="shared" si="297"/>
        <v>27.339002313228665</v>
      </c>
      <c r="AB433" s="17">
        <f t="shared" si="298"/>
        <v>1.7769391361579885</v>
      </c>
      <c r="AC433" s="66" t="str">
        <f t="shared" si="299"/>
        <v>-0.00195606703431641+0.00674076115849058i</v>
      </c>
      <c r="AD433" s="64">
        <f t="shared" si="300"/>
        <v>-43.074698062144662</v>
      </c>
      <c r="AE433" s="61">
        <f t="shared" si="301"/>
        <v>106.18193014793144</v>
      </c>
      <c r="AF433" s="31" t="str">
        <f t="shared" si="286"/>
        <v>-6627.51882264077</v>
      </c>
      <c r="AG433" s="31" t="str">
        <f t="shared" si="302"/>
        <v>887523.514621324i</v>
      </c>
      <c r="AH433" s="31">
        <f t="shared" si="303"/>
        <v>887523.51462132402</v>
      </c>
      <c r="AI433" s="31">
        <f t="shared" si="304"/>
        <v>1.5707963267948966</v>
      </c>
      <c r="AJ433" s="31" t="str">
        <f t="shared" si="287"/>
        <v>-93.0038780079507+433.240166044826i</v>
      </c>
      <c r="AK433" s="31">
        <f t="shared" si="305"/>
        <v>443.11032802121218</v>
      </c>
      <c r="AL433" s="31">
        <f t="shared" si="306"/>
        <v>1.7822575125255147</v>
      </c>
      <c r="AM433" s="31" t="str">
        <f t="shared" si="288"/>
        <v>1+514.701511834345i</v>
      </c>
      <c r="AN433" s="31">
        <f t="shared" si="307"/>
        <v>514.70248327024842</v>
      </c>
      <c r="AO433" s="31">
        <f t="shared" si="308"/>
        <v>1.56885345559915</v>
      </c>
      <c r="AP433" s="31" t="str">
        <f t="shared" si="289"/>
        <v>1+415.361004842779i</v>
      </c>
      <c r="AQ433" s="31">
        <f t="shared" si="309"/>
        <v>415.36220861316099</v>
      </c>
      <c r="AR433" s="31">
        <f t="shared" si="310"/>
        <v>1.5683887871937841</v>
      </c>
      <c r="AS433" s="58" t="str">
        <f t="shared" si="311"/>
        <v>-3.51924434826988+0.771508678195567i</v>
      </c>
      <c r="AT433" s="49">
        <f t="shared" si="312"/>
        <v>11.132849448837522</v>
      </c>
      <c r="AU433" s="61">
        <f t="shared" si="313"/>
        <v>167.63490634899537</v>
      </c>
      <c r="AV433" s="58" t="str">
        <f t="shared" si="290"/>
        <v>0.00168332212393597-0.0252315083021625i</v>
      </c>
      <c r="AW433" s="64">
        <f t="shared" si="314"/>
        <v>-31.94184861330713</v>
      </c>
      <c r="AX433" s="61">
        <f t="shared" si="315"/>
        <v>-86.183163503073189</v>
      </c>
    </row>
    <row r="434" spans="14:50" x14ac:dyDescent="0.35">
      <c r="N434" s="10">
        <v>16</v>
      </c>
      <c r="O434" s="50">
        <f t="shared" si="316"/>
        <v>144543.97707459307</v>
      </c>
      <c r="P434" s="48" t="str">
        <f t="shared" si="281"/>
        <v>547.187404092767</v>
      </c>
      <c r="Q434" s="17" t="str">
        <f t="shared" si="282"/>
        <v>1+17417.6949453831i</v>
      </c>
      <c r="R434" s="17">
        <f t="shared" si="291"/>
        <v>17417.694974089536</v>
      </c>
      <c r="S434" s="17">
        <f t="shared" si="292"/>
        <v>1.5707389139166692</v>
      </c>
      <c r="T434" s="17" t="str">
        <f t="shared" si="283"/>
        <v>1+0.329576533239284i</v>
      </c>
      <c r="U434" s="17">
        <f t="shared" si="293"/>
        <v>1.0529105808481671</v>
      </c>
      <c r="V434" s="17">
        <f t="shared" si="294"/>
        <v>0.31836563228257664</v>
      </c>
      <c r="W434" s="31" t="str">
        <f t="shared" si="284"/>
        <v>1-5.72317821291381i</v>
      </c>
      <c r="X434" s="17">
        <f t="shared" si="295"/>
        <v>5.8098854426547275</v>
      </c>
      <c r="Y434" s="17">
        <f t="shared" si="296"/>
        <v>-1.39781450235741</v>
      </c>
      <c r="Z434" s="31" t="str">
        <f t="shared" si="285"/>
        <v>-5.90676406893901+27.3834974416471i</v>
      </c>
      <c r="AA434" s="17">
        <f t="shared" si="297"/>
        <v>28.013314582583799</v>
      </c>
      <c r="AB434" s="17">
        <f t="shared" si="298"/>
        <v>1.7832464759821292</v>
      </c>
      <c r="AC434" s="66" t="str">
        <f t="shared" si="299"/>
        <v>-0.00188897631853356+0.00659505912658154i</v>
      </c>
      <c r="AD434" s="64">
        <f t="shared" si="300"/>
        <v>-43.273200564252711</v>
      </c>
      <c r="AE434" s="61">
        <f t="shared" si="301"/>
        <v>105.98292815480545</v>
      </c>
      <c r="AF434" s="31" t="str">
        <f t="shared" si="286"/>
        <v>-6627.51882264077</v>
      </c>
      <c r="AG434" s="31" t="str">
        <f t="shared" si="302"/>
        <v>908196.592996386i</v>
      </c>
      <c r="AH434" s="31">
        <f t="shared" si="303"/>
        <v>908196.592996386</v>
      </c>
      <c r="AI434" s="31">
        <f t="shared" si="304"/>
        <v>1.5707963267948966</v>
      </c>
      <c r="AJ434" s="31" t="str">
        <f t="shared" si="287"/>
        <v>-97.4341442896192+443.331625888221i</v>
      </c>
      <c r="AK434" s="31">
        <f t="shared" si="305"/>
        <v>453.91226353354222</v>
      </c>
      <c r="AL434" s="31">
        <f t="shared" si="306"/>
        <v>1.7871340233563633</v>
      </c>
      <c r="AM434" s="31" t="str">
        <f t="shared" si="288"/>
        <v>1+526.690450176395i</v>
      </c>
      <c r="AN434" s="31">
        <f t="shared" si="307"/>
        <v>526.69139949975795</v>
      </c>
      <c r="AO434" s="31">
        <f t="shared" si="308"/>
        <v>1.5688976806393689</v>
      </c>
      <c r="AP434" s="31" t="str">
        <f t="shared" si="289"/>
        <v>1+425.036005522308i</v>
      </c>
      <c r="AQ434" s="31">
        <f t="shared" si="309"/>
        <v>425.03718189160753</v>
      </c>
      <c r="AR434" s="31">
        <f t="shared" si="310"/>
        <v>1.568443589281175</v>
      </c>
      <c r="AS434" s="58" t="str">
        <f t="shared" si="311"/>
        <v>-3.51179559252515+0.787478162826978i</v>
      </c>
      <c r="AT434" s="49">
        <f t="shared" si="312"/>
        <v>11.123646703602219</v>
      </c>
      <c r="AU434" s="61">
        <f t="shared" si="313"/>
        <v>167.36117669610729</v>
      </c>
      <c r="AV434" s="58" t="str">
        <f t="shared" si="290"/>
        <v>0.00144023366507482-0.0246480271741143i</v>
      </c>
      <c r="AW434" s="64">
        <f t="shared" si="314"/>
        <v>-32.149553860650485</v>
      </c>
      <c r="AX434" s="61">
        <f t="shared" si="315"/>
        <v>-86.655895149087257</v>
      </c>
    </row>
    <row r="435" spans="14:50" x14ac:dyDescent="0.35">
      <c r="N435" s="10">
        <v>17</v>
      </c>
      <c r="O435" s="50">
        <f t="shared" si="316"/>
        <v>147910.83881682079</v>
      </c>
      <c r="P435" s="48" t="str">
        <f t="shared" si="281"/>
        <v>547.187404092767</v>
      </c>
      <c r="Q435" s="17" t="str">
        <f t="shared" si="282"/>
        <v>1+17823.4051792944i</v>
      </c>
      <c r="R435" s="17">
        <f t="shared" si="291"/>
        <v>17823.405207347401</v>
      </c>
      <c r="S435" s="17">
        <f t="shared" si="292"/>
        <v>1.5707402207933279</v>
      </c>
      <c r="T435" s="17" t="str">
        <f t="shared" si="283"/>
        <v>1+0.337253356883943i</v>
      </c>
      <c r="U435" s="17">
        <f t="shared" si="293"/>
        <v>1.0553387260635745</v>
      </c>
      <c r="V435" s="17">
        <f t="shared" si="294"/>
        <v>0.32527441690178249</v>
      </c>
      <c r="W435" s="31" t="str">
        <f t="shared" si="284"/>
        <v>1-5.85648815884858i</v>
      </c>
      <c r="X435" s="17">
        <f t="shared" si="295"/>
        <v>5.9412501676611482</v>
      </c>
      <c r="Y435" s="17">
        <f t="shared" si="296"/>
        <v>-1.4016765553015633</v>
      </c>
      <c r="Z435" s="31" t="str">
        <f t="shared" si="285"/>
        <v>-6.2322698312382+28.0213410361754i</v>
      </c>
      <c r="AA435" s="17">
        <f t="shared" si="297"/>
        <v>28.706040143409005</v>
      </c>
      <c r="AB435" s="17">
        <f t="shared" si="298"/>
        <v>1.7896456815709911</v>
      </c>
      <c r="AC435" s="66" t="str">
        <f t="shared" si="299"/>
        <v>-0.00182478068117266+0.00645260531366288i</v>
      </c>
      <c r="AD435" s="64">
        <f t="shared" si="300"/>
        <v>-43.471163246268858</v>
      </c>
      <c r="AE435" s="61">
        <f t="shared" si="301"/>
        <v>105.79077067009955</v>
      </c>
      <c r="AF435" s="31" t="str">
        <f t="shared" si="286"/>
        <v>-6627.51882264077</v>
      </c>
      <c r="AG435" s="31" t="str">
        <f t="shared" si="302"/>
        <v>929351.209226456i</v>
      </c>
      <c r="AH435" s="31">
        <f t="shared" si="303"/>
        <v>929351.20922645601</v>
      </c>
      <c r="AI435" s="31">
        <f t="shared" si="304"/>
        <v>1.5707963267948966</v>
      </c>
      <c r="AJ435" s="31" t="str">
        <f t="shared" si="287"/>
        <v>-102.073202588621+453.658146027849i</v>
      </c>
      <c r="AK435" s="31">
        <f t="shared" si="305"/>
        <v>464.99962596127193</v>
      </c>
      <c r="AL435" s="31">
        <f t="shared" si="306"/>
        <v>1.7921110203516073</v>
      </c>
      <c r="AM435" s="31" t="str">
        <f t="shared" si="288"/>
        <v>1+538.958646766699i</v>
      </c>
      <c r="AN435" s="31">
        <f t="shared" si="307"/>
        <v>538.95957448086165</v>
      </c>
      <c r="AO435" s="31">
        <f t="shared" si="308"/>
        <v>1.5689408990019453</v>
      </c>
      <c r="AP435" s="31" t="str">
        <f t="shared" si="289"/>
        <v>1+434.936365917981i</v>
      </c>
      <c r="AQ435" s="31">
        <f t="shared" si="309"/>
        <v>434.93751550991772</v>
      </c>
      <c r="AR435" s="31">
        <f t="shared" si="310"/>
        <v>1.5684971439344151</v>
      </c>
      <c r="AS435" s="58" t="str">
        <f t="shared" si="311"/>
        <v>-3.50402950933131+0.803716836068689i</v>
      </c>
      <c r="AT435" s="49">
        <f t="shared" si="312"/>
        <v>11.114031174274828</v>
      </c>
      <c r="AU435" s="61">
        <f t="shared" si="313"/>
        <v>167.08156045900756</v>
      </c>
      <c r="AV435" s="58" t="str">
        <f t="shared" si="290"/>
        <v>0.00120801782778955-0.0240767263867341i</v>
      </c>
      <c r="AW435" s="64">
        <f t="shared" si="314"/>
        <v>-32.357132071994023</v>
      </c>
      <c r="AX435" s="61">
        <f t="shared" si="315"/>
        <v>-87.127668870892876</v>
      </c>
    </row>
    <row r="436" spans="14:50" x14ac:dyDescent="0.35">
      <c r="N436" s="10">
        <v>18</v>
      </c>
      <c r="O436" s="50">
        <f t="shared" si="316"/>
        <v>151356.12484362084</v>
      </c>
      <c r="P436" s="48" t="str">
        <f t="shared" si="281"/>
        <v>547.187404092767</v>
      </c>
      <c r="Q436" s="17" t="str">
        <f t="shared" si="282"/>
        <v>1+18238.5656185524i</v>
      </c>
      <c r="R436" s="17">
        <f t="shared" si="291"/>
        <v>18238.565645966832</v>
      </c>
      <c r="S436" s="17">
        <f t="shared" si="292"/>
        <v>1.5707414979218419</v>
      </c>
      <c r="T436" s="17" t="str">
        <f t="shared" si="283"/>
        <v>1+0.3451089967225i</v>
      </c>
      <c r="U436" s="17">
        <f t="shared" si="293"/>
        <v>1.0578753327395485</v>
      </c>
      <c r="V436" s="17">
        <f t="shared" si="294"/>
        <v>0.33231095076852446</v>
      </c>
      <c r="W436" s="31" t="str">
        <f t="shared" si="284"/>
        <v>1-5.99290329232497i</v>
      </c>
      <c r="X436" s="17">
        <f t="shared" si="295"/>
        <v>6.0757624929846834</v>
      </c>
      <c r="Y436" s="17">
        <f t="shared" si="296"/>
        <v>-1.4054556254880433</v>
      </c>
      <c r="Z436" s="31" t="str">
        <f t="shared" si="285"/>
        <v>-6.57311620749679+28.6740419166274i</v>
      </c>
      <c r="AA436" s="17">
        <f t="shared" si="297"/>
        <v>29.41779285591905</v>
      </c>
      <c r="AB436" s="17">
        <f t="shared" si="298"/>
        <v>1.7961387646100491</v>
      </c>
      <c r="AC436" s="66" t="str">
        <f t="shared" si="299"/>
        <v>-0.00176334606106435+0.00631333681963383i</v>
      </c>
      <c r="AD436" s="64">
        <f t="shared" si="300"/>
        <v>-43.668587911203652</v>
      </c>
      <c r="AE436" s="61">
        <f t="shared" si="301"/>
        <v>105.60531016265608</v>
      </c>
      <c r="AF436" s="31" t="str">
        <f t="shared" si="286"/>
        <v>-6627.51882264077</v>
      </c>
      <c r="AG436" s="31" t="str">
        <f t="shared" si="302"/>
        <v>950998.579769078i</v>
      </c>
      <c r="AH436" s="31">
        <f t="shared" si="303"/>
        <v>950998.57976907794</v>
      </c>
      <c r="AI436" s="31">
        <f t="shared" si="304"/>
        <v>1.5707963267948966</v>
      </c>
      <c r="AJ436" s="31" t="str">
        <f t="shared" si="287"/>
        <v>-106.930892969579+464.225201721376i</v>
      </c>
      <c r="AK436" s="31">
        <f t="shared" si="305"/>
        <v>476.3814162879612</v>
      </c>
      <c r="AL436" s="31">
        <f t="shared" si="306"/>
        <v>1.7971901859101793</v>
      </c>
      <c r="AM436" s="31" t="str">
        <f t="shared" si="288"/>
        <v>1+551.512606365482i</v>
      </c>
      <c r="AN436" s="31">
        <f t="shared" si="307"/>
        <v>551.51351296232724</v>
      </c>
      <c r="AO436" s="31">
        <f t="shared" si="308"/>
        <v>1.5689831336011817</v>
      </c>
      <c r="AP436" s="31" t="str">
        <f t="shared" si="289"/>
        <v>1+445.067335331928i</v>
      </c>
      <c r="AQ436" s="31">
        <f t="shared" si="309"/>
        <v>445.06845875602426</v>
      </c>
      <c r="AR436" s="31">
        <f t="shared" si="310"/>
        <v>1.5685494795476604</v>
      </c>
      <c r="AS436" s="58" t="str">
        <f t="shared" si="311"/>
        <v>-3.4959341519224+0.8202237513513i</v>
      </c>
      <c r="AT436" s="49">
        <f t="shared" si="312"/>
        <v>11.10398531415866</v>
      </c>
      <c r="AU436" s="61">
        <f t="shared" si="313"/>
        <v>166.79596418309595</v>
      </c>
      <c r="AV436" s="58" t="str">
        <f t="shared" si="290"/>
        <v>0.000986192906788357-0.0235173481214838i</v>
      </c>
      <c r="AW436" s="64">
        <f t="shared" si="314"/>
        <v>-32.564602597044995</v>
      </c>
      <c r="AX436" s="61">
        <f t="shared" si="315"/>
        <v>-87.598725654247957</v>
      </c>
    </row>
    <row r="437" spans="14:50" x14ac:dyDescent="0.35">
      <c r="N437" s="10">
        <v>19</v>
      </c>
      <c r="O437" s="50">
        <f t="shared" si="316"/>
        <v>154881.66189124843</v>
      </c>
      <c r="P437" s="48" t="str">
        <f t="shared" si="281"/>
        <v>547.187404092767</v>
      </c>
      <c r="Q437" s="17" t="str">
        <f t="shared" si="282"/>
        <v>1+18663.3963867174i</v>
      </c>
      <c r="R437" s="17">
        <f t="shared" si="291"/>
        <v>18663.396413507802</v>
      </c>
      <c r="S437" s="17">
        <f t="shared" si="292"/>
        <v>1.5707427459793621</v>
      </c>
      <c r="T437" s="17" t="str">
        <f t="shared" si="283"/>
        <v>1+0.353147617919176i</v>
      </c>
      <c r="U437" s="17">
        <f t="shared" si="293"/>
        <v>1.0605249832238695</v>
      </c>
      <c r="V437" s="17">
        <f t="shared" si="294"/>
        <v>0.33947617664696028</v>
      </c>
      <c r="W437" s="31" t="str">
        <f t="shared" si="284"/>
        <v>1-6.13249594245241i</v>
      </c>
      <c r="X437" s="17">
        <f t="shared" si="295"/>
        <v>6.2134939031269099</v>
      </c>
      <c r="Y437" s="17">
        <f t="shared" si="296"/>
        <v>-1.4091532846502519</v>
      </c>
      <c r="Z437" s="31" t="str">
        <f t="shared" si="285"/>
        <v>-6.93002617857688+29.3419461536495i</v>
      </c>
      <c r="AA437" s="17">
        <f t="shared" si="297"/>
        <v>30.149213371486621</v>
      </c>
      <c r="AB437" s="17">
        <f t="shared" si="298"/>
        <v>1.8027277013306029</v>
      </c>
      <c r="AC437" s="66" t="str">
        <f t="shared" si="299"/>
        <v>-0.00170454424796678+0.00617719136272033i</v>
      </c>
      <c r="AD437" s="64">
        <f t="shared" si="300"/>
        <v>-43.865475880271759</v>
      </c>
      <c r="AE437" s="61">
        <f t="shared" si="301"/>
        <v>105.42639732668096</v>
      </c>
      <c r="AF437" s="31" t="str">
        <f t="shared" si="286"/>
        <v>-6627.51882264077</v>
      </c>
      <c r="AG437" s="31" t="str">
        <f t="shared" si="302"/>
        <v>973150.182346649i</v>
      </c>
      <c r="AH437" s="31">
        <f t="shared" si="303"/>
        <v>973150.182346649</v>
      </c>
      <c r="AI437" s="31">
        <f t="shared" si="304"/>
        <v>1.5707963267948966</v>
      </c>
      <c r="AJ437" s="31" t="str">
        <f t="shared" si="287"/>
        <v>-112.017519245073+475.038395761605i</v>
      </c>
      <c r="AK437" s="31">
        <f t="shared" si="305"/>
        <v>488.06700571292413</v>
      </c>
      <c r="AL437" s="31">
        <f t="shared" si="306"/>
        <v>1.8023731951364796</v>
      </c>
      <c r="AM437" s="31" t="str">
        <f t="shared" si="288"/>
        <v>1+564.358985248293i</v>
      </c>
      <c r="AN437" s="31">
        <f t="shared" si="307"/>
        <v>564.35987120850746</v>
      </c>
      <c r="AO437" s="31">
        <f t="shared" si="308"/>
        <v>1.569024406829818</v>
      </c>
      <c r="AP437" s="31" t="str">
        <f t="shared" si="289"/>
        <v>1+455.434285338231i</v>
      </c>
      <c r="AQ437" s="31">
        <f t="shared" si="309"/>
        <v>455.4353831901351</v>
      </c>
      <c r="AR437" s="31">
        <f t="shared" si="310"/>
        <v>1.5686006238687988</v>
      </c>
      <c r="AS437" s="58" t="str">
        <f t="shared" si="311"/>
        <v>-3.48749726700177+0.836997538663917i</v>
      </c>
      <c r="AT437" s="49">
        <f t="shared" si="312"/>
        <v>11.09349091990927</v>
      </c>
      <c r="AU437" s="61">
        <f t="shared" si="313"/>
        <v>166.5042947648067</v>
      </c>
      <c r="AV437" s="58" t="str">
        <f t="shared" si="290"/>
        <v>0.00077429943981481-0.022969637335326i</v>
      </c>
      <c r="AW437" s="64">
        <f t="shared" si="314"/>
        <v>-32.771984960362495</v>
      </c>
      <c r="AX437" s="61">
        <f t="shared" si="315"/>
        <v>-88.069307908512343</v>
      </c>
    </row>
    <row r="438" spans="14:50" x14ac:dyDescent="0.35">
      <c r="N438" s="10">
        <v>20</v>
      </c>
      <c r="O438" s="50">
        <f t="shared" si="316"/>
        <v>158489.31924611164</v>
      </c>
      <c r="P438" s="48" t="str">
        <f t="shared" si="281"/>
        <v>547.187404092767</v>
      </c>
      <c r="Q438" s="17" t="str">
        <f t="shared" si="282"/>
        <v>1+19098.1227346859i</v>
      </c>
      <c r="R438" s="17">
        <f t="shared" si="291"/>
        <v>19098.122760866485</v>
      </c>
      <c r="S438" s="17">
        <f t="shared" si="292"/>
        <v>1.570743965627625</v>
      </c>
      <c r="T438" s="17" t="str">
        <f t="shared" si="283"/>
        <v>1+0.361373482657334i</v>
      </c>
      <c r="U438" s="17">
        <f t="shared" si="293"/>
        <v>1.0632924310686551</v>
      </c>
      <c r="V438" s="17">
        <f t="shared" si="294"/>
        <v>0.34677094977187223</v>
      </c>
      <c r="W438" s="31" t="str">
        <f t="shared" si="284"/>
        <v>1-6.2753401231017i</v>
      </c>
      <c r="X438" s="17">
        <f t="shared" si="295"/>
        <v>6.3545175789047956</v>
      </c>
      <c r="Y438" s="17">
        <f t="shared" si="296"/>
        <v>-1.412771088675953</v>
      </c>
      <c r="Z438" s="31" t="str">
        <f t="shared" si="285"/>
        <v>-7.30375679837881+30.0254078789087i</v>
      </c>
      <c r="AA438" s="17">
        <f t="shared" si="297"/>
        <v>30.900970561856099</v>
      </c>
      <c r="AB438" s="17">
        <f t="shared" si="298"/>
        <v>1.8094144288212066</v>
      </c>
      <c r="AC438" s="66" t="str">
        <f t="shared" si="299"/>
        <v>-0.00164825262546935+0.00604410730606657i</v>
      </c>
      <c r="AD438" s="64">
        <f t="shared" si="300"/>
        <v>-44.06182802818968</v>
      </c>
      <c r="AE438" s="61">
        <f t="shared" si="301"/>
        <v>105.2538809928021</v>
      </c>
      <c r="AF438" s="31" t="str">
        <f t="shared" si="286"/>
        <v>-6627.51882264077</v>
      </c>
      <c r="AG438" s="31" t="str">
        <f t="shared" si="302"/>
        <v>995817.762032063i</v>
      </c>
      <c r="AH438" s="31">
        <f t="shared" si="303"/>
        <v>995817.76203206298</v>
      </c>
      <c r="AI438" s="31">
        <f t="shared" si="304"/>
        <v>1.5707963267948966</v>
      </c>
      <c r="AJ438" s="31" t="str">
        <f t="shared" si="287"/>
        <v>-117.343870831408+486.103461447142i</v>
      </c>
      <c r="AK438" s="31">
        <f t="shared" si="305"/>
        <v>500.06615487612362</v>
      </c>
      <c r="AL438" s="31">
        <f t="shared" si="306"/>
        <v>1.8076617131075727</v>
      </c>
      <c r="AM438" s="31" t="str">
        <f t="shared" si="288"/>
        <v>1+577.504594735255i</v>
      </c>
      <c r="AN438" s="31">
        <f t="shared" si="307"/>
        <v>577.50546052858328</v>
      </c>
      <c r="AO438" s="31">
        <f t="shared" si="308"/>
        <v>1.5690647405709037</v>
      </c>
      <c r="AP438" s="31" t="str">
        <f t="shared" si="289"/>
        <v>1+466.042712631005i</v>
      </c>
      <c r="AQ438" s="31">
        <f t="shared" si="309"/>
        <v>466.04378549280699</v>
      </c>
      <c r="AR438" s="31">
        <f t="shared" si="310"/>
        <v>1.5686506040141555</v>
      </c>
      <c r="AS438" s="58" t="str">
        <f t="shared" si="311"/>
        <v>-3.47870630052083+0.854036376027068i</v>
      </c>
      <c r="AT438" s="49">
        <f t="shared" si="312"/>
        <v>11.082529115044764</v>
      </c>
      <c r="AU438" s="61">
        <f t="shared" si="313"/>
        <v>166.20645960970853</v>
      </c>
      <c r="AV438" s="58" t="str">
        <f t="shared" si="290"/>
        <v>0.000571899293078409-0.0224333418656707i</v>
      </c>
      <c r="AW438" s="64">
        <f t="shared" si="314"/>
        <v>-32.979298913144916</v>
      </c>
      <c r="AX438" s="61">
        <f t="shared" si="315"/>
        <v>-88.539659397489388</v>
      </c>
    </row>
    <row r="439" spans="14:50" x14ac:dyDescent="0.35">
      <c r="N439" s="10">
        <v>21</v>
      </c>
      <c r="O439" s="50">
        <f t="shared" si="316"/>
        <v>162181.00973589328</v>
      </c>
      <c r="P439" s="48" t="str">
        <f t="shared" si="281"/>
        <v>547.187404092767</v>
      </c>
      <c r="Q439" s="17" t="str">
        <f t="shared" si="282"/>
        <v>1+19542.9751601217i</v>
      </c>
      <c r="R439" s="17">
        <f t="shared" si="291"/>
        <v>19542.975185706338</v>
      </c>
      <c r="S439" s="17">
        <f t="shared" si="292"/>
        <v>1.570745157513304</v>
      </c>
      <c r="T439" s="17" t="str">
        <f t="shared" si="283"/>
        <v>1+0.369790952399339i</v>
      </c>
      <c r="U439" s="17">
        <f t="shared" si="293"/>
        <v>1.0661826055964383</v>
      </c>
      <c r="V439" s="17">
        <f t="shared" si="294"/>
        <v>0.35419603151540535</v>
      </c>
      <c r="W439" s="31" t="str">
        <f t="shared" si="284"/>
        <v>1-6.4215115721482i</v>
      </c>
      <c r="X439" s="17">
        <f t="shared" si="295"/>
        <v>6.4989084369017887</v>
      </c>
      <c r="Y439" s="17">
        <f t="shared" si="296"/>
        <v>-1.4163105767667152</v>
      </c>
      <c r="Z439" s="31" t="str">
        <f t="shared" si="285"/>
        <v>-7.69510079965413+30.7247894728585i</v>
      </c>
      <c r="AA439" s="17">
        <f t="shared" si="297"/>
        <v>31.673763029806135</v>
      </c>
      <c r="AB439" s="17">
        <f t="shared" si="298"/>
        <v>1.816200841126504</v>
      </c>
      <c r="AC439" s="66" t="str">
        <f t="shared" si="299"/>
        <v>-0.00159435392547458+0.00591402368042546i</v>
      </c>
      <c r="AD439" s="64">
        <f t="shared" si="300"/>
        <v>-44.257644820205641</v>
      </c>
      <c r="AE439" s="61">
        <f t="shared" si="301"/>
        <v>105.08760803686044</v>
      </c>
      <c r="AF439" s="31" t="str">
        <f t="shared" si="286"/>
        <v>-6627.51882264077</v>
      </c>
      <c r="AG439" s="31" t="str">
        <f t="shared" si="302"/>
        <v>1019013.33747611i</v>
      </c>
      <c r="AH439" s="31">
        <f t="shared" si="303"/>
        <v>1019013.33747611</v>
      </c>
      <c r="AI439" s="31">
        <f t="shared" si="304"/>
        <v>1.5707963267948966</v>
      </c>
      <c r="AJ439" s="31" t="str">
        <f t="shared" si="287"/>
        <v>-122.921245634414+497.426265622278i</v>
      </c>
      <c r="AK439" s="31">
        <f t="shared" si="305"/>
        <v>512.38903419105395</v>
      </c>
      <c r="AL439" s="31">
        <f t="shared" si="306"/>
        <v>1.8130573919590895</v>
      </c>
      <c r="AM439" s="31" t="str">
        <f t="shared" si="288"/>
        <v>1+590.956404802521i</v>
      </c>
      <c r="AN439" s="31">
        <f t="shared" si="307"/>
        <v>590.95725088801555</v>
      </c>
      <c r="AO439" s="31">
        <f t="shared" si="308"/>
        <v>1.569104156209397</v>
      </c>
      <c r="AP439" s="31" t="str">
        <f t="shared" si="289"/>
        <v>1+476.898241938819i</v>
      </c>
      <c r="AQ439" s="31">
        <f t="shared" si="309"/>
        <v>476.89929037935917</v>
      </c>
      <c r="AR439" s="31">
        <f t="shared" si="310"/>
        <v>1.5686994464828652</v>
      </c>
      <c r="AS439" s="58" t="str">
        <f t="shared" si="311"/>
        <v>-3.46954840509959+0.871337960011687i</v>
      </c>
      <c r="AT439" s="49">
        <f t="shared" si="312"/>
        <v>11.071080333813438</v>
      </c>
      <c r="AU439" s="61">
        <f t="shared" si="313"/>
        <v>165.9023668009591</v>
      </c>
      <c r="AV439" s="58" t="str">
        <f t="shared" si="290"/>
        <v>0.00037857479013187-0.021908212525101i</v>
      </c>
      <c r="AW439" s="64">
        <f t="shared" si="314"/>
        <v>-33.186564486392207</v>
      </c>
      <c r="AX439" s="61">
        <f t="shared" si="315"/>
        <v>-89.01002516218044</v>
      </c>
    </row>
    <row r="440" spans="14:50" x14ac:dyDescent="0.35">
      <c r="N440" s="10">
        <v>22</v>
      </c>
      <c r="O440" s="50">
        <f t="shared" si="316"/>
        <v>165958.69074375604</v>
      </c>
      <c r="P440" s="48" t="str">
        <f t="shared" si="281"/>
        <v>547.187404092767</v>
      </c>
      <c r="Q440" s="17" t="str">
        <f t="shared" si="282"/>
        <v>1+19998.1895296695i</v>
      </c>
      <c r="R440" s="17">
        <f t="shared" si="291"/>
        <v>19998.189554671764</v>
      </c>
      <c r="S440" s="17">
        <f t="shared" si="292"/>
        <v>1.5707463222683526</v>
      </c>
      <c r="T440" s="17" t="str">
        <f t="shared" si="283"/>
        <v>1+0.378404490199071i</v>
      </c>
      <c r="U440" s="17">
        <f t="shared" si="293"/>
        <v>1.0692006164433403</v>
      </c>
      <c r="V440" s="17">
        <f t="shared" si="294"/>
        <v>0.36175208290879557</v>
      </c>
      <c r="W440" s="31" t="str">
        <f t="shared" si="284"/>
        <v>1-6.57108779162904i</v>
      </c>
      <c r="X440" s="17">
        <f t="shared" si="295"/>
        <v>6.6467431698009971</v>
      </c>
      <c r="Y440" s="17">
        <f t="shared" si="296"/>
        <v>-1.4197732706834432</v>
      </c>
      <c r="Z440" s="31" t="str">
        <f t="shared" si="285"/>
        <v>-8.10488827549809+31.4404617568777i</v>
      </c>
      <c r="AA440" s="17">
        <f t="shared" si="297"/>
        <v>32.468320705635442</v>
      </c>
      <c r="AB440" s="17">
        <f t="shared" si="298"/>
        <v>1.8230887851309683</v>
      </c>
      <c r="AC440" s="66" t="str">
        <f t="shared" si="299"/>
        <v>-0.00154273599381611+0.00578688020325909i</v>
      </c>
      <c r="AD440" s="64">
        <f t="shared" si="300"/>
        <v>-44.452926350910495</v>
      </c>
      <c r="AE440" s="61">
        <f t="shared" si="301"/>
        <v>104.92742328778476</v>
      </c>
      <c r="AF440" s="31" t="str">
        <f t="shared" si="286"/>
        <v>-6627.51882264077</v>
      </c>
      <c r="AG440" s="31" t="str">
        <f t="shared" si="302"/>
        <v>1042749.20727993i</v>
      </c>
      <c r="AH440" s="31">
        <f t="shared" si="303"/>
        <v>1042749.20727993</v>
      </c>
      <c r="AI440" s="31">
        <f t="shared" si="304"/>
        <v>1.5707963267948966</v>
      </c>
      <c r="AJ440" s="31" t="str">
        <f t="shared" si="287"/>
        <v>-128.761474013824+509.012811787661i</v>
      </c>
      <c r="AK440" s="31">
        <f t="shared" si="305"/>
        <v>525.04624534815355</v>
      </c>
      <c r="AL440" s="31">
        <f t="shared" si="306"/>
        <v>1.8185618677840423</v>
      </c>
      <c r="AM440" s="31" t="str">
        <f t="shared" si="288"/>
        <v>1+604.72154777785i</v>
      </c>
      <c r="AN440" s="31">
        <f t="shared" si="307"/>
        <v>604.72237460411407</v>
      </c>
      <c r="AO440" s="31">
        <f t="shared" si="308"/>
        <v>1.5691426746435011</v>
      </c>
      <c r="AP440" s="31" t="str">
        <f t="shared" si="289"/>
        <v>1+488.006629007007i</v>
      </c>
      <c r="AQ440" s="31">
        <f t="shared" si="309"/>
        <v>488.00765358217745</v>
      </c>
      <c r="AR440" s="31">
        <f t="shared" si="310"/>
        <v>1.5687471771709192</v>
      </c>
      <c r="AS440" s="58" t="str">
        <f t="shared" si="311"/>
        <v>-3.46001044922833+0.888899475352362i</v>
      </c>
      <c r="AT440" s="49">
        <f t="shared" si="312"/>
        <v>11.059124305512288</v>
      </c>
      <c r="AU440" s="61">
        <f t="shared" si="313"/>
        <v>165.59192527844397</v>
      </c>
      <c r="AV440" s="58" t="str">
        <f t="shared" si="290"/>
        <v>0.000193927882400418-0.0213940031872194i</v>
      </c>
      <c r="AW440" s="64">
        <f t="shared" si="314"/>
        <v>-33.393802045398189</v>
      </c>
      <c r="AX440" s="61">
        <f t="shared" si="315"/>
        <v>-89.480651433771271</v>
      </c>
    </row>
    <row r="441" spans="14:50" x14ac:dyDescent="0.35">
      <c r="N441" s="10">
        <v>23</v>
      </c>
      <c r="O441" s="50">
        <f t="shared" si="316"/>
        <v>169824.36524617471</v>
      </c>
      <c r="P441" s="48" t="str">
        <f t="shared" si="281"/>
        <v>547.187404092767</v>
      </c>
      <c r="Q441" s="17" t="str">
        <f t="shared" si="282"/>
        <v>1+20464.0072040131i</v>
      </c>
      <c r="R441" s="17">
        <f t="shared" si="291"/>
        <v>20464.007228446244</v>
      </c>
      <c r="S441" s="17">
        <f t="shared" si="292"/>
        <v>1.5707474605103398</v>
      </c>
      <c r="T441" s="17" t="str">
        <f t="shared" si="283"/>
        <v>1+0.387218663068279i</v>
      </c>
      <c r="U441" s="17">
        <f t="shared" si="293"/>
        <v>1.0723517580665336</v>
      </c>
      <c r="V441" s="17">
        <f t="shared" si="294"/>
        <v>0.36943965803728063</v>
      </c>
      <c r="W441" s="31" t="str">
        <f t="shared" si="284"/>
        <v>1-6.72414808883559i</v>
      </c>
      <c r="X441" s="17">
        <f t="shared" si="295"/>
        <v>6.7981002876238383</v>
      </c>
      <c r="Y441" s="17">
        <f t="shared" si="296"/>
        <v>-1.4231606740728913</v>
      </c>
      <c r="Z441" s="31" t="str">
        <f t="shared" si="285"/>
        <v>-8.5339884400879+32.1728041898839i</v>
      </c>
      <c r="AA441" s="17">
        <f t="shared" si="297"/>
        <v>33.285406534037776</v>
      </c>
      <c r="AB441" s="17">
        <f t="shared" si="298"/>
        <v>1.8300800562259585</v>
      </c>
      <c r="AC441" s="66" t="str">
        <f t="shared" si="299"/>
        <v>-0.00149329156658779+0.00566261729454397i</v>
      </c>
      <c r="AD441" s="64">
        <f t="shared" si="300"/>
        <v>-44.647672384871207</v>
      </c>
      <c r="AE441" s="61">
        <f t="shared" si="301"/>
        <v>104.77316943597631</v>
      </c>
      <c r="AF441" s="31" t="str">
        <f t="shared" si="286"/>
        <v>-6627.51882264077</v>
      </c>
      <c r="AG441" s="31" t="str">
        <f t="shared" si="302"/>
        <v>1067037.95651586i</v>
      </c>
      <c r="AH441" s="31">
        <f t="shared" si="303"/>
        <v>1067037.95651586</v>
      </c>
      <c r="AI441" s="31">
        <f t="shared" si="304"/>
        <v>1.5707963267948966</v>
      </c>
      <c r="AJ441" s="31" t="str">
        <f t="shared" si="287"/>
        <v>-134.876943877039+520.869243283437i</v>
      </c>
      <c r="AK441" s="31">
        <f t="shared" si="305"/>
        <v>538.04884405439452</v>
      </c>
      <c r="AL441" s="31">
        <f t="shared" si="306"/>
        <v>1.8241767573390162</v>
      </c>
      <c r="AM441" s="31" t="str">
        <f t="shared" si="288"/>
        <v>1+618.807322122243i</v>
      </c>
      <c r="AN441" s="31">
        <f t="shared" si="307"/>
        <v>618.80813012766839</v>
      </c>
      <c r="AO441" s="31">
        <f t="shared" si="308"/>
        <v>1.5691803162957421</v>
      </c>
      <c r="AP441" s="31" t="str">
        <f t="shared" si="289"/>
        <v>1+499.373763649422i</v>
      </c>
      <c r="AQ441" s="31">
        <f t="shared" si="309"/>
        <v>499.37476490246161</v>
      </c>
      <c r="AR441" s="31">
        <f t="shared" si="310"/>
        <v>1.5687938213848893</v>
      </c>
      <c r="AS441" s="58" t="str">
        <f t="shared" si="311"/>
        <v>-3.45007902839408+0.906717563714682i</v>
      </c>
      <c r="AT441" s="49">
        <f t="shared" si="312"/>
        <v>11.046640039355943</v>
      </c>
      <c r="AU441" s="61">
        <f t="shared" si="313"/>
        <v>165.27504502891833</v>
      </c>
      <c r="AV441" s="58" t="str">
        <f t="shared" si="290"/>
        <v>0.0000175793596047438-0.0208904708648999i</v>
      </c>
      <c r="AW441" s="64">
        <f t="shared" si="314"/>
        <v>-33.601032345515279</v>
      </c>
      <c r="AX441" s="61">
        <f t="shared" si="315"/>
        <v>-89.951785535105358</v>
      </c>
    </row>
    <row r="442" spans="14:50" x14ac:dyDescent="0.35">
      <c r="N442" s="10">
        <v>24</v>
      </c>
      <c r="O442" s="50">
        <f t="shared" si="316"/>
        <v>173780.0828749378</v>
      </c>
      <c r="P442" s="48" t="str">
        <f t="shared" si="281"/>
        <v>547.187404092767</v>
      </c>
      <c r="Q442" s="17" t="str">
        <f t="shared" si="282"/>
        <v>1+20940.6751658495i</v>
      </c>
      <c r="R442" s="17">
        <f t="shared" si="291"/>
        <v>20940.675189726477</v>
      </c>
      <c r="S442" s="17">
        <f t="shared" si="292"/>
        <v>1.5707485728427761</v>
      </c>
      <c r="T442" s="17" t="str">
        <f t="shared" si="283"/>
        <v>1+0.396238144398094i</v>
      </c>
      <c r="U442" s="17">
        <f t="shared" si="293"/>
        <v>1.0756415142025919</v>
      </c>
      <c r="V442" s="17">
        <f t="shared" si="294"/>
        <v>0.37725919732909757</v>
      </c>
      <c r="W442" s="31" t="str">
        <f t="shared" si="284"/>
        <v>1-6.88077361836351i</v>
      </c>
      <c r="X442" s="17">
        <f t="shared" si="295"/>
        <v>6.953060159898464</v>
      </c>
      <c r="Y442" s="17">
        <f t="shared" si="296"/>
        <v>-1.4264742718702621</v>
      </c>
      <c r="Z442" s="31" t="str">
        <f t="shared" si="285"/>
        <v>-8.98331147240342+32.9222050695292i</v>
      </c>
      <c r="AA442" s="17">
        <f t="shared" si="297"/>
        <v>34.125818256129023</v>
      </c>
      <c r="AB442" s="17">
        <f t="shared" si="298"/>
        <v>1.8371763937595924</v>
      </c>
      <c r="AC442" s="66" t="str">
        <f t="shared" si="299"/>
        <v>-0.00144591805677465+0.00554117608955752i</v>
      </c>
      <c r="AD442" s="64">
        <f t="shared" si="300"/>
        <v>-44.841882399123904</v>
      </c>
      <c r="AE442" s="61">
        <f t="shared" si="301"/>
        <v>104.62468694370945</v>
      </c>
      <c r="AF442" s="31" t="str">
        <f t="shared" si="286"/>
        <v>-6627.51882264077</v>
      </c>
      <c r="AG442" s="31" t="str">
        <f t="shared" si="302"/>
        <v>1091892.46340026i</v>
      </c>
      <c r="AH442" s="31">
        <f t="shared" si="303"/>
        <v>1091892.4634002601</v>
      </c>
      <c r="AI442" s="31">
        <f t="shared" si="304"/>
        <v>1.5707963267948966</v>
      </c>
      <c r="AJ442" s="31" t="str">
        <f t="shared" si="287"/>
        <v>-141.280626955559+533.00184654652i</v>
      </c>
      <c r="AK442" s="31">
        <f t="shared" si="305"/>
        <v>551.40836407780023</v>
      </c>
      <c r="AL442" s="31">
        <f t="shared" si="306"/>
        <v>1.8299036545527909</v>
      </c>
      <c r="AM442" s="31" t="str">
        <f t="shared" si="288"/>
        <v>1+633.221196299713i</v>
      </c>
      <c r="AN442" s="31">
        <f t="shared" si="307"/>
        <v>633.22198591271274</v>
      </c>
      <c r="AO442" s="31">
        <f t="shared" si="308"/>
        <v>1.5692171011237954</v>
      </c>
      <c r="AP442" s="31" t="str">
        <f t="shared" si="289"/>
        <v>1+511.005672871321i</v>
      </c>
      <c r="AQ442" s="31">
        <f t="shared" si="309"/>
        <v>511.00665133310298</v>
      </c>
      <c r="AR442" s="31">
        <f t="shared" si="310"/>
        <v>1.568839403855343</v>
      </c>
      <c r="AS442" s="58" t="str">
        <f t="shared" si="311"/>
        <v>-3.43974047828076+0.92478829169067i</v>
      </c>
      <c r="AT442" s="49">
        <f t="shared" si="312"/>
        <v>11.033605810006343</v>
      </c>
      <c r="AU442" s="61">
        <f t="shared" si="313"/>
        <v>164.95163728743819</v>
      </c>
      <c r="AV442" s="58" t="str">
        <f t="shared" si="290"/>
        <v>-0.000150831901654265-0.0203973757821818i</v>
      </c>
      <c r="AW442" s="64">
        <f t="shared" si="314"/>
        <v>-33.808276589117561</v>
      </c>
      <c r="AX442" s="61">
        <f t="shared" si="315"/>
        <v>-90.423675768852348</v>
      </c>
    </row>
    <row r="443" spans="14:50" x14ac:dyDescent="0.35">
      <c r="N443" s="10">
        <v>25</v>
      </c>
      <c r="O443" s="50">
        <f t="shared" si="316"/>
        <v>177827.94100389251</v>
      </c>
      <c r="P443" s="48" t="str">
        <f t="shared" si="281"/>
        <v>547.187404092767</v>
      </c>
      <c r="Q443" s="17" t="str">
        <f t="shared" si="282"/>
        <v>1+21428.4461508415i</v>
      </c>
      <c r="R443" s="17">
        <f t="shared" si="291"/>
        <v>21428.446174174969</v>
      </c>
      <c r="S443" s="17">
        <f t="shared" si="292"/>
        <v>1.5707496598554351</v>
      </c>
      <c r="T443" s="17" t="str">
        <f t="shared" si="283"/>
        <v>1+0.405467716436901i</v>
      </c>
      <c r="U443" s="17">
        <f t="shared" si="293"/>
        <v>1.0790755622626969</v>
      </c>
      <c r="V443" s="17">
        <f t="shared" si="294"/>
        <v>0.38521102076207381</v>
      </c>
      <c r="W443" s="31" t="str">
        <f t="shared" si="284"/>
        <v>1-7.04104742514169i</v>
      </c>
      <c r="X443" s="17">
        <f t="shared" si="295"/>
        <v>7.1117050587812214</v>
      </c>
      <c r="Y443" s="17">
        <f t="shared" si="296"/>
        <v>-1.4297155297731587</v>
      </c>
      <c r="Z443" s="31" t="str">
        <f t="shared" si="285"/>
        <v>-9.4538104468378+33.6890617380793i</v>
      </c>
      <c r="AA443" s="17">
        <f t="shared" si="297"/>
        <v>34.99039029157661</v>
      </c>
      <c r="AB443" s="17">
        <f t="shared" si="298"/>
        <v>1.8443794762700241</v>
      </c>
      <c r="AC443" s="66" t="str">
        <f t="shared" si="299"/>
        <v>-0.00140051735079333+0.00542249844891139i</v>
      </c>
      <c r="AD443" s="64">
        <f t="shared" si="300"/>
        <v>-45.035555627547865</v>
      </c>
      <c r="AE443" s="61">
        <f t="shared" si="301"/>
        <v>104.48181395913298</v>
      </c>
      <c r="AF443" s="31" t="str">
        <f t="shared" si="286"/>
        <v>-6627.51882264077</v>
      </c>
      <c r="AG443" s="31" t="str">
        <f t="shared" si="302"/>
        <v>1117325.90612166i</v>
      </c>
      <c r="AH443" s="31">
        <f t="shared" si="303"/>
        <v>1117325.90612166</v>
      </c>
      <c r="AI443" s="31">
        <f t="shared" si="304"/>
        <v>1.5707963267948966</v>
      </c>
      <c r="AJ443" s="31" t="str">
        <f t="shared" si="287"/>
        <v>-147.986106319747+545.417054443756i</v>
      </c>
      <c r="AK443" s="31">
        <f t="shared" si="305"/>
        <v>565.13684266890834</v>
      </c>
      <c r="AL443" s="31">
        <f t="shared" si="306"/>
        <v>1.8357441268326848</v>
      </c>
      <c r="AM443" s="31" t="str">
        <f t="shared" si="288"/>
        <v>1+647.970812737135i</v>
      </c>
      <c r="AN443" s="31">
        <f t="shared" si="307"/>
        <v>647.97158437637017</v>
      </c>
      <c r="AO443" s="31">
        <f t="shared" si="308"/>
        <v>1.5692530486310652</v>
      </c>
      <c r="AP443" s="31" t="str">
        <f t="shared" si="289"/>
        <v>1+522.908524064936i</v>
      </c>
      <c r="AQ443" s="31">
        <f t="shared" si="309"/>
        <v>522.90948025424996</v>
      </c>
      <c r="AR443" s="31">
        <f t="shared" si="310"/>
        <v>1.5688839487499515</v>
      </c>
      <c r="AS443" s="58" t="str">
        <f t="shared" si="311"/>
        <v>-3.42898089019376+0.943107118109836i</v>
      </c>
      <c r="AT443" s="49">
        <f t="shared" si="312"/>
        <v>11.019999143877499</v>
      </c>
      <c r="AU443" s="61">
        <f t="shared" si="313"/>
        <v>164.6216147503475</v>
      </c>
      <c r="AV443" s="58" t="str">
        <f t="shared" si="290"/>
        <v>-0.000311649652852759-0.019914481440992i</v>
      </c>
      <c r="AW443" s="64">
        <f t="shared" si="314"/>
        <v>-34.015556483670352</v>
      </c>
      <c r="AX443" s="61">
        <f t="shared" si="315"/>
        <v>-90.896571290519489</v>
      </c>
    </row>
    <row r="444" spans="14:50" x14ac:dyDescent="0.35">
      <c r="N444" s="10">
        <v>26</v>
      </c>
      <c r="O444" s="50">
        <f t="shared" si="316"/>
        <v>181970.08586099857</v>
      </c>
      <c r="P444" s="48" t="str">
        <f t="shared" si="281"/>
        <v>547.187404092767</v>
      </c>
      <c r="Q444" s="17" t="str">
        <f t="shared" si="282"/>
        <v>1+21927.5787816215i</v>
      </c>
      <c r="R444" s="17">
        <f t="shared" si="291"/>
        <v>21927.578804423832</v>
      </c>
      <c r="S444" s="17">
        <f t="shared" si="292"/>
        <v>1.5707507221246653</v>
      </c>
      <c r="T444" s="17" t="str">
        <f t="shared" si="283"/>
        <v>1+0.414912272825957i</v>
      </c>
      <c r="U444" s="17">
        <f t="shared" si="293"/>
        <v>1.0826597776502096</v>
      </c>
      <c r="V444" s="17">
        <f t="shared" si="294"/>
        <v>0.39329532101427289</v>
      </c>
      <c r="W444" s="31" t="str">
        <f t="shared" si="284"/>
        <v>1-7.20505448846389i</v>
      </c>
      <c r="X444" s="17">
        <f t="shared" si="295"/>
        <v>7.2741192031567401</v>
      </c>
      <c r="Y444" s="17">
        <f t="shared" si="296"/>
        <v>-1.4328858937824083</v>
      </c>
      <c r="Z444" s="31" t="str">
        <f t="shared" si="285"/>
        <v>-9.9464833547964+34.4737807930899i</v>
      </c>
      <c r="AA444" s="17">
        <f t="shared" si="297"/>
        <v>35.879995725992728</v>
      </c>
      <c r="AB444" s="17">
        <f t="shared" si="298"/>
        <v>1.8516909165041482</v>
      </c>
      <c r="AC444" s="66" t="str">
        <f t="shared" si="299"/>
        <v>-0.00135699561456368+0.00530652696608202i</v>
      </c>
      <c r="AD444" s="64">
        <f t="shared" si="300"/>
        <v>-45.228691107132235</v>
      </c>
      <c r="AE444" s="61">
        <f t="shared" si="301"/>
        <v>104.34438623552934</v>
      </c>
      <c r="AF444" s="31" t="str">
        <f t="shared" si="286"/>
        <v>-6627.51882264077</v>
      </c>
      <c r="AG444" s="31" t="str">
        <f t="shared" si="302"/>
        <v>1143351.76982803i</v>
      </c>
      <c r="AH444" s="31">
        <f t="shared" si="303"/>
        <v>1143351.7698280299</v>
      </c>
      <c r="AI444" s="31">
        <f t="shared" si="304"/>
        <v>1.5707963267948966</v>
      </c>
      <c r="AJ444" s="31" t="str">
        <f t="shared" si="287"/>
        <v>-155.007605190351+558.121449682706i</v>
      </c>
      <c r="AK444" s="31">
        <f t="shared" si="305"/>
        <v>579.24684743447085</v>
      </c>
      <c r="AL444" s="31">
        <f t="shared" si="306"/>
        <v>1.841699711164801</v>
      </c>
      <c r="AM444" s="31" t="str">
        <f t="shared" si="288"/>
        <v>1+663.06399187637i</v>
      </c>
      <c r="AN444" s="31">
        <f t="shared" si="307"/>
        <v>663.06474595097188</v>
      </c>
      <c r="AO444" s="31">
        <f t="shared" si="308"/>
        <v>1.5692881778770238</v>
      </c>
      <c r="AP444" s="31" t="str">
        <f t="shared" si="289"/>
        <v>1+535.088628279517i</v>
      </c>
      <c r="AQ444" s="31">
        <f t="shared" si="309"/>
        <v>535.08956270334329</v>
      </c>
      <c r="AR444" s="31">
        <f t="shared" si="310"/>
        <v>1.5689274796862998</v>
      </c>
      <c r="AS444" s="58" t="str">
        <f t="shared" si="311"/>
        <v>-3.41778612886362+0.961668860770162i</v>
      </c>
      <c r="AT444" s="49">
        <f t="shared" si="312"/>
        <v>11.005796806341754</v>
      </c>
      <c r="AU444" s="61">
        <f t="shared" si="313"/>
        <v>164.28489180004502</v>
      </c>
      <c r="AV444" s="58" t="str">
        <f t="shared" si="290"/>
        <v>-0.000465200953733731-0.0194415546838434i</v>
      </c>
      <c r="AW444" s="64">
        <f t="shared" si="314"/>
        <v>-34.2228943007905</v>
      </c>
      <c r="AX444" s="61">
        <f t="shared" si="315"/>
        <v>-91.370721964425613</v>
      </c>
    </row>
    <row r="445" spans="14:50" x14ac:dyDescent="0.35">
      <c r="N445" s="10">
        <v>27</v>
      </c>
      <c r="O445" s="50">
        <f t="shared" si="316"/>
        <v>186208.71366628664</v>
      </c>
      <c r="P445" s="48" t="str">
        <f t="shared" si="281"/>
        <v>547.187404092767</v>
      </c>
      <c r="Q445" s="17" t="str">
        <f t="shared" si="282"/>
        <v>1+22438.3377049174i</v>
      </c>
      <c r="R445" s="17">
        <f t="shared" si="291"/>
        <v>22438.337727200691</v>
      </c>
      <c r="S445" s="17">
        <f t="shared" si="292"/>
        <v>1.5707517602136958</v>
      </c>
      <c r="T445" s="17" t="str">
        <f t="shared" si="283"/>
        <v>1+0.424576821194082i</v>
      </c>
      <c r="U445" s="17">
        <f t="shared" si="293"/>
        <v>1.0864002379856474</v>
      </c>
      <c r="V445" s="17">
        <f t="shared" si="294"/>
        <v>0.40151215658796291</v>
      </c>
      <c r="W445" s="31" t="str">
        <f t="shared" si="284"/>
        <v>1-7.37288176704609i</v>
      </c>
      <c r="X445" s="17">
        <f t="shared" si="295"/>
        <v>7.4403888037414188</v>
      </c>
      <c r="Y445" s="17">
        <f t="shared" si="296"/>
        <v>-1.4359867898054384</v>
      </c>
      <c r="Z445" s="31" t="str">
        <f t="shared" si="285"/>
        <v>-10.4623752215713+35.2767783029918i</v>
      </c>
      <c r="AA445" s="17">
        <f t="shared" si="297"/>
        <v>36.79554840894999</v>
      </c>
      <c r="AB445" s="17">
        <f t="shared" si="298"/>
        <v>1.8591122562251183</v>
      </c>
      <c r="AC445" s="66" t="str">
        <f t="shared" si="299"/>
        <v>-0.00131526310874749+0.0051932049726769i</v>
      </c>
      <c r="AD445" s="64">
        <f t="shared" si="300"/>
        <v>-45.421287726132363</v>
      </c>
      <c r="AE445" s="61">
        <f t="shared" si="301"/>
        <v>104.21223705756152</v>
      </c>
      <c r="AF445" s="31" t="str">
        <f t="shared" si="286"/>
        <v>-6627.51882264077</v>
      </c>
      <c r="AG445" s="31" t="str">
        <f t="shared" si="302"/>
        <v>1169983.85377682i</v>
      </c>
      <c r="AH445" s="31">
        <f t="shared" si="303"/>
        <v>1169983.85377682</v>
      </c>
      <c r="AI445" s="31">
        <f t="shared" si="304"/>
        <v>1.5707963267948966</v>
      </c>
      <c r="AJ445" s="31" t="str">
        <f t="shared" si="287"/>
        <v>-162.36001710787+571.121768301887i</v>
      </c>
      <c r="AK445" s="31">
        <f t="shared" si="305"/>
        <v>593.75150474212876</v>
      </c>
      <c r="AL445" s="31">
        <f t="shared" si="306"/>
        <v>1.8477719100048544</v>
      </c>
      <c r="AM445" s="31" t="str">
        <f t="shared" si="288"/>
        <v>1+678.508736320792i</v>
      </c>
      <c r="AN445" s="31">
        <f t="shared" si="307"/>
        <v>678.50947323057915</v>
      </c>
      <c r="AO445" s="31">
        <f t="shared" si="308"/>
        <v>1.5693225074873154</v>
      </c>
      <c r="AP445" s="31" t="str">
        <f t="shared" si="289"/>
        <v>1+547.552443567551i</v>
      </c>
      <c r="AQ445" s="31">
        <f t="shared" si="309"/>
        <v>547.55335672133003</v>
      </c>
      <c r="AR445" s="31">
        <f t="shared" si="310"/>
        <v>1.5689700197444063</v>
      </c>
      <c r="AS445" s="58" t="str">
        <f t="shared" si="311"/>
        <v>-3.40614185278441+0.980467662709939i</v>
      </c>
      <c r="AT445" s="49">
        <f t="shared" si="312"/>
        <v>10.990974789971261</v>
      </c>
      <c r="AU445" s="61">
        <f t="shared" si="313"/>
        <v>163.94138474171748</v>
      </c>
      <c r="AV445" s="58" t="str">
        <f t="shared" si="290"/>
        <v>-0.000611796819405994-0.0189783657536052i</v>
      </c>
      <c r="AW445" s="64">
        <f t="shared" si="314"/>
        <v>-34.43031293616108</v>
      </c>
      <c r="AX445" s="61">
        <f t="shared" si="315"/>
        <v>-91.846378200720963</v>
      </c>
    </row>
    <row r="446" spans="14:50" x14ac:dyDescent="0.35">
      <c r="N446" s="10">
        <v>28</v>
      </c>
      <c r="O446" s="50">
        <f t="shared" si="316"/>
        <v>190546.07179632492</v>
      </c>
      <c r="P446" s="48" t="str">
        <f t="shared" si="281"/>
        <v>547.187404092767</v>
      </c>
      <c r="Q446" s="17" t="str">
        <f t="shared" si="282"/>
        <v>1+22960.9937318712i</v>
      </c>
      <c r="R446" s="17">
        <f t="shared" si="291"/>
        <v>22960.993753647261</v>
      </c>
      <c r="S446" s="17">
        <f t="shared" si="292"/>
        <v>1.5707527746729351</v>
      </c>
      <c r="T446" s="17" t="str">
        <f t="shared" si="283"/>
        <v>1+0.434466485812747i</v>
      </c>
      <c r="U446" s="17">
        <f t="shared" si="293"/>
        <v>1.0903032272237287</v>
      </c>
      <c r="V446" s="17">
        <f t="shared" si="294"/>
        <v>0.4098614449390694</v>
      </c>
      <c r="W446" s="31" t="str">
        <f t="shared" si="284"/>
        <v>1-7.54461824513286i</v>
      </c>
      <c r="X446" s="17">
        <f t="shared" si="295"/>
        <v>7.610602109215252</v>
      </c>
      <c r="Y446" s="17">
        <f t="shared" si="296"/>
        <v>-1.4390196233180865</v>
      </c>
      <c r="Z446" s="31" t="str">
        <f t="shared" si="285"/>
        <v>-11.0025803229787+36.0984800276935i</v>
      </c>
      <c r="AA446" s="17">
        <f t="shared" si="297"/>
        <v>37.738005168177402</v>
      </c>
      <c r="AB446" s="17">
        <f t="shared" si="298"/>
        <v>1.8666449608136653</v>
      </c>
      <c r="AC446" s="66" t="str">
        <f t="shared" si="299"/>
        <v>-0.00127523401280415+0.00508247654166629i</v>
      </c>
      <c r="AD446" s="64">
        <f t="shared" si="300"/>
        <v>-45.613344274091745</v>
      </c>
      <c r="AE446" s="61">
        <f t="shared" si="301"/>
        <v>104.08519717630165</v>
      </c>
      <c r="AF446" s="31" t="str">
        <f t="shared" si="286"/>
        <v>-6627.51882264077</v>
      </c>
      <c r="AG446" s="31" t="str">
        <f t="shared" si="302"/>
        <v>1197236.27865146i</v>
      </c>
      <c r="AH446" s="31">
        <f t="shared" si="303"/>
        <v>1197236.2786514601</v>
      </c>
      <c r="AI446" s="31">
        <f t="shared" si="304"/>
        <v>1.5707963267948966</v>
      </c>
      <c r="AJ446" s="31" t="str">
        <f t="shared" si="287"/>
        <v>-170.058937523737+584.424903242315i</v>
      </c>
      <c r="AK446" s="31">
        <f t="shared" si="305"/>
        <v>608.6645297382554</v>
      </c>
      <c r="AL446" s="31">
        <f t="shared" si="306"/>
        <v>1.8539621869571037</v>
      </c>
      <c r="AM446" s="31" t="str">
        <f t="shared" si="288"/>
        <v>1+694.313235078342i</v>
      </c>
      <c r="AN446" s="31">
        <f t="shared" si="307"/>
        <v>694.31395521403226</v>
      </c>
      <c r="AO446" s="31">
        <f t="shared" si="308"/>
        <v>1.5693560556636301</v>
      </c>
      <c r="AP446" s="31" t="str">
        <f t="shared" si="289"/>
        <v>1+560.306578408883i</v>
      </c>
      <c r="AQ446" s="31">
        <f t="shared" si="309"/>
        <v>560.30747077677779</v>
      </c>
      <c r="AR446" s="31">
        <f t="shared" si="310"/>
        <v>1.5690115914789569</v>
      </c>
      <c r="AS446" s="58" t="str">
        <f t="shared" si="311"/>
        <v>-3.39403353724154+0.999496958158956i</v>
      </c>
      <c r="AT446" s="49">
        <f t="shared" si="312"/>
        <v>10.975508303954085</v>
      </c>
      <c r="AU446" s="61">
        <f t="shared" si="313"/>
        <v>163.5910120521865</v>
      </c>
      <c r="AV446" s="58" t="str">
        <f t="shared" si="290"/>
        <v>-0.000751732836021314-0.0185246883513974i</v>
      </c>
      <c r="AW446" s="64">
        <f t="shared" si="314"/>
        <v>-34.637835970137644</v>
      </c>
      <c r="AX446" s="61">
        <f t="shared" si="315"/>
        <v>-92.323790771511838</v>
      </c>
    </row>
    <row r="447" spans="14:50" x14ac:dyDescent="0.35">
      <c r="N447" s="10">
        <v>29</v>
      </c>
      <c r="O447" s="50">
        <f t="shared" si="316"/>
        <v>194984.45997580473</v>
      </c>
      <c r="P447" s="48" t="str">
        <f t="shared" si="281"/>
        <v>547.187404092767</v>
      </c>
      <c r="Q447" s="17" t="str">
        <f t="shared" si="282"/>
        <v>1+23495.8239816259i</v>
      </c>
      <c r="R447" s="17">
        <f t="shared" si="291"/>
        <v>23495.824002906276</v>
      </c>
      <c r="S447" s="17">
        <f t="shared" si="292"/>
        <v>1.5707537660402631</v>
      </c>
      <c r="T447" s="17" t="str">
        <f t="shared" si="283"/>
        <v>1+0.444586510313027i</v>
      </c>
      <c r="U447" s="17">
        <f t="shared" si="293"/>
        <v>1.0943752396469482</v>
      </c>
      <c r="V447" s="17">
        <f t="shared" si="294"/>
        <v>0.41834295564730595</v>
      </c>
      <c r="W447" s="31" t="str">
        <f t="shared" si="284"/>
        <v>1-7.72035497967793i</v>
      </c>
      <c r="X447" s="17">
        <f t="shared" si="295"/>
        <v>7.7848494534087056</v>
      </c>
      <c r="Y447" s="17">
        <f t="shared" si="296"/>
        <v>-1.4419857790809432</v>
      </c>
      <c r="Z447" s="31" t="str">
        <f t="shared" si="285"/>
        <v>-11.5682445064648+36.9393216443253i</v>
      </c>
      <c r="AA447" s="17">
        <f t="shared" si="297"/>
        <v>38.708368145715887</v>
      </c>
      <c r="AB447" s="17">
        <f t="shared" si="298"/>
        <v>1.8742904136700296</v>
      </c>
      <c r="AC447" s="66" t="str">
        <f t="shared" si="299"/>
        <v>-0.0012368262575243+0.00497428648879779i</v>
      </c>
      <c r="AD447" s="64">
        <f t="shared" si="300"/>
        <v>-45.804859493690103</v>
      </c>
      <c r="AE447" s="61">
        <f t="shared" si="301"/>
        <v>103.9630947548887</v>
      </c>
      <c r="AF447" s="31" t="str">
        <f t="shared" si="286"/>
        <v>-6627.51882264077</v>
      </c>
      <c r="AG447" s="31" t="str">
        <f t="shared" si="302"/>
        <v>1225123.49404832i</v>
      </c>
      <c r="AH447" s="31">
        <f t="shared" si="303"/>
        <v>1225123.49404832</v>
      </c>
      <c r="AI447" s="31">
        <f t="shared" si="304"/>
        <v>1.5707963267948966</v>
      </c>
      <c r="AJ447" s="31" t="str">
        <f t="shared" si="287"/>
        <v>-178.120696880358+598.037908002218i</v>
      </c>
      <c r="AK447" s="31">
        <f t="shared" si="305"/>
        <v>624.00025806470126</v>
      </c>
      <c r="AL447" s="31">
        <f t="shared" si="306"/>
        <v>1.8602719622399395</v>
      </c>
      <c r="AM447" s="31" t="str">
        <f t="shared" si="288"/>
        <v>1+710.485867903443i</v>
      </c>
      <c r="AN447" s="31">
        <f t="shared" si="307"/>
        <v>710.48657164686006</v>
      </c>
      <c r="AO447" s="31">
        <f t="shared" si="308"/>
        <v>1.5693888401933527</v>
      </c>
      <c r="AP447" s="31" t="str">
        <f t="shared" si="289"/>
        <v>1+573.357795214613i</v>
      </c>
      <c r="AQ447" s="31">
        <f t="shared" si="309"/>
        <v>573.35866726976599</v>
      </c>
      <c r="AR447" s="31">
        <f t="shared" si="310"/>
        <v>1.56905221693126</v>
      </c>
      <c r="AS447" s="58" t="str">
        <f t="shared" si="311"/>
        <v>-3.38144650018417+1.01874943832825i</v>
      </c>
      <c r="AT447" s="49">
        <f t="shared" si="312"/>
        <v>10.959371764838096</v>
      </c>
      <c r="AU447" s="61">
        <f t="shared" si="313"/>
        <v>163.23369464094822</v>
      </c>
      <c r="AV447" s="58" t="str">
        <f t="shared" si="290"/>
        <v>-0.000885289746705123-0.0180802996936212i</v>
      </c>
      <c r="AW447" s="64">
        <f t="shared" si="314"/>
        <v>-34.845487728852014</v>
      </c>
      <c r="AX447" s="61">
        <f t="shared" si="315"/>
        <v>-92.803210604163056</v>
      </c>
    </row>
    <row r="448" spans="14:50" x14ac:dyDescent="0.35">
      <c r="N448" s="10">
        <v>30</v>
      </c>
      <c r="O448" s="50">
        <f t="shared" si="316"/>
        <v>199526.23149688813</v>
      </c>
      <c r="P448" s="48" t="str">
        <f t="shared" si="281"/>
        <v>547.187404092767</v>
      </c>
      <c r="Q448" s="17" t="str">
        <f t="shared" si="282"/>
        <v>1+24043.11202826i</v>
      </c>
      <c r="R448" s="17">
        <f t="shared" si="291"/>
        <v>24043.112049055973</v>
      </c>
      <c r="S448" s="17">
        <f t="shared" si="292"/>
        <v>1.5707547348413156</v>
      </c>
      <c r="T448" s="17" t="str">
        <f t="shared" si="283"/>
        <v>1+0.454942260465876i</v>
      </c>
      <c r="U448" s="17">
        <f t="shared" si="293"/>
        <v>1.0986229837199843</v>
      </c>
      <c r="V448" s="17">
        <f t="shared" si="294"/>
        <v>0.42695630366504317</v>
      </c>
      <c r="W448" s="31" t="str">
        <f t="shared" si="284"/>
        <v>1-7.90018514862427i</v>
      </c>
      <c r="X448" s="17">
        <f t="shared" si="295"/>
        <v>7.9632233035714552</v>
      </c>
      <c r="Y448" s="17">
        <f t="shared" si="296"/>
        <v>-1.444886620906505</v>
      </c>
      <c r="Z448" s="31" t="str">
        <f t="shared" si="285"/>
        <v>-12.1605676216032+37.7997489782429i</v>
      </c>
      <c r="AA448" s="17">
        <f t="shared" si="297"/>
        <v>39.707687262012122</v>
      </c>
      <c r="AB448" s="17">
        <f t="shared" si="298"/>
        <v>1.8820499104251764</v>
      </c>
      <c r="AC448" s="66" t="str">
        <f t="shared" si="299"/>
        <v>-0.00119996136571495+0.00486858037240322i</v>
      </c>
      <c r="AD448" s="64">
        <f t="shared" si="300"/>
        <v>-45.995832134354153</v>
      </c>
      <c r="AE448" s="61">
        <f t="shared" si="301"/>
        <v>103.84575532671579</v>
      </c>
      <c r="AF448" s="31" t="str">
        <f t="shared" si="286"/>
        <v>-6627.51882264077</v>
      </c>
      <c r="AG448" s="31" t="str">
        <f t="shared" si="302"/>
        <v>1253660.28613816i</v>
      </c>
      <c r="AH448" s="31">
        <f t="shared" si="303"/>
        <v>1253660.2861381599</v>
      </c>
      <c r="AI448" s="31">
        <f t="shared" si="304"/>
        <v>1.5707963267948966</v>
      </c>
      <c r="AJ448" s="31" t="str">
        <f t="shared" si="287"/>
        <v>-186.562395250195+611.968000376912i</v>
      </c>
      <c r="AK448" s="31">
        <f t="shared" si="305"/>
        <v>639.77367936388737</v>
      </c>
      <c r="AL448" s="31">
        <f t="shared" si="306"/>
        <v>1.8667026079376678</v>
      </c>
      <c r="AM448" s="31" t="str">
        <f t="shared" si="288"/>
        <v>1+727.035209740104i</v>
      </c>
      <c r="AN448" s="31">
        <f t="shared" si="307"/>
        <v>727.03589746438047</v>
      </c>
      <c r="AO448" s="31">
        <f t="shared" si="308"/>
        <v>1.5694208784589927</v>
      </c>
      <c r="AP448" s="31" t="str">
        <f t="shared" si="289"/>
        <v>1+586.713013912658i</v>
      </c>
      <c r="AQ448" s="31">
        <f t="shared" si="309"/>
        <v>586.71386611744128</v>
      </c>
      <c r="AR448" s="31">
        <f t="shared" si="310"/>
        <v>1.5690919176409319</v>
      </c>
      <c r="AS448" s="58" t="str">
        <f t="shared" si="311"/>
        <v>-3.36836593109245+1.038217017217i</v>
      </c>
      <c r="AT448" s="49">
        <f t="shared" si="312"/>
        <v>10.94253878875926</v>
      </c>
      <c r="AU448" s="61">
        <f t="shared" si="313"/>
        <v>162.86935612343643</v>
      </c>
      <c r="AV448" s="58" t="str">
        <f t="shared" si="290"/>
        <v>-0.0010127340094163-0.0176449805690766i</v>
      </c>
      <c r="AW448" s="64">
        <f t="shared" si="314"/>
        <v>-35.053293345594902</v>
      </c>
      <c r="AX448" s="61">
        <f t="shared" si="315"/>
        <v>-93.284888549847793</v>
      </c>
    </row>
    <row r="449" spans="14:50" x14ac:dyDescent="0.35">
      <c r="N449" s="10">
        <v>31</v>
      </c>
      <c r="O449" s="50">
        <f t="shared" si="316"/>
        <v>204173.79446695308</v>
      </c>
      <c r="P449" s="48" t="str">
        <f t="shared" si="281"/>
        <v>547.187404092767</v>
      </c>
      <c r="Q449" s="17" t="str">
        <f t="shared" si="282"/>
        <v>1+24603.1480511394i</v>
      </c>
      <c r="R449" s="17">
        <f t="shared" si="291"/>
        <v>24603.148071462005</v>
      </c>
      <c r="S449" s="17">
        <f t="shared" si="292"/>
        <v>1.5707556815897639</v>
      </c>
      <c r="T449" s="17" t="str">
        <f t="shared" si="283"/>
        <v>1+0.465539227027095i</v>
      </c>
      <c r="U449" s="17">
        <f t="shared" si="293"/>
        <v>1.1030533857891853</v>
      </c>
      <c r="V449" s="17">
        <f t="shared" si="294"/>
        <v>0.43570094268571952</v>
      </c>
      <c r="W449" s="31" t="str">
        <f t="shared" si="284"/>
        <v>1-8.08420410030767i</v>
      </c>
      <c r="X449" s="17">
        <f t="shared" si="295"/>
        <v>8.145818309748341</v>
      </c>
      <c r="Y449" s="17">
        <f t="shared" si="296"/>
        <v>-1.4477234914735735</v>
      </c>
      <c r="Z449" s="31" t="str">
        <f t="shared" si="285"/>
        <v>-12.780806065135+38.6802182394075i</v>
      </c>
      <c r="AA449" s="17">
        <f t="shared" si="297"/>
        <v>40.737062814135044</v>
      </c>
      <c r="AB449" s="17">
        <f t="shared" si="298"/>
        <v>1.8899246529719453</v>
      </c>
      <c r="AC449" s="66" t="str">
        <f t="shared" si="299"/>
        <v>-0.00116456430071984+0.00476530449180096i</v>
      </c>
      <c r="AD449" s="64">
        <f t="shared" si="300"/>
        <v>-46.18626100753989</v>
      </c>
      <c r="AE449" s="61">
        <f t="shared" si="301"/>
        <v>103.73300176807589</v>
      </c>
      <c r="AF449" s="31" t="str">
        <f t="shared" si="286"/>
        <v>-6627.51882264077</v>
      </c>
      <c r="AG449" s="31" t="str">
        <f t="shared" si="302"/>
        <v>1282861.78550586i</v>
      </c>
      <c r="AH449" s="31">
        <f t="shared" si="303"/>
        <v>1282861.7855058601</v>
      </c>
      <c r="AI449" s="31">
        <f t="shared" si="304"/>
        <v>1.5707963267948966</v>
      </c>
      <c r="AJ449" s="31" t="str">
        <f t="shared" si="287"/>
        <v>-195.401938607284+626.22256628576i</v>
      </c>
      <c r="AK449" s="31">
        <f t="shared" si="305"/>
        <v>656.00047266523211</v>
      </c>
      <c r="AL449" s="31">
        <f t="shared" si="306"/>
        <v>1.8732554430391106</v>
      </c>
      <c r="AM449" s="31" t="str">
        <f t="shared" si="288"/>
        <v>1+743.970035268414i</v>
      </c>
      <c r="AN449" s="31">
        <f t="shared" si="307"/>
        <v>743.97070733818884</v>
      </c>
      <c r="AO449" s="31">
        <f t="shared" si="308"/>
        <v>1.5694521874473994</v>
      </c>
      <c r="AP449" s="31" t="str">
        <f t="shared" si="289"/>
        <v>1+600.379315616742i</v>
      </c>
      <c r="AQ449" s="31">
        <f t="shared" si="309"/>
        <v>600.38014842300333</v>
      </c>
      <c r="AR449" s="31">
        <f t="shared" si="310"/>
        <v>1.5691307146573132</v>
      </c>
      <c r="AS449" s="58" t="str">
        <f t="shared" si="311"/>
        <v>-3.35477692298559+1.05789079763675i</v>
      </c>
      <c r="AT449" s="49">
        <f t="shared" si="312"/>
        <v>10.924982185320998</v>
      </c>
      <c r="AU449" s="61">
        <f t="shared" si="313"/>
        <v>162.49792310647138</v>
      </c>
      <c r="AV449" s="58" t="str">
        <f t="shared" si="290"/>
        <v>-0.00113431832842553-0.0172185153970812i</v>
      </c>
      <c r="AW449" s="64">
        <f t="shared" si="314"/>
        <v>-35.261278822218912</v>
      </c>
      <c r="AX449" s="61">
        <f t="shared" si="315"/>
        <v>-93.769075125452687</v>
      </c>
    </row>
    <row r="450" spans="14:50" x14ac:dyDescent="0.35">
      <c r="N450" s="10">
        <v>32</v>
      </c>
      <c r="O450" s="50">
        <f t="shared" si="316"/>
        <v>208929.61308540447</v>
      </c>
      <c r="P450" s="48" t="str">
        <f t="shared" si="281"/>
        <v>547.187404092767</v>
      </c>
      <c r="Q450" s="17" t="str">
        <f t="shared" si="282"/>
        <v>1+25176.228988777i</v>
      </c>
      <c r="R450" s="17">
        <f t="shared" si="291"/>
        <v>25176.229008637001</v>
      </c>
      <c r="S450" s="17">
        <f t="shared" si="292"/>
        <v>1.5707566067875867</v>
      </c>
      <c r="T450" s="17" t="str">
        <f t="shared" si="283"/>
        <v>1+0.476383028648628i</v>
      </c>
      <c r="U450" s="17">
        <f t="shared" si="293"/>
        <v>1.1076735936116016</v>
      </c>
      <c r="V450" s="17">
        <f t="shared" si="294"/>
        <v>0.44457615867552502</v>
      </c>
      <c r="W450" s="31" t="str">
        <f t="shared" si="284"/>
        <v>1-8.27250940401223i</v>
      </c>
      <c r="X450" s="17">
        <f t="shared" si="295"/>
        <v>8.3327313552922604</v>
      </c>
      <c r="Y450" s="17">
        <f t="shared" si="296"/>
        <v>-1.4504977121855802</v>
      </c>
      <c r="Z450" s="31" t="str">
        <f t="shared" si="285"/>
        <v>-13.430275445956+39.5811962642761i</v>
      </c>
      <c r="AA450" s="17">
        <f t="shared" si="297"/>
        <v>41.797648214527484</v>
      </c>
      <c r="AB450" s="17">
        <f t="shared" si="298"/>
        <v>1.8979157433291398</v>
      </c>
      <c r="AC450" s="66" t="str">
        <f t="shared" si="299"/>
        <v>-0.00113056332246754+0.00466440588448541i</v>
      </c>
      <c r="AD450" s="64">
        <f t="shared" si="300"/>
        <v>-46.376145043575974</v>
      </c>
      <c r="AE450" s="61">
        <f t="shared" si="301"/>
        <v>103.62465428721758</v>
      </c>
      <c r="AF450" s="31" t="str">
        <f t="shared" si="286"/>
        <v>-6627.51882264077</v>
      </c>
      <c r="AG450" s="31" t="str">
        <f t="shared" si="302"/>
        <v>1312743.47517293i</v>
      </c>
      <c r="AH450" s="31">
        <f t="shared" si="303"/>
        <v>1312743.4751729299</v>
      </c>
      <c r="AI450" s="31">
        <f t="shared" si="304"/>
        <v>1.5707963267948966</v>
      </c>
      <c r="AJ450" s="31" t="str">
        <f t="shared" si="287"/>
        <v>-204.65807680823+640.80916368829i</v>
      </c>
      <c r="AK450" s="31">
        <f t="shared" si="305"/>
        <v>672.69704374980654</v>
      </c>
      <c r="AL450" s="31">
        <f t="shared" si="306"/>
        <v>1.8799317282652119</v>
      </c>
      <c r="AM450" s="31" t="str">
        <f t="shared" si="288"/>
        <v>1+761.299323557038i</v>
      </c>
      <c r="AN450" s="31">
        <f t="shared" si="307"/>
        <v>761.29998032865046</v>
      </c>
      <c r="AO450" s="31">
        <f t="shared" si="308"/>
        <v>1.5694827837587675</v>
      </c>
      <c r="AP450" s="31" t="str">
        <f t="shared" si="289"/>
        <v>1+614.36394638093i</v>
      </c>
      <c r="AQ450" s="31">
        <f t="shared" si="309"/>
        <v>614.3647602302317</v>
      </c>
      <c r="AR450" s="31">
        <f t="shared" si="310"/>
        <v>1.5691686285506283</v>
      </c>
      <c r="AS450" s="58" t="str">
        <f t="shared" si="311"/>
        <v>-3.3406645077095+1.07776103767626i</v>
      </c>
      <c r="AT450" s="49">
        <f t="shared" si="312"/>
        <v>10.906673953299673</v>
      </c>
      <c r="AU450" s="61">
        <f t="shared" si="313"/>
        <v>162.11932548577221</v>
      </c>
      <c r="AV450" s="58" t="str">
        <f t="shared" si="290"/>
        <v>-0.00125028216112081-0.0168006922874331i</v>
      </c>
      <c r="AW450" s="64">
        <f t="shared" si="314"/>
        <v>-35.469471090276301</v>
      </c>
      <c r="AX450" s="61">
        <f t="shared" si="315"/>
        <v>-94.256020227010197</v>
      </c>
    </row>
    <row r="451" spans="14:50" x14ac:dyDescent="0.35">
      <c r="N451" s="10">
        <v>33</v>
      </c>
      <c r="O451" s="50">
        <f t="shared" si="316"/>
        <v>213796.20895022334</v>
      </c>
      <c r="P451" s="48" t="str">
        <f t="shared" si="281"/>
        <v>547.187404092767</v>
      </c>
      <c r="Q451" s="17" t="str">
        <f t="shared" si="282"/>
        <v>1+25762.658696271i</v>
      </c>
      <c r="R451" s="17">
        <f t="shared" si="291"/>
        <v>25762.658715678932</v>
      </c>
      <c r="S451" s="17">
        <f t="shared" si="292"/>
        <v>1.5707575109253358</v>
      </c>
      <c r="T451" s="17" t="str">
        <f t="shared" si="283"/>
        <v>1+0.487479414857622i</v>
      </c>
      <c r="U451" s="17">
        <f t="shared" si="293"/>
        <v>1.112490979698231</v>
      </c>
      <c r="V451" s="17">
        <f t="shared" si="294"/>
        <v>0.45358106361447043</v>
      </c>
      <c r="W451" s="31" t="str">
        <f t="shared" si="284"/>
        <v>1-8.46520090170233i</v>
      </c>
      <c r="X451" s="17">
        <f t="shared" si="295"/>
        <v>8.5240616085397889</v>
      </c>
      <c r="Y451" s="17">
        <f t="shared" si="296"/>
        <v>-1.4532105830696225</v>
      </c>
      <c r="Z451" s="31" t="str">
        <f t="shared" si="285"/>
        <v>-14.1103533756984+40.5031607633228i</v>
      </c>
      <c r="AA451" s="17">
        <f t="shared" si="297"/>
        <v>42.890652876899118</v>
      </c>
      <c r="AB451" s="17">
        <f t="shared" si="298"/>
        <v>1.9060241773537365</v>
      </c>
      <c r="AC451" s="66" t="str">
        <f t="shared" si="299"/>
        <v>-0.00109788985074989+0.00456583232229291i</v>
      </c>
      <c r="AD451" s="64">
        <f t="shared" si="300"/>
        <v>-46.565483349920129</v>
      </c>
      <c r="AE451" s="61">
        <f t="shared" si="301"/>
        <v>103.52053043176946</v>
      </c>
      <c r="AF451" s="31" t="str">
        <f t="shared" si="286"/>
        <v>-6627.51882264077</v>
      </c>
      <c r="AG451" s="31" t="str">
        <f t="shared" si="302"/>
        <v>1343321.19880674i</v>
      </c>
      <c r="AH451" s="31">
        <f t="shared" si="303"/>
        <v>1343321.1988067401</v>
      </c>
      <c r="AI451" s="31">
        <f t="shared" si="304"/>
        <v>1.5707963267948966</v>
      </c>
      <c r="AJ451" s="31" t="str">
        <f t="shared" si="287"/>
        <v>-214.350443363142+655.735526591516i</v>
      </c>
      <c r="AK451" s="31">
        <f t="shared" si="305"/>
        <v>689.88056459377685</v>
      </c>
      <c r="AL451" s="31">
        <f t="shared" si="306"/>
        <v>1.8867326606890218</v>
      </c>
      <c r="AM451" s="31" t="str">
        <f t="shared" si="288"/>
        <v>1+779.032262823993i</v>
      </c>
      <c r="AN451" s="31">
        <f t="shared" si="307"/>
        <v>779.03290464567101</v>
      </c>
      <c r="AO451" s="31">
        <f t="shared" si="308"/>
        <v>1.5695126836154365</v>
      </c>
      <c r="AP451" s="31" t="str">
        <f t="shared" si="289"/>
        <v>1+628.674321041553i</v>
      </c>
      <c r="AQ451" s="31">
        <f t="shared" si="309"/>
        <v>628.67511636540667</v>
      </c>
      <c r="AR451" s="31">
        <f t="shared" si="310"/>
        <v>1.5692056794228888</v>
      </c>
      <c r="AS451" s="58" t="str">
        <f t="shared" si="311"/>
        <v>-3.32601369463266+1.09781711785252i</v>
      </c>
      <c r="AT451" s="49">
        <f t="shared" si="312"/>
        <v>10.887585278356982</v>
      </c>
      <c r="AU451" s="61">
        <f t="shared" si="313"/>
        <v>161.7334967553372</v>
      </c>
      <c r="AV451" s="58" t="str">
        <f t="shared" si="290"/>
        <v>-0.00136085220186514-0.0163913031030124i</v>
      </c>
      <c r="AW451" s="64">
        <f t="shared" si="314"/>
        <v>-35.67789807156317</v>
      </c>
      <c r="AX451" s="61">
        <f t="shared" si="315"/>
        <v>-94.745972812893356</v>
      </c>
    </row>
    <row r="452" spans="14:50" x14ac:dyDescent="0.35">
      <c r="N452" s="10">
        <v>34</v>
      </c>
      <c r="O452" s="50">
        <f t="shared" si="316"/>
        <v>218776.16239495538</v>
      </c>
      <c r="P452" s="48" t="str">
        <f t="shared" si="281"/>
        <v>547.187404092767</v>
      </c>
      <c r="Q452" s="17" t="str">
        <f t="shared" si="282"/>
        <v>1+26362.748106415i</v>
      </c>
      <c r="R452" s="17">
        <f t="shared" si="291"/>
        <v>26362.748125381157</v>
      </c>
      <c r="S452" s="17">
        <f t="shared" si="292"/>
        <v>1.5707583944823971</v>
      </c>
      <c r="T452" s="17" t="str">
        <f t="shared" si="283"/>
        <v>1+0.498834269104927i</v>
      </c>
      <c r="U452" s="17">
        <f t="shared" si="293"/>
        <v>1.1175131444566757</v>
      </c>
      <c r="V452" s="17">
        <f t="shared" si="294"/>
        <v>0.46271458949549543</v>
      </c>
      <c r="W452" s="31" t="str">
        <f t="shared" si="284"/>
        <v>1-8.66238076096072i</v>
      </c>
      <c r="X452" s="17">
        <f t="shared" si="295"/>
        <v>8.719910575680375</v>
      </c>
      <c r="Y452" s="17">
        <f t="shared" si="296"/>
        <v>-1.4558633827132315</v>
      </c>
      <c r="Z452" s="31" t="str">
        <f t="shared" si="285"/>
        <v>-14.8224823908311+41.4466005743291i</v>
      </c>
      <c r="AA452" s="17">
        <f t="shared" si="297"/>
        <v>44.017345256097343</v>
      </c>
      <c r="AB452" s="17">
        <f t="shared" si="298"/>
        <v>1.9142508383190109</v>
      </c>
      <c r="AC452" s="66" t="str">
        <f t="shared" si="299"/>
        <v>-0.00106647833543907+0.00446953230672314i</v>
      </c>
      <c r="AD452" s="64">
        <f t="shared" si="300"/>
        <v>-46.754275270657629</v>
      </c>
      <c r="AE452" s="61">
        <f t="shared" si="301"/>
        <v>103.42044511646705</v>
      </c>
      <c r="AF452" s="31" t="str">
        <f t="shared" si="286"/>
        <v>-6627.51882264077</v>
      </c>
      <c r="AG452" s="31" t="str">
        <f t="shared" si="302"/>
        <v>1374611.16912112i</v>
      </c>
      <c r="AH452" s="31">
        <f t="shared" si="303"/>
        <v>1374611.1691211199</v>
      </c>
      <c r="AI452" s="31">
        <f t="shared" si="304"/>
        <v>1.5707963267948966</v>
      </c>
      <c r="AJ452" s="31" t="str">
        <f t="shared" si="287"/>
        <v>-224.499597080964+671.009569150629i</v>
      </c>
      <c r="AK452" s="31">
        <f t="shared" si="305"/>
        <v>707.56901499516482</v>
      </c>
      <c r="AL452" s="31">
        <f t="shared" si="306"/>
        <v>1.8936593681532949</v>
      </c>
      <c r="AM452" s="31" t="str">
        <f t="shared" si="288"/>
        <v>1+797.178255308412i</v>
      </c>
      <c r="AN452" s="31">
        <f t="shared" si="307"/>
        <v>797.17888252045645</v>
      </c>
      <c r="AO452" s="31">
        <f t="shared" si="308"/>
        <v>1.5695419028704927</v>
      </c>
      <c r="AP452" s="31" t="str">
        <f t="shared" si="289"/>
        <v>1+643.318027148683i</v>
      </c>
      <c r="AQ452" s="31">
        <f t="shared" si="309"/>
        <v>643.31880436877759</v>
      </c>
      <c r="AR452" s="31">
        <f t="shared" si="310"/>
        <v>1.5692418869185507</v>
      </c>
      <c r="AS452" s="58" t="str">
        <f t="shared" si="311"/>
        <v>-3.31080951286674+1.11804750921787i</v>
      </c>
      <c r="AT452" s="49">
        <f t="shared" si="312"/>
        <v>10.867686532947738</v>
      </c>
      <c r="AU452" s="61">
        <f t="shared" si="313"/>
        <v>161.34037432839594</v>
      </c>
      <c r="AV452" s="58" t="str">
        <f t="shared" si="290"/>
        <v>-0.00146624284466265-0.0159901435257367i</v>
      </c>
      <c r="AW452" s="64">
        <f t="shared" si="314"/>
        <v>-35.886588737709872</v>
      </c>
      <c r="AX452" s="61">
        <f t="shared" si="315"/>
        <v>-95.239180555136983</v>
      </c>
    </row>
    <row r="453" spans="14:50" x14ac:dyDescent="0.35">
      <c r="N453" s="10">
        <v>35</v>
      </c>
      <c r="O453" s="50">
        <f t="shared" si="316"/>
        <v>223872.11385683404</v>
      </c>
      <c r="P453" s="48" t="str">
        <f t="shared" si="281"/>
        <v>547.187404092767</v>
      </c>
      <c r="Q453" s="17" t="str">
        <f t="shared" si="282"/>
        <v>1+26976.8153945573i</v>
      </c>
      <c r="R453" s="17">
        <f t="shared" si="291"/>
        <v>26976.815413091732</v>
      </c>
      <c r="S453" s="17">
        <f t="shared" si="292"/>
        <v>1.5707592579272442</v>
      </c>
      <c r="T453" s="17" t="str">
        <f t="shared" si="283"/>
        <v>1+0.510453611884565i</v>
      </c>
      <c r="U453" s="17">
        <f t="shared" si="293"/>
        <v>1.1227479191189793</v>
      </c>
      <c r="V453" s="17">
        <f t="shared" si="294"/>
        <v>0.47197548263222966</v>
      </c>
      <c r="W453" s="31" t="str">
        <f t="shared" si="284"/>
        <v>1-8.86415352915876i</v>
      </c>
      <c r="X453" s="17">
        <f t="shared" si="295"/>
        <v>8.9203821548461519</v>
      </c>
      <c r="Y453" s="17">
        <f t="shared" si="296"/>
        <v>-1.4584573682359998</v>
      </c>
      <c r="Z453" s="31" t="str">
        <f t="shared" si="285"/>
        <v>-15.568173012472+42.4120159215705i</v>
      </c>
      <c r="AA453" s="17">
        <f t="shared" si="297"/>
        <v>45.179056048990347</v>
      </c>
      <c r="AB453" s="17">
        <f t="shared" si="298"/>
        <v>1.9225964903788539</v>
      </c>
      <c r="AC453" s="66" t="str">
        <f t="shared" si="299"/>
        <v>-0.00103626613336006+0.00437545506359179i</v>
      </c>
      <c r="AD453" s="64">
        <f t="shared" si="300"/>
        <v>-46.942520447032706</v>
      </c>
      <c r="AE453" s="61">
        <f t="shared" si="301"/>
        <v>103.32421067309168</v>
      </c>
      <c r="AF453" s="31" t="str">
        <f t="shared" si="286"/>
        <v>-6627.51882264077</v>
      </c>
      <c r="AG453" s="31" t="str">
        <f t="shared" si="302"/>
        <v>1406629.9764725i</v>
      </c>
      <c r="AH453" s="31">
        <f t="shared" si="303"/>
        <v>1406629.9764725</v>
      </c>
      <c r="AI453" s="31">
        <f t="shared" si="304"/>
        <v>1.5707963267948966</v>
      </c>
      <c r="AJ453" s="31" t="str">
        <f t="shared" si="287"/>
        <v>-235.127065677454+686.639389865166i</v>
      </c>
      <c r="AK453" s="31">
        <f t="shared" si="305"/>
        <v>725.78122649218278</v>
      </c>
      <c r="AL453" s="31">
        <f t="shared" si="306"/>
        <v>1.9007129034924994</v>
      </c>
      <c r="AM453" s="31" t="str">
        <f t="shared" si="288"/>
        <v>1+815.746922255697i</v>
      </c>
      <c r="AN453" s="31">
        <f t="shared" si="307"/>
        <v>815.74753519066303</v>
      </c>
      <c r="AO453" s="31">
        <f t="shared" si="308"/>
        <v>1.5695704570161717</v>
      </c>
      <c r="AP453" s="31" t="str">
        <f t="shared" si="289"/>
        <v>1+658.302828989129i</v>
      </c>
      <c r="AQ453" s="31">
        <f t="shared" si="309"/>
        <v>658.30358851755511</v>
      </c>
      <c r="AR453" s="31">
        <f t="shared" si="310"/>
        <v>1.5692772702349274</v>
      </c>
      <c r="AS453" s="58" t="str">
        <f t="shared" si="311"/>
        <v>-3.29503705711323+1.13843974271679i</v>
      </c>
      <c r="AT453" s="49">
        <f t="shared" si="312"/>
        <v>10.846947278617147</v>
      </c>
      <c r="AU453" s="61">
        <f t="shared" si="313"/>
        <v>160.93989986954185</v>
      </c>
      <c r="AV453" s="58" t="str">
        <f t="shared" si="290"/>
        <v>-0.00156665662641148-0.0155970131265172i</v>
      </c>
      <c r="AW453" s="64">
        <f t="shared" si="314"/>
        <v>-36.095573168415577</v>
      </c>
      <c r="AX453" s="61">
        <f t="shared" si="315"/>
        <v>-95.735889457366483</v>
      </c>
    </row>
    <row r="454" spans="14:50" x14ac:dyDescent="0.35">
      <c r="N454" s="10">
        <v>36</v>
      </c>
      <c r="O454" s="50">
        <f t="shared" si="316"/>
        <v>229086.76527677779</v>
      </c>
      <c r="P454" s="48" t="str">
        <f t="shared" si="281"/>
        <v>547.187404092767</v>
      </c>
      <c r="Q454" s="17" t="str">
        <f t="shared" si="282"/>
        <v>1+27605.186147302i</v>
      </c>
      <c r="R454" s="17">
        <f t="shared" si="291"/>
        <v>27605.186165414536</v>
      </c>
      <c r="S454" s="17">
        <f t="shared" si="292"/>
        <v>1.5707601017176873</v>
      </c>
      <c r="T454" s="17" t="str">
        <f t="shared" si="283"/>
        <v>1+0.522343603925875i</v>
      </c>
      <c r="U454" s="17">
        <f t="shared" si="293"/>
        <v>1.1282033684412891</v>
      </c>
      <c r="V454" s="17">
        <f t="shared" si="294"/>
        <v>0.48136229832793181</v>
      </c>
      <c r="W454" s="31" t="str">
        <f t="shared" si="284"/>
        <v>1-9.07062618888886i</v>
      </c>
      <c r="X454" s="17">
        <f t="shared" si="295"/>
        <v>9.1255826914535412</v>
      </c>
      <c r="Y454" s="17">
        <f t="shared" si="296"/>
        <v>-1.4609937752934015</v>
      </c>
      <c r="Z454" s="31" t="str">
        <f t="shared" si="285"/>
        <v>-16.3490069504059+43.3999186810428i</v>
      </c>
      <c r="AA454" s="17">
        <f t="shared" si="297"/>
        <v>46.377181563626181</v>
      </c>
      <c r="AB454" s="17">
        <f t="shared" si="298"/>
        <v>1.9310617719413514</v>
      </c>
      <c r="AC454" s="66" t="str">
        <f t="shared" si="299"/>
        <v>-0.00100719339153912+0.00428355053718272i</v>
      </c>
      <c r="AD454" s="64">
        <f t="shared" si="300"/>
        <v>-47.130218878773881</v>
      </c>
      <c r="AE454" s="61">
        <f t="shared" si="301"/>
        <v>103.23163692445426</v>
      </c>
      <c r="AF454" s="31" t="str">
        <f t="shared" si="286"/>
        <v>-6627.51882264077</v>
      </c>
      <c r="AG454" s="31" t="str">
        <f t="shared" si="302"/>
        <v>1439394.59765635i</v>
      </c>
      <c r="AH454" s="31">
        <f t="shared" si="303"/>
        <v>1439394.5976563499</v>
      </c>
      <c r="AI454" s="31">
        <f t="shared" si="304"/>
        <v>1.5707963267948966</v>
      </c>
      <c r="AJ454" s="31" t="str">
        <f t="shared" si="287"/>
        <v>-246.255391438352+702.633275872959i</v>
      </c>
      <c r="AK454" s="31">
        <f t="shared" si="305"/>
        <v>744.53692868548956</v>
      </c>
      <c r="AL454" s="31">
        <f t="shared" si="306"/>
        <v>1.9078942385680482</v>
      </c>
      <c r="AM454" s="31" t="str">
        <f t="shared" si="288"/>
        <v>1+834.748109018848i</v>
      </c>
      <c r="AN454" s="31">
        <f t="shared" si="307"/>
        <v>834.74870800172118</v>
      </c>
      <c r="AO454" s="31">
        <f t="shared" si="308"/>
        <v>1.5695983611920736</v>
      </c>
      <c r="AP454" s="31" t="str">
        <f t="shared" si="289"/>
        <v>1+673.636671703171i</v>
      </c>
      <c r="AQ454" s="31">
        <f t="shared" si="309"/>
        <v>673.63741394263855</v>
      </c>
      <c r="AR454" s="31">
        <f t="shared" si="310"/>
        <v>1.5693118481323669</v>
      </c>
      <c r="AS454" s="58" t="str">
        <f t="shared" si="311"/>
        <v>-3.27868153721893+1.15898038011026i</v>
      </c>
      <c r="AT454" s="49">
        <f t="shared" si="312"/>
        <v>10.825336270886867</v>
      </c>
      <c r="AU454" s="61">
        <f t="shared" si="313"/>
        <v>160.53201963754114</v>
      </c>
      <c r="AV454" s="58" t="str">
        <f t="shared" si="290"/>
        <v>-0.00166228465255731-0.0152117154397758i</v>
      </c>
      <c r="AW454" s="64">
        <f t="shared" si="314"/>
        <v>-36.304882607886995</v>
      </c>
      <c r="AX454" s="61">
        <f t="shared" si="315"/>
        <v>-96.236343438004582</v>
      </c>
    </row>
    <row r="455" spans="14:50" x14ac:dyDescent="0.35">
      <c r="N455" s="10">
        <v>37</v>
      </c>
      <c r="O455" s="50">
        <f t="shared" si="316"/>
        <v>234422.88153199267</v>
      </c>
      <c r="P455" s="48" t="str">
        <f t="shared" si="281"/>
        <v>547.187404092767</v>
      </c>
      <c r="Q455" s="17" t="str">
        <f t="shared" si="282"/>
        <v>1+28248.1935351399i</v>
      </c>
      <c r="R455" s="17">
        <f t="shared" si="291"/>
        <v>28248.193552840148</v>
      </c>
      <c r="S455" s="17">
        <f t="shared" si="292"/>
        <v>1.5707609263011151</v>
      </c>
      <c r="T455" s="17" t="str">
        <f t="shared" si="283"/>
        <v>1+0.534510549460022i</v>
      </c>
      <c r="U455" s="17">
        <f t="shared" si="293"/>
        <v>1.1338877931629985</v>
      </c>
      <c r="V455" s="17">
        <f t="shared" si="294"/>
        <v>0.49087339595950236</v>
      </c>
      <c r="W455" s="31" t="str">
        <f t="shared" si="284"/>
        <v>1-9.28190821468826i</v>
      </c>
      <c r="X455" s="17">
        <f t="shared" si="295"/>
        <v>9.3356210348266284</v>
      </c>
      <c r="Y455" s="17">
        <f t="shared" si="296"/>
        <v>-1.4634738181102656</v>
      </c>
      <c r="Z455" s="31" t="str">
        <f t="shared" si="285"/>
        <v>-17.1666404581035+44.4108326518658i</v>
      </c>
      <c r="AA455" s="17">
        <f t="shared" si="297"/>
        <v>47.613187264137501</v>
      </c>
      <c r="AB455" s="17">
        <f t="shared" si="298"/>
        <v>1.9396471889774765</v>
      </c>
      <c r="AC455" s="66" t="str">
        <f t="shared" si="299"/>
        <v>-0.000979202936554806+0.00419376938406282i</v>
      </c>
      <c r="AD455" s="64">
        <f t="shared" si="300"/>
        <v>-47.317370985937487</v>
      </c>
      <c r="AE455" s="61">
        <f t="shared" si="301"/>
        <v>103.14253128418198</v>
      </c>
      <c r="AF455" s="31" t="str">
        <f t="shared" si="286"/>
        <v>-6627.51882264077</v>
      </c>
      <c r="AG455" s="31" t="str">
        <f t="shared" si="302"/>
        <v>1472922.40490852i</v>
      </c>
      <c r="AH455" s="31">
        <f t="shared" si="303"/>
        <v>1472922.4049085199</v>
      </c>
      <c r="AI455" s="31">
        <f t="shared" si="304"/>
        <v>1.5707963267948966</v>
      </c>
      <c r="AJ455" s="31" t="str">
        <f t="shared" si="287"/>
        <v>-257.908179034598+718.999707344068i</v>
      </c>
      <c r="AK455" s="31">
        <f t="shared" si="305"/>
        <v>763.8567980805027</v>
      </c>
      <c r="AL455" s="31">
        <f t="shared" si="306"/>
        <v>1.9152042581276392</v>
      </c>
      <c r="AM455" s="31" t="str">
        <f t="shared" si="288"/>
        <v>1+854.191890278599i</v>
      </c>
      <c r="AN455" s="31">
        <f t="shared" si="307"/>
        <v>854.19247562696671</v>
      </c>
      <c r="AO455" s="31">
        <f t="shared" si="308"/>
        <v>1.5696256301931877</v>
      </c>
      <c r="AP455" s="31" t="str">
        <f t="shared" si="289"/>
        <v>1+689.327685497186i</v>
      </c>
      <c r="AQ455" s="31">
        <f t="shared" si="309"/>
        <v>689.32841084123856</v>
      </c>
      <c r="AR455" s="31">
        <f t="shared" si="310"/>
        <v>1.5693456389441973</v>
      </c>
      <c r="AS455" s="58" t="str">
        <f t="shared" si="311"/>
        <v>-3.26172833150127+1.1796549868093i</v>
      </c>
      <c r="AT455" s="49">
        <f t="shared" si="312"/>
        <v>10.802821466932517</v>
      </c>
      <c r="AU455" s="61">
        <f t="shared" si="313"/>
        <v>160.11668483819821</v>
      </c>
      <c r="AV455" s="58" t="str">
        <f t="shared" si="290"/>
        <v>-0.00175330700698782-0.0148340580429855i</v>
      </c>
      <c r="AW455" s="64">
        <f t="shared" si="314"/>
        <v>-36.514549519004987</v>
      </c>
      <c r="AX455" s="61">
        <f t="shared" si="315"/>
        <v>-96.740783877619776</v>
      </c>
    </row>
    <row r="456" spans="14:50" x14ac:dyDescent="0.35">
      <c r="N456" s="10">
        <v>38</v>
      </c>
      <c r="O456" s="50">
        <f t="shared" si="316"/>
        <v>239883.29190194907</v>
      </c>
      <c r="P456" s="48" t="str">
        <f t="shared" si="281"/>
        <v>547.187404092767</v>
      </c>
      <c r="Q456" s="17" t="str">
        <f t="shared" si="282"/>
        <v>1+28906.1784890991i</v>
      </c>
      <c r="R456" s="17">
        <f t="shared" si="291"/>
        <v>28906.178506396442</v>
      </c>
      <c r="S456" s="17">
        <f t="shared" si="292"/>
        <v>1.5707617321147325</v>
      </c>
      <c r="T456" s="17" t="str">
        <f t="shared" si="283"/>
        <v>1+0.546960899562575i</v>
      </c>
      <c r="U456" s="17">
        <f t="shared" si="293"/>
        <v>1.1398097322142415</v>
      </c>
      <c r="V456" s="17">
        <f t="shared" si="294"/>
        <v>0.50050693453144124</v>
      </c>
      <c r="W456" s="31" t="str">
        <f t="shared" si="284"/>
        <v>1-9.49811163108364i</v>
      </c>
      <c r="X456" s="17">
        <f t="shared" si="295"/>
        <v>9.5506085961328306</v>
      </c>
      <c r="Y456" s="17">
        <f t="shared" si="296"/>
        <v>-1.4658986895415138</v>
      </c>
      <c r="Z456" s="31" t="str">
        <f t="shared" si="285"/>
        <v>-18.0228078458565+45.4452938340074i</v>
      </c>
      <c r="AA456" s="17">
        <f t="shared" si="297"/>
        <v>48.888611499079595</v>
      </c>
      <c r="AB456" s="17">
        <f t="shared" si="298"/>
        <v>1.9483531082935877</v>
      </c>
      <c r="AC456" s="66" t="str">
        <f t="shared" si="299"/>
        <v>-0.000952240169721123+0.00410606296671653i</v>
      </c>
      <c r="AD456" s="64">
        <f t="shared" si="300"/>
        <v>-47.50397767096036</v>
      </c>
      <c r="AE456" s="61">
        <f t="shared" si="301"/>
        <v>103.05669888394431</v>
      </c>
      <c r="AF456" s="31" t="str">
        <f t="shared" si="286"/>
        <v>-6627.51882264077</v>
      </c>
      <c r="AG456" s="31" t="str">
        <f t="shared" si="302"/>
        <v>1507231.1751162i</v>
      </c>
      <c r="AH456" s="31">
        <f t="shared" si="303"/>
        <v>1507231.1751162</v>
      </c>
      <c r="AI456" s="31">
        <f t="shared" si="304"/>
        <v>1.5707963267948966</v>
      </c>
      <c r="AJ456" s="31" t="str">
        <f t="shared" si="287"/>
        <v>-270.110145590999+735.747361977097i</v>
      </c>
      <c r="AK456" s="31">
        <f t="shared" si="305"/>
        <v>783.76250956998967</v>
      </c>
      <c r="AL456" s="31">
        <f t="shared" si="306"/>
        <v>1.9226437535017031</v>
      </c>
      <c r="AM456" s="31" t="str">
        <f t="shared" si="288"/>
        <v>1+874.088575385138i</v>
      </c>
      <c r="AN456" s="31">
        <f t="shared" si="307"/>
        <v>874.08914740935893</v>
      </c>
      <c r="AO456" s="31">
        <f t="shared" si="308"/>
        <v>1.5696522784777371</v>
      </c>
      <c r="AP456" s="31" t="str">
        <f t="shared" si="289"/>
        <v>1+705.384189954381i</v>
      </c>
      <c r="AQ456" s="31">
        <f t="shared" si="309"/>
        <v>705.38489878760402</v>
      </c>
      <c r="AR456" s="31">
        <f t="shared" si="310"/>
        <v>1.5693786605864453</v>
      </c>
      <c r="AS456" s="58" t="str">
        <f t="shared" si="311"/>
        <v>-3.24416304387925+1.20044810698277i</v>
      </c>
      <c r="AT456" s="49">
        <f t="shared" si="312"/>
        <v>10.779370036258516</v>
      </c>
      <c r="AU456" s="61">
        <f t="shared" si="313"/>
        <v>159.69385198652657</v>
      </c>
      <c r="AV456" s="58" t="str">
        <f t="shared" si="290"/>
        <v>-0.00183989314804034-0.0144638526415976i</v>
      </c>
      <c r="AW456" s="64">
        <f t="shared" si="314"/>
        <v>-36.724607634701869</v>
      </c>
      <c r="AX456" s="61">
        <f t="shared" si="315"/>
        <v>-97.24944912952914</v>
      </c>
    </row>
    <row r="457" spans="14:50" x14ac:dyDescent="0.35">
      <c r="N457" s="10">
        <v>39</v>
      </c>
      <c r="O457" s="50">
        <f t="shared" si="316"/>
        <v>245470.89156850305</v>
      </c>
      <c r="P457" s="48" t="str">
        <f t="shared" si="281"/>
        <v>547.187404092767</v>
      </c>
      <c r="Q457" s="17" t="str">
        <f t="shared" si="282"/>
        <v>1+29579.4898815117i</v>
      </c>
      <c r="R457" s="17">
        <f t="shared" si="291"/>
        <v>29579.489898415301</v>
      </c>
      <c r="S457" s="17">
        <f t="shared" si="292"/>
        <v>1.5707625195857924</v>
      </c>
      <c r="T457" s="17" t="str">
        <f t="shared" si="283"/>
        <v>1+0.559701255573959i</v>
      </c>
      <c r="U457" s="17">
        <f t="shared" si="293"/>
        <v>1.14597796466209</v>
      </c>
      <c r="V457" s="17">
        <f t="shared" si="294"/>
        <v>0.51026086875516408</v>
      </c>
      <c r="W457" s="31" t="str">
        <f t="shared" si="284"/>
        <v>1-9.71935107198819i</v>
      </c>
      <c r="X457" s="17">
        <f t="shared" si="295"/>
        <v>9.7706594076632278</v>
      </c>
      <c r="Y457" s="17">
        <f t="shared" si="296"/>
        <v>-1.4682695611579211</v>
      </c>
      <c r="Z457" s="31" t="str">
        <f t="shared" si="285"/>
        <v>-18.9193251594829+46.5038507124795i</v>
      </c>
      <c r="AA457" s="17">
        <f t="shared" si="297"/>
        <v>50.205069421113471</v>
      </c>
      <c r="AB457" s="17">
        <f t="shared" si="298"/>
        <v>1.9571797507993842</v>
      </c>
      <c r="AC457" s="66" t="str">
        <f t="shared" si="299"/>
        <v>-0.000926252967835052+0.00402038334715197i</v>
      </c>
      <c r="AD457" s="64">
        <f t="shared" si="300"/>
        <v>-47.690040380575155</v>
      </c>
      <c r="AE457" s="61">
        <f t="shared" si="301"/>
        <v>102.97394272960321</v>
      </c>
      <c r="AF457" s="31" t="str">
        <f t="shared" si="286"/>
        <v>-6627.51882264077</v>
      </c>
      <c r="AG457" s="31" t="str">
        <f t="shared" si="302"/>
        <v>1542339.09924349i</v>
      </c>
      <c r="AH457" s="31">
        <f t="shared" si="303"/>
        <v>1542339.09924349</v>
      </c>
      <c r="AI457" s="31">
        <f t="shared" si="304"/>
        <v>1.5707963267948966</v>
      </c>
      <c r="AJ457" s="31" t="str">
        <f t="shared" si="287"/>
        <v>-282.88717311457+752.885119600214i</v>
      </c>
      <c r="AK457" s="31">
        <f t="shared" si="305"/>
        <v>804.27679068103237</v>
      </c>
      <c r="AL457" s="31">
        <f t="shared" si="306"/>
        <v>1.9302134161524218</v>
      </c>
      <c r="AM457" s="31" t="str">
        <f t="shared" si="288"/>
        <v>1+894.448713824278i</v>
      </c>
      <c r="AN457" s="31">
        <f t="shared" si="307"/>
        <v>894.44927282764615</v>
      </c>
      <c r="AO457" s="31">
        <f t="shared" si="308"/>
        <v>1.5696783201748434</v>
      </c>
      <c r="AP457" s="31" t="str">
        <f t="shared" si="289"/>
        <v>1+721.814698445952i</v>
      </c>
      <c r="AQ457" s="31">
        <f t="shared" si="309"/>
        <v>721.81539114417649</v>
      </c>
      <c r="AR457" s="31">
        <f t="shared" si="310"/>
        <v>1.5694109305673347</v>
      </c>
      <c r="AS457" s="58" t="str">
        <f t="shared" si="311"/>
        <v>-3.22597156481698+1.22134324132631i</v>
      </c>
      <c r="AT457" s="49">
        <f t="shared" si="312"/>
        <v>10.754948374577275</v>
      </c>
      <c r="AU457" s="61">
        <f t="shared" si="313"/>
        <v>159.26348327734803</v>
      </c>
      <c r="AV457" s="58" t="str">
        <f t="shared" si="290"/>
        <v>-0.00192220229252169-0.0141009151595997i</v>
      </c>
      <c r="AW457" s="64">
        <f t="shared" si="314"/>
        <v>-36.935092005997909</v>
      </c>
      <c r="AX457" s="61">
        <f t="shared" si="315"/>
        <v>-97.762573993048775</v>
      </c>
    </row>
    <row r="458" spans="14:50" x14ac:dyDescent="0.35">
      <c r="N458" s="10">
        <v>40</v>
      </c>
      <c r="O458" s="50">
        <f t="shared" si="316"/>
        <v>251188.64315095844</v>
      </c>
      <c r="P458" s="48" t="str">
        <f t="shared" si="281"/>
        <v>547.187404092767</v>
      </c>
      <c r="Q458" s="17" t="str">
        <f t="shared" si="282"/>
        <v>1+30268.4847109905i</v>
      </c>
      <c r="R458" s="17">
        <f t="shared" si="291"/>
        <v>30268.484727509327</v>
      </c>
      <c r="S458" s="17">
        <f t="shared" si="292"/>
        <v>1.5707632891318228</v>
      </c>
      <c r="T458" s="17" t="str">
        <f t="shared" si="283"/>
        <v>1+0.572738372599574i</v>
      </c>
      <c r="U458" s="17">
        <f t="shared" si="293"/>
        <v>1.1524015113874193</v>
      </c>
      <c r="V458" s="17">
        <f t="shared" si="294"/>
        <v>0.52013294570900437</v>
      </c>
      <c r="W458" s="31" t="str">
        <f t="shared" si="284"/>
        <v>1-9.94574384148199i</v>
      </c>
      <c r="X458" s="17">
        <f t="shared" si="295"/>
        <v>9.9958901834892586</v>
      </c>
      <c r="Y458" s="17">
        <f t="shared" si="296"/>
        <v>-1.4705875833547848</v>
      </c>
      <c r="Z458" s="31" t="str">
        <f t="shared" si="285"/>
        <v>-19.8580940324032+47.5870645481508i</v>
      </c>
      <c r="AA458" s="17">
        <f t="shared" si="297"/>
        <v>51.56425710615482</v>
      </c>
      <c r="AB458" s="17">
        <f t="shared" si="298"/>
        <v>1.9661271848058839</v>
      </c>
      <c r="AC458" s="66" t="str">
        <f t="shared" si="299"/>
        <v>-0.000901191589223101+0.00393668328062314i</v>
      </c>
      <c r="AD458" s="64">
        <f t="shared" si="300"/>
        <v>-47.875561167210243</v>
      </c>
      <c r="AE458" s="61">
        <f t="shared" si="301"/>
        <v>102.89406388760464</v>
      </c>
      <c r="AF458" s="31" t="str">
        <f t="shared" si="286"/>
        <v>-6627.51882264077</v>
      </c>
      <c r="AG458" s="31" t="str">
        <f t="shared" si="302"/>
        <v>1578264.79197648i</v>
      </c>
      <c r="AH458" s="31">
        <f t="shared" si="303"/>
        <v>1578264.79197648</v>
      </c>
      <c r="AI458" s="31">
        <f t="shared" si="304"/>
        <v>1.5707963267948966</v>
      </c>
      <c r="AJ458" s="31" t="str">
        <f t="shared" si="287"/>
        <v>-296.266363393736+770.422066879358i</v>
      </c>
      <c r="AK458" s="31">
        <f t="shared" si="305"/>
        <v>825.4234787145391</v>
      </c>
      <c r="AL458" s="31">
        <f t="shared" si="306"/>
        <v>1.9379138310931674</v>
      </c>
      <c r="AM458" s="31" t="str">
        <f t="shared" si="288"/>
        <v>1+915.283100810921i</v>
      </c>
      <c r="AN458" s="31">
        <f t="shared" si="307"/>
        <v>915.28364708982667</v>
      </c>
      <c r="AO458" s="31">
        <f t="shared" si="308"/>
        <v>1.5697037690920177</v>
      </c>
      <c r="AP458" s="31" t="str">
        <f t="shared" si="289"/>
        <v>1+738.627922644992i</v>
      </c>
      <c r="AQ458" s="31">
        <f t="shared" si="309"/>
        <v>738.6285995754946</v>
      </c>
      <c r="AR458" s="31">
        <f t="shared" si="310"/>
        <v>1.5694424659965676</v>
      </c>
      <c r="AS458" s="58" t="str">
        <f t="shared" si="311"/>
        <v>-3.20714013605371+1.24232282790053i</v>
      </c>
      <c r="AT458" s="49">
        <f t="shared" si="312"/>
        <v>10.729522121099107</v>
      </c>
      <c r="AU458" s="61">
        <f t="shared" si="313"/>
        <v>158.82554696329126</v>
      </c>
      <c r="AV458" s="58" t="str">
        <f t="shared" si="290"/>
        <v>-0.00200038378966104-0.0137450658358219i</v>
      </c>
      <c r="AW458" s="64">
        <f t="shared" si="314"/>
        <v>-37.146039046111113</v>
      </c>
      <c r="AX458" s="61">
        <f t="shared" si="315"/>
        <v>-98.280389149104067</v>
      </c>
    </row>
    <row r="459" spans="14:50" x14ac:dyDescent="0.35">
      <c r="N459" s="10">
        <v>41</v>
      </c>
      <c r="O459" s="50">
        <f t="shared" si="316"/>
        <v>257039.57827688678</v>
      </c>
      <c r="P459" s="48" t="str">
        <f t="shared" si="281"/>
        <v>547.187404092767</v>
      </c>
      <c r="Q459" s="17" t="str">
        <f t="shared" si="282"/>
        <v>1+30973.5282917137i</v>
      </c>
      <c r="R459" s="17">
        <f t="shared" si="291"/>
        <v>30973.528307856519</v>
      </c>
      <c r="S459" s="17">
        <f t="shared" si="292"/>
        <v>1.570764041160847</v>
      </c>
      <c r="T459" s="17" t="str">
        <f t="shared" si="283"/>
        <v>1+0.586079163091426i</v>
      </c>
      <c r="U459" s="17">
        <f t="shared" si="293"/>
        <v>1.1590896364863015</v>
      </c>
      <c r="V459" s="17">
        <f t="shared" si="294"/>
        <v>0.53012070213359253</v>
      </c>
      <c r="W459" s="31" t="str">
        <f t="shared" si="284"/>
        <v>1-10.177409976008i</v>
      </c>
      <c r="X459" s="17">
        <f t="shared" si="295"/>
        <v>10.226420381528776</v>
      </c>
      <c r="Y459" s="17">
        <f t="shared" si="296"/>
        <v>-1.4728538854815159</v>
      </c>
      <c r="Z459" s="31" t="str">
        <f t="shared" si="285"/>
        <v>-20.8411057192594+48.6955096753345i</v>
      </c>
      <c r="AA459" s="17">
        <f t="shared" si="297"/>
        <v>52.967955880342807</v>
      </c>
      <c r="AB459" s="17">
        <f t="shared" si="298"/>
        <v>1.9751953193909035</v>
      </c>
      <c r="AC459" s="66" t="str">
        <f t="shared" si="299"/>
        <v>-0.000877008584822174+0.00385491620960711i</v>
      </c>
      <c r="AD459" s="64">
        <f t="shared" si="300"/>
        <v>-48.06054274946068</v>
      </c>
      <c r="AE459" s="61">
        <f t="shared" si="301"/>
        <v>102.81686170270764</v>
      </c>
      <c r="AF459" s="31" t="str">
        <f t="shared" si="286"/>
        <v>-6627.51882264077</v>
      </c>
      <c r="AG459" s="31" t="str">
        <f t="shared" si="302"/>
        <v>1615027.30159297i</v>
      </c>
      <c r="AH459" s="31">
        <f t="shared" si="303"/>
        <v>1615027.30159297</v>
      </c>
      <c r="AI459" s="31">
        <f t="shared" si="304"/>
        <v>1.5707963267948966</v>
      </c>
      <c r="AJ459" s="31" t="str">
        <f t="shared" si="287"/>
        <v>-310.276095484853+788.367502136102i</v>
      </c>
      <c r="AK459" s="31">
        <f t="shared" si="305"/>
        <v>847.22758090942853</v>
      </c>
      <c r="AL459" s="31">
        <f t="shared" si="306"/>
        <v>1.9457454701988877</v>
      </c>
      <c r="AM459" s="31" t="str">
        <f t="shared" si="288"/>
        <v>1+936.602783012812i</v>
      </c>
      <c r="AN459" s="31">
        <f t="shared" si="307"/>
        <v>936.60331685689891</v>
      </c>
      <c r="AO459" s="31">
        <f t="shared" si="308"/>
        <v>1.5697286387224809</v>
      </c>
      <c r="AP459" s="31" t="str">
        <f t="shared" si="289"/>
        <v>1+755.832777145509i</v>
      </c>
      <c r="AQ459" s="31">
        <f t="shared" si="309"/>
        <v>755.83343866720577</v>
      </c>
      <c r="AR459" s="31">
        <f t="shared" si="310"/>
        <v>1.5694732835943948</v>
      </c>
      <c r="AS459" s="58" t="str">
        <f t="shared" si="311"/>
        <v>-3.18765541905737+1.26336822646466i</v>
      </c>
      <c r="AT459" s="49">
        <f t="shared" si="312"/>
        <v>10.703056179436123</v>
      </c>
      <c r="AU459" s="61">
        <f t="shared" si="313"/>
        <v>158.38001773901777</v>
      </c>
      <c r="AV459" s="58" t="str">
        <f t="shared" si="290"/>
        <v>-0.00207457748693297-0.0133961293259673i</v>
      </c>
      <c r="AW459" s="64">
        <f t="shared" si="314"/>
        <v>-37.357486570024541</v>
      </c>
      <c r="AX459" s="61">
        <f t="shared" si="315"/>
        <v>-98.803120558274571</v>
      </c>
    </row>
    <row r="460" spans="14:50" x14ac:dyDescent="0.35">
      <c r="N460" s="10">
        <v>42</v>
      </c>
      <c r="O460" s="50">
        <f t="shared" si="316"/>
        <v>263026.79918953858</v>
      </c>
      <c r="P460" s="48" t="str">
        <f t="shared" si="281"/>
        <v>547.187404092767</v>
      </c>
      <c r="Q460" s="17" t="str">
        <f t="shared" si="282"/>
        <v>1+31694.9944471202i</v>
      </c>
      <c r="R460" s="17">
        <f t="shared" si="291"/>
        <v>31694.994462895564</v>
      </c>
      <c r="S460" s="17">
        <f t="shared" si="292"/>
        <v>1.5707647760716006</v>
      </c>
      <c r="T460" s="17" t="str">
        <f t="shared" si="283"/>
        <v>1+0.599730700513224i</v>
      </c>
      <c r="U460" s="17">
        <f t="shared" si="293"/>
        <v>1.1660518483918638</v>
      </c>
      <c r="V460" s="17">
        <f t="shared" si="294"/>
        <v>0.54022146241606139</v>
      </c>
      <c r="W460" s="31" t="str">
        <f t="shared" si="284"/>
        <v>1-10.4144723080172i</v>
      </c>
      <c r="X460" s="17">
        <f t="shared" si="295"/>
        <v>10.462372267055741</v>
      </c>
      <c r="Y460" s="17">
        <f t="shared" si="296"/>
        <v>-1.4750695759903019</v>
      </c>
      <c r="Z460" s="31" t="str">
        <f t="shared" si="285"/>
        <v>-21.8704453196343+49.8297738063093i</v>
      </c>
      <c r="AA460" s="17">
        <f t="shared" si="297"/>
        <v>54.418036863406442</v>
      </c>
      <c r="AB460" s="17">
        <f t="shared" si="298"/>
        <v>1.9843838978724158</v>
      </c>
      <c r="AC460" s="66" t="str">
        <f t="shared" si="299"/>
        <v>-0.00085365871403062+0.00377503625816741i</v>
      </c>
      <c r="AD460" s="64">
        <f t="shared" si="300"/>
        <v>-48.244988571186823</v>
      </c>
      <c r="AE460" s="61">
        <f t="shared" si="301"/>
        <v>102.74213404790602</v>
      </c>
      <c r="AF460" s="31" t="str">
        <f t="shared" si="286"/>
        <v>-6627.51882264077</v>
      </c>
      <c r="AG460" s="31" t="str">
        <f t="shared" si="302"/>
        <v>1652646.12006218i</v>
      </c>
      <c r="AH460" s="31">
        <f t="shared" si="303"/>
        <v>1652646.1200621801</v>
      </c>
      <c r="AI460" s="31">
        <f t="shared" si="304"/>
        <v>1.5707963267948966</v>
      </c>
      <c r="AJ460" s="31" t="str">
        <f t="shared" si="287"/>
        <v>-324.946085908006+806.730940277755i</v>
      </c>
      <c r="AK460" s="31">
        <f t="shared" si="305"/>
        <v>869.7153377676882</v>
      </c>
      <c r="AL460" s="31">
        <f t="shared" si="306"/>
        <v>1.9537086854306633</v>
      </c>
      <c r="AM460" s="31" t="str">
        <f t="shared" si="288"/>
        <v>1+958.419064407661i</v>
      </c>
      <c r="AN460" s="31">
        <f t="shared" si="307"/>
        <v>958.41958609997971</v>
      </c>
      <c r="AO460" s="31">
        <f t="shared" si="308"/>
        <v>1.5697529422523173</v>
      </c>
      <c r="AP460" s="31" t="str">
        <f t="shared" si="289"/>
        <v>1+773.438384189099i</v>
      </c>
      <c r="AQ460" s="31">
        <f t="shared" si="309"/>
        <v>773.43903065273628</v>
      </c>
      <c r="AR460" s="31">
        <f t="shared" si="310"/>
        <v>1.5695033997004801</v>
      </c>
      <c r="AS460" s="58" t="str">
        <f t="shared" si="311"/>
        <v>-3.16750456709863+1.28445970674866i</v>
      </c>
      <c r="AT460" s="49">
        <f t="shared" si="312"/>
        <v>10.675514742320944</v>
      </c>
      <c r="AU460" s="61">
        <f t="shared" si="313"/>
        <v>157.92687713034374</v>
      </c>
      <c r="AV460" s="58" t="str">
        <f t="shared" si="290"/>
        <v>-0.00214491408969574-0.0130539348101954i</v>
      </c>
      <c r="AW460" s="64">
        <f t="shared" si="314"/>
        <v>-37.569473828865874</v>
      </c>
      <c r="AX460" s="61">
        <f t="shared" si="315"/>
        <v>-99.330988821750211</v>
      </c>
    </row>
    <row r="461" spans="14:50" x14ac:dyDescent="0.35">
      <c r="N461" s="10">
        <v>43</v>
      </c>
      <c r="O461" s="50">
        <f t="shared" si="316"/>
        <v>269153.48039269145</v>
      </c>
      <c r="P461" s="48" t="str">
        <f t="shared" si="281"/>
        <v>547.187404092767</v>
      </c>
      <c r="Q461" s="17" t="str">
        <f t="shared" si="282"/>
        <v>1+32433.2657081156i</v>
      </c>
      <c r="R461" s="17">
        <f t="shared" si="291"/>
        <v>32433.265723531866</v>
      </c>
      <c r="S461" s="17">
        <f t="shared" si="292"/>
        <v>1.5707654942537432</v>
      </c>
      <c r="T461" s="17" t="str">
        <f t="shared" si="283"/>
        <v>1+0.613700223090812i</v>
      </c>
      <c r="U461" s="17">
        <f t="shared" si="293"/>
        <v>1.173297900714781</v>
      </c>
      <c r="V461" s="17">
        <f t="shared" si="294"/>
        <v>0.55043233731445429</v>
      </c>
      <c r="W461" s="31" t="str">
        <f t="shared" si="284"/>
        <v>1-10.657056531096i</v>
      </c>
      <c r="X461" s="17">
        <f t="shared" si="295"/>
        <v>10.703870977687274</v>
      </c>
      <c r="Y461" s="17">
        <f t="shared" si="296"/>
        <v>-1.477235742602085</v>
      </c>
      <c r="Z461" s="31" t="str">
        <f t="shared" si="285"/>
        <v>-22.9482962008262+50.9904583429315i</v>
      </c>
      <c r="AA461" s="17">
        <f t="shared" si="297"/>
        <v>55.916465737232414</v>
      </c>
      <c r="AB461" s="17">
        <f t="shared" si="298"/>
        <v>1.9936924914328389</v>
      </c>
      <c r="AC461" s="66" t="str">
        <f t="shared" si="299"/>
        <v>-0.000831098865065354+0.00369699822682738i</v>
      </c>
      <c r="AD461" s="64">
        <f t="shared" si="300"/>
        <v>-48.428902858767621</v>
      </c>
      <c r="AE461" s="61">
        <f t="shared" si="301"/>
        <v>102.66967760712205</v>
      </c>
      <c r="AF461" s="31" t="str">
        <f t="shared" si="286"/>
        <v>-6627.51882264077</v>
      </c>
      <c r="AG461" s="31" t="str">
        <f t="shared" si="302"/>
        <v>1691141.19337961i</v>
      </c>
      <c r="AH461" s="31">
        <f t="shared" si="303"/>
        <v>1691141.1933796101</v>
      </c>
      <c r="AI461" s="31">
        <f t="shared" si="304"/>
        <v>1.5707963267948966</v>
      </c>
      <c r="AJ461" s="31" t="str">
        <f t="shared" si="287"/>
        <v>-340.307451679725+825.522117842289i</v>
      </c>
      <c r="AK461" s="31">
        <f t="shared" si="305"/>
        <v>892.91428968046341</v>
      </c>
      <c r="AL461" s="31">
        <f t="shared" si="306"/>
        <v>1.9618037020004326</v>
      </c>
      <c r="AM461" s="31" t="str">
        <f t="shared" si="288"/>
        <v>1+980.743512276638i</v>
      </c>
      <c r="AN461" s="31">
        <f t="shared" si="307"/>
        <v>980.74402209379593</v>
      </c>
      <c r="AO461" s="31">
        <f t="shared" si="308"/>
        <v>1.5697766925674652</v>
      </c>
      <c r="AP461" s="31" t="str">
        <f t="shared" si="289"/>
        <v>1+791.454078501656i</v>
      </c>
      <c r="AQ461" s="31">
        <f t="shared" si="309"/>
        <v>791.45471024999608</v>
      </c>
      <c r="AR461" s="31">
        <f t="shared" si="310"/>
        <v>1.5695328302825633</v>
      </c>
      <c r="AS461" s="58" t="str">
        <f t="shared" si="311"/>
        <v>-3.14667530079693+1.30557644111899i</v>
      </c>
      <c r="AT461" s="49">
        <f t="shared" si="312"/>
        <v>10.64686132033148</v>
      </c>
      <c r="AU461" s="61">
        <f t="shared" si="313"/>
        <v>157.46611388676942</v>
      </c>
      <c r="AV461" s="58" t="str">
        <f t="shared" si="290"/>
        <v>-0.002211515516583-0.0127183161059178i</v>
      </c>
      <c r="AW461" s="64">
        <f t="shared" si="314"/>
        <v>-37.782041538436154</v>
      </c>
      <c r="AX461" s="61">
        <f t="shared" si="315"/>
        <v>-99.86420850610854</v>
      </c>
    </row>
    <row r="462" spans="14:50" x14ac:dyDescent="0.35">
      <c r="N462" s="10">
        <v>44</v>
      </c>
      <c r="O462" s="50">
        <f t="shared" si="316"/>
        <v>275422.87033381703</v>
      </c>
      <c r="P462" s="48" t="str">
        <f t="shared" si="281"/>
        <v>547.187404092767</v>
      </c>
      <c r="Q462" s="17" t="str">
        <f t="shared" si="282"/>
        <v>1+33188.7335158945i</v>
      </c>
      <c r="R462" s="17">
        <f t="shared" si="291"/>
        <v>33188.733530959857</v>
      </c>
      <c r="S462" s="17">
        <f t="shared" si="292"/>
        <v>1.5707661960880646</v>
      </c>
      <c r="T462" s="17" t="str">
        <f t="shared" si="283"/>
        <v>1+0.627995137649964i</v>
      </c>
      <c r="U462" s="17">
        <f t="shared" si="293"/>
        <v>1.1808377928030578</v>
      </c>
      <c r="V462" s="17">
        <f t="shared" si="294"/>
        <v>0.56075022347110126</v>
      </c>
      <c r="W462" s="31" t="str">
        <f t="shared" si="284"/>
        <v>1-10.9052912666104i</v>
      </c>
      <c r="X462" s="17">
        <f t="shared" si="295"/>
        <v>10.951044589883153</v>
      </c>
      <c r="Y462" s="17">
        <f t="shared" si="296"/>
        <v>-1.4793534524882255</v>
      </c>
      <c r="Z462" s="31" t="str">
        <f t="shared" si="285"/>
        <v>-24.0769446290641+52.1781786955057i</v>
      </c>
      <c r="AA462" s="17">
        <f t="shared" si="297"/>
        <v>57.465307748685582</v>
      </c>
      <c r="AB462" s="17">
        <f t="shared" si="298"/>
        <v>2.0031204929400381</v>
      </c>
      <c r="AC462" s="66" t="str">
        <f t="shared" si="299"/>
        <v>-0.000809287979559844+0.00362075758806832i</v>
      </c>
      <c r="AD462" s="64">
        <f t="shared" si="300"/>
        <v>-48.612290676011902</v>
      </c>
      <c r="AE462" s="61">
        <f t="shared" si="301"/>
        <v>102.5992881909354</v>
      </c>
      <c r="AF462" s="31" t="str">
        <f t="shared" si="286"/>
        <v>-6627.51882264077</v>
      </c>
      <c r="AG462" s="31" t="str">
        <f t="shared" si="302"/>
        <v>1730532.93214267i</v>
      </c>
      <c r="AH462" s="31">
        <f t="shared" si="303"/>
        <v>1730532.93214267</v>
      </c>
      <c r="AI462" s="31">
        <f t="shared" si="304"/>
        <v>1.5707963267948966</v>
      </c>
      <c r="AJ462" s="31" t="str">
        <f t="shared" si="287"/>
        <v>-356.392776316345+844.750998160783i</v>
      </c>
      <c r="AK462" s="31">
        <f t="shared" si="305"/>
        <v>916.85334699945952</v>
      </c>
      <c r="AL462" s="31">
        <f t="shared" si="306"/>
        <v>1.9700306115048001</v>
      </c>
      <c r="AM462" s="31" t="str">
        <f t="shared" si="288"/>
        <v>1+1003.5879633375i</v>
      </c>
      <c r="AN462" s="31">
        <f t="shared" si="307"/>
        <v>1003.5884615498085</v>
      </c>
      <c r="AO462" s="31">
        <f t="shared" si="308"/>
        <v>1.5697999022605484</v>
      </c>
      <c r="AP462" s="31" t="str">
        <f t="shared" si="289"/>
        <v>1+809.889412242768i</v>
      </c>
      <c r="AQ462" s="31">
        <f t="shared" si="309"/>
        <v>809.89002961077153</v>
      </c>
      <c r="AR462" s="31">
        <f t="shared" si="310"/>
        <v>1.5695615909449243</v>
      </c>
      <c r="AS462" s="58" t="str">
        <f t="shared" si="311"/>
        <v>-3.1251559869423+1.32669650210287i</v>
      </c>
      <c r="AT462" s="49">
        <f t="shared" si="312"/>
        <v>10.617058774805841</v>
      </c>
      <c r="AU462" s="61">
        <f t="shared" si="313"/>
        <v>156.99772437575996</v>
      </c>
      <c r="AV462" s="58" t="str">
        <f t="shared" si="290"/>
        <v>-0.00227449525257078-0.0123891117852944i</v>
      </c>
      <c r="AW462" s="64">
        <f t="shared" si="314"/>
        <v>-37.995231901206068</v>
      </c>
      <c r="AX462" s="61">
        <f t="shared" si="315"/>
        <v>-100.40298743330465</v>
      </c>
    </row>
    <row r="463" spans="14:50" x14ac:dyDescent="0.35">
      <c r="N463" s="10">
        <v>45</v>
      </c>
      <c r="O463" s="50">
        <f t="shared" si="316"/>
        <v>281838.29312644573</v>
      </c>
      <c r="P463" s="48" t="str">
        <f t="shared" si="281"/>
        <v>547.187404092767</v>
      </c>
      <c r="Q463" s="17" t="str">
        <f t="shared" si="282"/>
        <v>1+33961.7984294882i</v>
      </c>
      <c r="R463" s="17">
        <f t="shared" si="291"/>
        <v>33961.798444210617</v>
      </c>
      <c r="S463" s="17">
        <f t="shared" si="292"/>
        <v>1.5707668819466862</v>
      </c>
      <c r="T463" s="17" t="str">
        <f t="shared" si="283"/>
        <v>1+0.642623023543596i</v>
      </c>
      <c r="U463" s="17">
        <f t="shared" si="293"/>
        <v>1.1886817700243884</v>
      </c>
      <c r="V463" s="17">
        <f t="shared" si="294"/>
        <v>0.57117180376027166</v>
      </c>
      <c r="W463" s="31" t="str">
        <f t="shared" si="284"/>
        <v>1-11.1593081319029i</v>
      </c>
      <c r="X463" s="17">
        <f t="shared" si="295"/>
        <v>11.204024186994342</v>
      </c>
      <c r="Y463" s="17">
        <f t="shared" si="296"/>
        <v>-1.4814237524663252</v>
      </c>
      <c r="Z463" s="31" t="str">
        <f t="shared" si="285"/>
        <v>-25.2587846189847+53.3935646090839i</v>
      </c>
      <c r="AA463" s="17">
        <f t="shared" si="297"/>
        <v>59.066732955976789</v>
      </c>
      <c r="AB463" s="17">
        <f t="shared" si="298"/>
        <v>2.0126671110131369</v>
      </c>
      <c r="AC463" s="66" t="str">
        <f t="shared" si="299"/>
        <v>-0.000788186981137209+0.0035462704825583i</v>
      </c>
      <c r="AD463" s="64">
        <f t="shared" si="300"/>
        <v>-48.795157976208621</v>
      </c>
      <c r="AE463" s="61">
        <f t="shared" si="301"/>
        <v>102.53076108527419</v>
      </c>
      <c r="AF463" s="31" t="str">
        <f t="shared" si="286"/>
        <v>-6627.51882264077</v>
      </c>
      <c r="AG463" s="31" t="str">
        <f t="shared" si="302"/>
        <v>1770842.22237266i</v>
      </c>
      <c r="AH463" s="31">
        <f t="shared" si="303"/>
        <v>1770842.2223726599</v>
      </c>
      <c r="AI463" s="31">
        <f t="shared" si="304"/>
        <v>1.5707963267948966</v>
      </c>
      <c r="AJ463" s="31" t="str">
        <f t="shared" si="287"/>
        <v>-373.236178948014+864.427776640101i</v>
      </c>
      <c r="AK463" s="31">
        <f t="shared" si="305"/>
        <v>941.56286370197415</v>
      </c>
      <c r="AL463" s="31">
        <f t="shared" si="306"/>
        <v>1.9783893650597726</v>
      </c>
      <c r="AM463" s="31" t="str">
        <f t="shared" si="288"/>
        <v>1+1026.96453002058i</v>
      </c>
      <c r="AN463" s="31">
        <f t="shared" si="307"/>
        <v>1026.9650168921971</v>
      </c>
      <c r="AO463" s="31">
        <f t="shared" si="308"/>
        <v>1.5698225836375537</v>
      </c>
      <c r="AP463" s="31" t="str">
        <f t="shared" si="289"/>
        <v>1+828.754160070404i</v>
      </c>
      <c r="AQ463" s="31">
        <f t="shared" si="309"/>
        <v>828.75476338540636</v>
      </c>
      <c r="AR463" s="31">
        <f t="shared" si="310"/>
        <v>1.5695896969366567</v>
      </c>
      <c r="AS463" s="58" t="str">
        <f t="shared" si="311"/>
        <v>-3.10293572034458+1.34779686524071i</v>
      </c>
      <c r="AT463" s="49">
        <f t="shared" si="312"/>
        <v>10.586069355119122</v>
      </c>
      <c r="AU463" s="61">
        <f t="shared" si="313"/>
        <v>156.52171297695122</v>
      </c>
      <c r="AV463" s="58" t="str">
        <f t="shared" si="290"/>
        <v>-0.00233395870160653-0.012066165296734i</v>
      </c>
      <c r="AW463" s="64">
        <f t="shared" si="314"/>
        <v>-38.209088621089521</v>
      </c>
      <c r="AX463" s="61">
        <f t="shared" si="315"/>
        <v>-100.94752593777459</v>
      </c>
    </row>
    <row r="464" spans="14:50" x14ac:dyDescent="0.35">
      <c r="N464" s="10">
        <v>46</v>
      </c>
      <c r="O464" s="50">
        <f t="shared" si="316"/>
        <v>288403.1503126609</v>
      </c>
      <c r="P464" s="48" t="str">
        <f t="shared" si="281"/>
        <v>547.187404092767</v>
      </c>
      <c r="Q464" s="17" t="str">
        <f t="shared" si="282"/>
        <v>1+34752.8703381468i</v>
      </c>
      <c r="R464" s="17">
        <f t="shared" si="291"/>
        <v>34752.870352534104</v>
      </c>
      <c r="S464" s="17">
        <f t="shared" si="292"/>
        <v>1.5707675521932596</v>
      </c>
      <c r="T464" s="17" t="str">
        <f t="shared" si="283"/>
        <v>1+0.657591636670432i</v>
      </c>
      <c r="U464" s="17">
        <f t="shared" si="293"/>
        <v>1.1968403237771099</v>
      </c>
      <c r="V464" s="17">
        <f t="shared" si="294"/>
        <v>0.58169354851116772</v>
      </c>
      <c r="W464" s="31" t="str">
        <f t="shared" si="284"/>
        <v>1-11.4192418100779i</v>
      </c>
      <c r="X464" s="17">
        <f t="shared" si="295"/>
        <v>11.462943928896763</v>
      </c>
      <c r="Y464" s="17">
        <f t="shared" si="296"/>
        <v>-1.4834476692087788</v>
      </c>
      <c r="Z464" s="31" t="str">
        <f t="shared" si="285"/>
        <v>-26.4963230116588+54.6372604973652i</v>
      </c>
      <c r="AA464" s="17">
        <f t="shared" si="297"/>
        <v>60.723021728131279</v>
      </c>
      <c r="AB464" s="17">
        <f t="shared" si="298"/>
        <v>2.0223313643834695</v>
      </c>
      <c r="AC464" s="66" t="str">
        <f t="shared" si="299"/>
        <v>-0.000767758707691119+0.00347349371620681i</v>
      </c>
      <c r="AD464" s="64">
        <f t="shared" si="300"/>
        <v>-48.977511650782752</v>
      </c>
      <c r="AE464" s="61">
        <f t="shared" si="301"/>
        <v>102.46389143262095</v>
      </c>
      <c r="AF464" s="31" t="str">
        <f t="shared" si="286"/>
        <v>-6627.51882264077</v>
      </c>
      <c r="AG464" s="31" t="str">
        <f t="shared" si="302"/>
        <v>1812090.43658882i</v>
      </c>
      <c r="AH464" s="31">
        <f t="shared" si="303"/>
        <v>1812090.4365888201</v>
      </c>
      <c r="AI464" s="31">
        <f t="shared" si="304"/>
        <v>1.5707963267948966</v>
      </c>
      <c r="AJ464" s="31" t="str">
        <f t="shared" si="287"/>
        <v>-390.873386689951+884.562886168648i</v>
      </c>
      <c r="AK464" s="31">
        <f t="shared" si="305"/>
        <v>967.0747148020572</v>
      </c>
      <c r="AL464" s="31">
        <f t="shared" si="306"/>
        <v>1.9868797664711546</v>
      </c>
      <c r="AM464" s="31" t="str">
        <f t="shared" si="288"/>
        <v>1+1050.88560689096i</v>
      </c>
      <c r="AN464" s="31">
        <f t="shared" si="307"/>
        <v>1050.8860826800312</v>
      </c>
      <c r="AO464" s="31">
        <f t="shared" si="308"/>
        <v>1.5698447487243539</v>
      </c>
      <c r="AP464" s="31" t="str">
        <f t="shared" si="289"/>
        <v>1+848.058324323567i</v>
      </c>
      <c r="AQ464" s="31">
        <f t="shared" si="309"/>
        <v>848.05891390545298</v>
      </c>
      <c r="AR464" s="31">
        <f t="shared" si="310"/>
        <v>1.5696171631597517</v>
      </c>
      <c r="AS464" s="58" t="str">
        <f t="shared" si="311"/>
        <v>-3.08000440840597+1.36885341773493i</v>
      </c>
      <c r="AT464" s="49">
        <f t="shared" si="312"/>
        <v>10.553854740476883</v>
      </c>
      <c r="AU464" s="61">
        <f t="shared" si="313"/>
        <v>156.03809247429587</v>
      </c>
      <c r="AV464" s="58" t="str">
        <f t="shared" si="290"/>
        <v>-0.00239000354062978-0.0117493250895062i</v>
      </c>
      <c r="AW464" s="64">
        <f t="shared" si="314"/>
        <v>-38.423656910305837</v>
      </c>
      <c r="AX464" s="61">
        <f t="shared" si="315"/>
        <v>-101.49801609308312</v>
      </c>
    </row>
    <row r="465" spans="14:50" x14ac:dyDescent="0.35">
      <c r="N465" s="10">
        <v>47</v>
      </c>
      <c r="O465" s="50">
        <f t="shared" si="316"/>
        <v>295120.92266663886</v>
      </c>
      <c r="P465" s="48" t="str">
        <f t="shared" si="281"/>
        <v>547.187404092767</v>
      </c>
      <c r="Q465" s="17" t="str">
        <f t="shared" si="282"/>
        <v>1+35562.3686786673i</v>
      </c>
      <c r="R465" s="17">
        <f t="shared" si="291"/>
        <v>35562.368692727105</v>
      </c>
      <c r="S465" s="17">
        <f t="shared" si="292"/>
        <v>1.5707682071831583</v>
      </c>
      <c r="T465" s="17" t="str">
        <f t="shared" si="283"/>
        <v>1+0.672908913587284i</v>
      </c>
      <c r="U465" s="17">
        <f t="shared" si="293"/>
        <v>1.2053241912386969</v>
      </c>
      <c r="V465" s="17">
        <f t="shared" si="294"/>
        <v>0.59231171764242707</v>
      </c>
      <c r="W465" s="31" t="str">
        <f t="shared" si="284"/>
        <v>1-11.6852301214121i</v>
      </c>
      <c r="X465" s="17">
        <f t="shared" si="295"/>
        <v>11.727941123247364</v>
      </c>
      <c r="Y465" s="17">
        <f t="shared" si="296"/>
        <v>-1.4854262094627155</v>
      </c>
      <c r="Z465" s="31" t="str">
        <f t="shared" si="285"/>
        <v>-27.7921847919367+55.9099257843719i</v>
      </c>
      <c r="AA465" s="17">
        <f t="shared" si="297"/>
        <v>62.436570507380786</v>
      </c>
      <c r="AB465" s="17">
        <f t="shared" si="298"/>
        <v>2.0321120766028509</v>
      </c>
      <c r="AC465" s="66" t="str">
        <f t="shared" si="299"/>
        <v>-0.000747967847106179+0.00340238475812923i</v>
      </c>
      <c r="AD465" s="64">
        <f t="shared" si="300"/>
        <v>-49.159359574012697</v>
      </c>
      <c r="AE465" s="61">
        <f t="shared" si="301"/>
        <v>102.39847464489144</v>
      </c>
      <c r="AF465" s="31" t="str">
        <f t="shared" si="286"/>
        <v>-6627.51882264077</v>
      </c>
      <c r="AG465" s="31" t="str">
        <f t="shared" si="302"/>
        <v>1854299.44514031i</v>
      </c>
      <c r="AH465" s="31">
        <f t="shared" si="303"/>
        <v>1854299.4451403101</v>
      </c>
      <c r="AI465" s="31">
        <f t="shared" si="304"/>
        <v>1.5707963267948966</v>
      </c>
      <c r="AJ465" s="31" t="str">
        <f t="shared" si="287"/>
        <v>-409.341810424436+905.167002648016i</v>
      </c>
      <c r="AK465" s="31">
        <f t="shared" si="305"/>
        <v>993.42237766437916</v>
      </c>
      <c r="AL465" s="31">
        <f t="shared" si="306"/>
        <v>1.9955014654782757</v>
      </c>
      <c r="AM465" s="31" t="str">
        <f t="shared" si="288"/>
        <v>1+1075.36387722022i</v>
      </c>
      <c r="AN465" s="31">
        <f t="shared" si="307"/>
        <v>1075.3643421790146</v>
      </c>
      <c r="AO465" s="31">
        <f t="shared" si="308"/>
        <v>1.5698664092730843</v>
      </c>
      <c r="AP465" s="31" t="str">
        <f t="shared" si="289"/>
        <v>1+867.812140325664i</v>
      </c>
      <c r="AQ465" s="31">
        <f t="shared" si="309"/>
        <v>867.8127164870366</v>
      </c>
      <c r="AR465" s="31">
        <f t="shared" si="310"/>
        <v>1.5696440041769981</v>
      </c>
      <c r="AS465" s="58" t="str">
        <f t="shared" si="311"/>
        <v>-3.05635285805553+1.38984097335833i</v>
      </c>
      <c r="AT465" s="49">
        <f t="shared" si="312"/>
        <v>10.520376086365378</v>
      </c>
      <c r="AU465" s="61">
        <f t="shared" si="313"/>
        <v>155.54688444398587</v>
      </c>
      <c r="AV465" s="58" t="str">
        <f t="shared" si="290"/>
        <v>-0.00244272007674126-0.0114384447403756i</v>
      </c>
      <c r="AW465" s="64">
        <f t="shared" si="314"/>
        <v>-38.638983487647337</v>
      </c>
      <c r="AX465" s="61">
        <f t="shared" si="315"/>
        <v>-102.05464091112269</v>
      </c>
    </row>
    <row r="466" spans="14:50" x14ac:dyDescent="0.35">
      <c r="N466" s="10">
        <v>48</v>
      </c>
      <c r="O466" s="50">
        <f t="shared" si="316"/>
        <v>301995.17204020242</v>
      </c>
      <c r="P466" s="48" t="str">
        <f t="shared" si="281"/>
        <v>547.187404092767</v>
      </c>
      <c r="Q466" s="17" t="str">
        <f t="shared" si="282"/>
        <v>1+36390.7226577848i</v>
      </c>
      <c r="R466" s="17">
        <f t="shared" si="291"/>
        <v>36390.722671524556</v>
      </c>
      <c r="S466" s="17">
        <f t="shared" si="292"/>
        <v>1.5707688472636669</v>
      </c>
      <c r="T466" s="17" t="str">
        <f t="shared" si="283"/>
        <v>1+0.688582975717123i</v>
      </c>
      <c r="U466" s="17">
        <f t="shared" si="293"/>
        <v>1.2141443548637239</v>
      </c>
      <c r="V466" s="17">
        <f t="shared" si="294"/>
        <v>0.60302236373857876</v>
      </c>
      <c r="W466" s="31" t="str">
        <f t="shared" si="284"/>
        <v>1-11.957414096429i</v>
      </c>
      <c r="X466" s="17">
        <f t="shared" si="295"/>
        <v>11.999156298401941</v>
      </c>
      <c r="Y466" s="17">
        <f t="shared" si="296"/>
        <v>-1.487360360280094</v>
      </c>
      <c r="Z466" s="31" t="str">
        <f t="shared" si="285"/>
        <v>-29.1491186563939+57.2122352540848i</v>
      </c>
      <c r="AA466" s="17">
        <f t="shared" si="297"/>
        <v>64.209897844594593</v>
      </c>
      <c r="AB466" s="17">
        <f t="shared" si="298"/>
        <v>2.0420078711528609</v>
      </c>
      <c r="AC466" s="66" t="str">
        <f t="shared" si="299"/>
        <v>-0.000728780876148366+0.00333290173959289i</v>
      </c>
      <c r="AD466" s="64">
        <f t="shared" si="300"/>
        <v>-49.340710643261943</v>
      </c>
      <c r="AE466" s="61">
        <f t="shared" si="301"/>
        <v>102.33430684672581</v>
      </c>
      <c r="AF466" s="31" t="str">
        <f t="shared" si="286"/>
        <v>-6627.51882264077</v>
      </c>
      <c r="AG466" s="31" t="str">
        <f t="shared" si="302"/>
        <v>1897491.62780217i</v>
      </c>
      <c r="AH466" s="31">
        <f t="shared" si="303"/>
        <v>1897491.6278021701</v>
      </c>
      <c r="AI466" s="31">
        <f t="shared" si="304"/>
        <v>1.5707963267948966</v>
      </c>
      <c r="AJ466" s="31" t="str">
        <f t="shared" si="287"/>
        <v>-428.680624154317+926.251050653491i</v>
      </c>
      <c r="AK466" s="31">
        <f t="shared" si="305"/>
        <v>1020.6410173817388</v>
      </c>
      <c r="AL466" s="31">
        <f t="shared" si="306"/>
        <v>2.0042539511115942</v>
      </c>
      <c r="AM466" s="31" t="str">
        <f t="shared" si="288"/>
        <v>1+1100.41231971131i</v>
      </c>
      <c r="AN466" s="31">
        <f t="shared" si="307"/>
        <v>1100.4127740863544</v>
      </c>
      <c r="AO466" s="31">
        <f t="shared" si="308"/>
        <v>1.5698875767683731</v>
      </c>
      <c r="AP466" s="31" t="str">
        <f t="shared" si="289"/>
        <v>1+888.026081811414i</v>
      </c>
      <c r="AQ466" s="31">
        <f t="shared" si="309"/>
        <v>888.02664485776097</v>
      </c>
      <c r="AR466" s="31">
        <f t="shared" si="310"/>
        <v>1.5696702342197042</v>
      </c>
      <c r="AS466" s="58" t="str">
        <f t="shared" si="311"/>
        <v>-3.03197286462295+1.41073329407122i</v>
      </c>
      <c r="AT466" s="49">
        <f t="shared" si="312"/>
        <v>10.48559407577428</v>
      </c>
      <c r="AU466" s="61">
        <f t="shared" si="313"/>
        <v>155.04811963583427</v>
      </c>
      <c r="AV466" s="58" t="str">
        <f t="shared" si="290"/>
        <v>-0.00249219160917359-0.0111333830809652i</v>
      </c>
      <c r="AW466" s="64">
        <f t="shared" si="314"/>
        <v>-38.855116567487634</v>
      </c>
      <c r="AX466" s="61">
        <f t="shared" si="315"/>
        <v>-102.61757351743987</v>
      </c>
    </row>
    <row r="467" spans="14:50" x14ac:dyDescent="0.35">
      <c r="N467" s="10">
        <v>49</v>
      </c>
      <c r="O467" s="50">
        <f t="shared" si="316"/>
        <v>309029.54325135931</v>
      </c>
      <c r="P467" s="48" t="str">
        <f t="shared" ref="P467:P530" si="317">COMPLEX(Adc,0)</f>
        <v>547.187404092767</v>
      </c>
      <c r="Q467" s="17" t="str">
        <f t="shared" ref="Q467:Q530" si="318">IMSUM(COMPLEX(1,0),IMDIV(COMPLEX(0,2*PI()*O467),COMPLEX(wp_lf,0)))</f>
        <v>1+37238.3714797436i</v>
      </c>
      <c r="R467" s="17">
        <f t="shared" si="291"/>
        <v>37238.371493170605</v>
      </c>
      <c r="S467" s="17">
        <f t="shared" si="292"/>
        <v>1.5707694727741641</v>
      </c>
      <c r="T467" s="17" t="str">
        <f t="shared" ref="T467:T530" si="319">IMSUM(COMPLEX(1,0),IMDIV(COMPLEX(0,2*PI()*O467),COMPLEX(wz_esr,0)))</f>
        <v>1+0.70462213365516i</v>
      </c>
      <c r="U467" s="17">
        <f t="shared" si="293"/>
        <v>1.2233120416462637</v>
      </c>
      <c r="V467" s="17">
        <f t="shared" si="294"/>
        <v>0.61382133609248823</v>
      </c>
      <c r="W467" s="31" t="str">
        <f t="shared" ref="W467:W530" si="320">IMSUB(COMPLEX(1,0),IMDIV(COMPLEX(0,2*PI()*O467),COMPLEX(wz_rhp,0)))</f>
        <v>1-12.2359380506748i</v>
      </c>
      <c r="X467" s="17">
        <f t="shared" si="295"/>
        <v>12.276733278032532</v>
      </c>
      <c r="Y467" s="17">
        <f t="shared" si="296"/>
        <v>-1.4892510892567792</v>
      </c>
      <c r="Z467" s="31" t="str">
        <f t="shared" ref="Z467:Z530" si="321">IMSUM(COMPLEX(1,0),IMDIV(COMPLEX(0,2*PI()*O467),COMPLEX(Q*(wsl/2),0)),IMDIV(IMPOWER(COMPLEX(0,2*PI()*O467),2),IMPOWER(COMPLEX(wsl/2,0),2)))</f>
        <v>-30.570002843684+58.5448794082228i</v>
      </c>
      <c r="AA467" s="17">
        <f t="shared" si="297"/>
        <v>66.04565071816765</v>
      </c>
      <c r="AB467" s="17">
        <f t="shared" si="298"/>
        <v>2.0520171670098692</v>
      </c>
      <c r="AC467" s="66" t="str">
        <f t="shared" si="299"/>
        <v>-0.000710166002255482+0.00326500345400231i</v>
      </c>
      <c r="AD467" s="64">
        <f t="shared" si="300"/>
        <v>-49.521574814183076</v>
      </c>
      <c r="AE467" s="61">
        <f t="shared" si="301"/>
        <v>102.27118534750051</v>
      </c>
      <c r="AF467" s="31" t="str">
        <f t="shared" ref="AF467:AF530" si="322">COMPLEX(Adc_ea_iso,0)</f>
        <v>-6627.51882264077</v>
      </c>
      <c r="AG467" s="31" t="str">
        <f t="shared" si="302"/>
        <v>1941689.88564136i</v>
      </c>
      <c r="AH467" s="31">
        <f t="shared" si="303"/>
        <v>1941689.88564136</v>
      </c>
      <c r="AI467" s="31">
        <f t="shared" si="304"/>
        <v>1.5707963267948966</v>
      </c>
      <c r="AJ467" s="31" t="str">
        <f t="shared" ref="AJ467:AJ530" si="323">IMSUM(IMPRODUCT(COMPLEX(wpA_ea_iso,0),IMPOWER(COMPLEX(0,2*PI()*O467),2)),COMPLEX(0,wpB_ea_iso*2*PI()*O467),COMPLEX(1,0))</f>
        <v>-448.930848096314+947.826209226401i</v>
      </c>
      <c r="AK467" s="31">
        <f t="shared" si="305"/>
        <v>1048.7675763814236</v>
      </c>
      <c r="AL467" s="31">
        <f t="shared" si="306"/>
        <v>2.0131365452074284</v>
      </c>
      <c r="AM467" s="31" t="str">
        <f t="shared" ref="AM467:AM530" si="324">IMSUM(COMPLEX(1,0),IMDIV(COMPLEX(0,2*PI()*O467),COMPLEX(wz1_ea_iso,0)))</f>
        <v>1+1126.04421537999i</v>
      </c>
      <c r="AN467" s="31">
        <f t="shared" si="307"/>
        <v>1126.0446594121997</v>
      </c>
      <c r="AO467" s="31">
        <f t="shared" si="308"/>
        <v>1.5699082624334306</v>
      </c>
      <c r="AP467" s="31" t="str">
        <f t="shared" ref="AP467:AP530" si="325">IMSUM(COMPLEX(1,0),IMDIV(COMPLEX(0,2*PI()*O467),COMPLEX(wz2_ea_iso,0)))</f>
        <v>1+908.710866480155i</v>
      </c>
      <c r="AQ467" s="31">
        <f t="shared" si="309"/>
        <v>908.71141671001033</v>
      </c>
      <c r="AR467" s="31">
        <f t="shared" si="310"/>
        <v>1.569695867195241</v>
      </c>
      <c r="AS467" s="58" t="str">
        <f t="shared" si="311"/>
        <v>-3.00685730216711+1.43150311877712i</v>
      </c>
      <c r="AT467" s="49">
        <f t="shared" si="312"/>
        <v>10.449468975284713</v>
      </c>
      <c r="AU467" s="61">
        <f t="shared" si="313"/>
        <v>154.54183834563392</v>
      </c>
      <c r="AV467" s="58" t="str">
        <f t="shared" ref="AV467:AV530" si="326">IMPRODUCT(AC467,AS467)</f>
        <v>-0.00253849479758966-0.0108340043243459i</v>
      </c>
      <c r="AW467" s="64">
        <f t="shared" si="314"/>
        <v>-39.072105838898352</v>
      </c>
      <c r="AX467" s="61">
        <f t="shared" si="315"/>
        <v>-103.18697630686556</v>
      </c>
    </row>
    <row r="468" spans="14:50" x14ac:dyDescent="0.35">
      <c r="N468" s="10">
        <v>50</v>
      </c>
      <c r="O468" s="50">
        <f t="shared" si="316"/>
        <v>316227.7660168382</v>
      </c>
      <c r="P468" s="48" t="str">
        <f t="shared" si="317"/>
        <v>547.187404092767</v>
      </c>
      <c r="Q468" s="17" t="str">
        <f t="shared" si="318"/>
        <v>1+38105.7645791691i</v>
      </c>
      <c r="R468" s="17">
        <f t="shared" ref="R468:R531" si="327">IMABS(Q468)</f>
        <v>38105.76459229047</v>
      </c>
      <c r="S468" s="17">
        <f t="shared" ref="S468:S531" si="328">IMARGUMENT(Q468)</f>
        <v>1.5707700840463044</v>
      </c>
      <c r="T468" s="17" t="str">
        <f t="shared" si="319"/>
        <v>1+0.721034891575237i</v>
      </c>
      <c r="U468" s="17">
        <f t="shared" ref="U468:U531" si="329">IMABS(T468)</f>
        <v>1.2328387221647907</v>
      </c>
      <c r="V468" s="17">
        <f t="shared" ref="V468:V531" si="330">IMARGUMENT(T468)</f>
        <v>0.62470428573076076</v>
      </c>
      <c r="W468" s="31" t="str">
        <f t="shared" si="320"/>
        <v>1-12.520949661237i</v>
      </c>
      <c r="X468" s="17">
        <f t="shared" ref="X468:X531" si="331">IMABS(W468)</f>
        <v>12.56081925748599</v>
      </c>
      <c r="Y468" s="17">
        <f t="shared" ref="Y468:Y531" si="332">IMARGUMENT(W468)</f>
        <v>-1.491099344779534</v>
      </c>
      <c r="Z468" s="31" t="str">
        <f t="shared" si="321"/>
        <v>-32.0578512396695+59.9085648323561i</v>
      </c>
      <c r="AA468" s="17">
        <f t="shared" ref="AA468:AA531" si="333">IMABS(Z468)</f>
        <v>67.946611147116045</v>
      </c>
      <c r="AB468" s="17">
        <f t="shared" ref="AB468:AB531" si="334">IMARGUMENT(Z468)</f>
        <v>2.0621381747212322</v>
      </c>
      <c r="AC468" s="66" t="str">
        <f t="shared" ref="AC468:AC531" si="335">(IMDIV(IMPRODUCT(P468,T468,W468),IMPRODUCT(Q468,Z468)))</f>
        <v>-0.000692093107957337+0.00319864935796776i</v>
      </c>
      <c r="AD468" s="64">
        <f t="shared" ref="AD468:AD531" si="336">20*LOG(IMABS(AC468))</f>
        <v>-49.701963130361719</v>
      </c>
      <c r="AE468" s="61">
        <f t="shared" ref="AE468:AE531" si="337">(180/PI())*IMARGUMENT(AC468)</f>
        <v>102.20890913991693</v>
      </c>
      <c r="AF468" s="31" t="str">
        <f t="shared" si="322"/>
        <v>-6627.51882264077</v>
      </c>
      <c r="AG468" s="31" t="str">
        <f t="shared" ref="AG468:AG531" si="338">COMPLEX(0,1*2*PI()*O468)</f>
        <v>1986917.65315922i</v>
      </c>
      <c r="AH468" s="31">
        <f t="shared" ref="AH468:AH531" si="339">IMABS(AG468)</f>
        <v>1986917.65315922</v>
      </c>
      <c r="AI468" s="31">
        <f t="shared" ref="AI468:AI531" si="340">IMARGUMENT(AG468)</f>
        <v>1.5707963267948966</v>
      </c>
      <c r="AJ468" s="31" t="str">
        <f t="shared" si="323"/>
        <v>-470.135435690401+969.903917801409i</v>
      </c>
      <c r="AK468" s="31">
        <f t="shared" ref="AK468:AK531" si="341">IMABS(AJ468)</f>
        <v>1077.8408684301805</v>
      </c>
      <c r="AL468" s="31">
        <f t="shared" ref="AL468:AL531" si="342">IMARGUMENT(AJ468)</f>
        <v>2.0221483961256972</v>
      </c>
      <c r="AM468" s="31" t="str">
        <f t="shared" si="324"/>
        <v>1+1152.27315459663i</v>
      </c>
      <c r="AN468" s="31">
        <f t="shared" ref="AN468:AN531" si="343">IMABS(AM468)</f>
        <v>1152.2735885214367</v>
      </c>
      <c r="AO468" s="31">
        <f t="shared" ref="AO468:AO531" si="344">IMARGUMENT(AM468)</f>
        <v>1.5699284772359994</v>
      </c>
      <c r="AP468" s="31" t="str">
        <f t="shared" si="325"/>
        <v>1+929.877461678514i</v>
      </c>
      <c r="AQ468" s="31">
        <f t="shared" ref="AQ468:AQ531" si="345">IMABS(AP468)</f>
        <v>929.87799938361616</v>
      </c>
      <c r="AR468" s="31">
        <f t="shared" ref="AR468:AR531" si="346">IMARGUMENT(AP468)</f>
        <v>1.5697209166944168</v>
      </c>
      <c r="AS468" s="58" t="str">
        <f t="shared" ref="AS468:AS531" si="347">IMDIV(IMPRODUCT(AF468,AM468,AP468),IMPRODUCT(AG468,AJ468))</f>
        <v>-2.98100021471177+1.45212219961863i</v>
      </c>
      <c r="AT468" s="49">
        <f t="shared" ref="AT468:AT531" si="348">20*LOG(IMABS(AS468))</f>
        <v>10.41196069608678</v>
      </c>
      <c r="AU468" s="61">
        <f t="shared" ref="AU468:AU531" si="349">(180/PI())*IMARGUMENT(AS468)</f>
        <v>154.02809077586863</v>
      </c>
      <c r="AV468" s="58" t="str">
        <f t="shared" si="326"/>
        <v>-0.0025817000380795-0.0105401781891575i</v>
      </c>
      <c r="AW468" s="64">
        <f t="shared" ref="AW468:AW531" si="350">20*LOG(IMABS(AV468))</f>
        <v>-39.290002434274903</v>
      </c>
      <c r="AX468" s="61">
        <f t="shared" ref="AX468:AX531" si="351">(180/PI())*IMARGUMENT(AV468)</f>
        <v>-103.76300008421434</v>
      </c>
    </row>
    <row r="469" spans="14:50" x14ac:dyDescent="0.35">
      <c r="N469" s="10">
        <v>51</v>
      </c>
      <c r="O469" s="50">
        <f t="shared" si="316"/>
        <v>323593.65692962846</v>
      </c>
      <c r="P469" s="48" t="str">
        <f t="shared" si="317"/>
        <v>547.187404092767</v>
      </c>
      <c r="Q469" s="17" t="str">
        <f t="shared" si="318"/>
        <v>1+38993.3618593639i</v>
      </c>
      <c r="R469" s="17">
        <f t="shared" si="327"/>
        <v>38993.361872186601</v>
      </c>
      <c r="S469" s="17">
        <f t="shared" si="328"/>
        <v>1.5707706814041917</v>
      </c>
      <c r="T469" s="17" t="str">
        <f t="shared" si="319"/>
        <v>1+0.737829951738853i</v>
      </c>
      <c r="U469" s="17">
        <f t="shared" si="329"/>
        <v>1.2427361094307021</v>
      </c>
      <c r="V469" s="17">
        <f t="shared" si="330"/>
        <v>0.63566667143137023</v>
      </c>
      <c r="W469" s="31" t="str">
        <f t="shared" si="320"/>
        <v>1-12.8126000450439i</v>
      </c>
      <c r="X469" s="17">
        <f t="shared" si="331"/>
        <v>12.851564881922318</v>
      </c>
      <c r="Y469" s="17">
        <f t="shared" si="332"/>
        <v>-1.4929060562799017</v>
      </c>
      <c r="Z469" s="31" t="str">
        <f t="shared" si="321"/>
        <v>-33.6158197702777+61.3040145705472i</v>
      </c>
      <c r="AA469" s="17">
        <f t="shared" si="333"/>
        <v>69.915703109485051</v>
      </c>
      <c r="AB469" s="17">
        <f t="shared" si="334"/>
        <v>2.0723688930480675</v>
      </c>
      <c r="AC469" s="66" t="str">
        <f t="shared" si="335"/>
        <v>-0.00067453369765651+0.00313379957348415i</v>
      </c>
      <c r="AD469" s="64">
        <f t="shared" si="336"/>
        <v>-49.881887746892197</v>
      </c>
      <c r="AE469" s="61">
        <f t="shared" si="337"/>
        <v>102.14727942258686</v>
      </c>
      <c r="AF469" s="31" t="str">
        <f t="shared" si="322"/>
        <v>-6627.51882264077</v>
      </c>
      <c r="AG469" s="31" t="str">
        <f t="shared" si="338"/>
        <v>2033198.91071675i</v>
      </c>
      <c r="AH469" s="31">
        <f t="shared" si="339"/>
        <v>2033198.91071675</v>
      </c>
      <c r="AI469" s="31">
        <f t="shared" si="340"/>
        <v>1.5707963267948966</v>
      </c>
      <c r="AJ469" s="31" t="str">
        <f t="shared" si="323"/>
        <v>-492.339364709817+992.49588227183i</v>
      </c>
      <c r="AK469" s="31">
        <f t="shared" si="341"/>
        <v>1107.9016772121092</v>
      </c>
      <c r="AL469" s="31">
        <f t="shared" si="342"/>
        <v>2.0312884727189755</v>
      </c>
      <c r="AM469" s="31" t="str">
        <f t="shared" si="324"/>
        <v>1+1179.11304429197i</v>
      </c>
      <c r="AN469" s="31">
        <f t="shared" si="343"/>
        <v>1179.1134683394459</v>
      </c>
      <c r="AO469" s="31">
        <f t="shared" si="344"/>
        <v>1.5699482318941693</v>
      </c>
      <c r="AP469" s="31" t="str">
        <f t="shared" si="325"/>
        <v>1+951.537090215438i</v>
      </c>
      <c r="AQ469" s="31">
        <f t="shared" si="345"/>
        <v>951.53761568088441</v>
      </c>
      <c r="AR469" s="31">
        <f t="shared" si="346"/>
        <v>1.5697453959986818</v>
      </c>
      <c r="AS469" s="58" t="str">
        <f t="shared" si="347"/>
        <v>-2.95439690777757+1.47256134617936i</v>
      </c>
      <c r="AT469" s="49">
        <f t="shared" si="348"/>
        <v>10.373028859959899</v>
      </c>
      <c r="AU469" s="61">
        <f t="shared" si="349"/>
        <v>153.50693738200599</v>
      </c>
      <c r="AV469" s="58" t="str">
        <f t="shared" si="326"/>
        <v>-0.00262187184803796-0.0102517800193607i</v>
      </c>
      <c r="AW469" s="64">
        <f t="shared" si="350"/>
        <v>-39.508858886932259</v>
      </c>
      <c r="AX469" s="61">
        <f t="shared" si="351"/>
        <v>-104.34578319540707</v>
      </c>
    </row>
    <row r="470" spans="14:50" x14ac:dyDescent="0.35">
      <c r="N470" s="10">
        <v>52</v>
      </c>
      <c r="O470" s="50">
        <f t="shared" si="316"/>
        <v>331131.12148259126</v>
      </c>
      <c r="P470" s="48" t="str">
        <f t="shared" si="317"/>
        <v>547.187404092767</v>
      </c>
      <c r="Q470" s="17" t="str">
        <f t="shared" si="318"/>
        <v>1+39901.6339361548i</v>
      </c>
      <c r="R470" s="17">
        <f t="shared" si="327"/>
        <v>39901.633948685616</v>
      </c>
      <c r="S470" s="17">
        <f t="shared" si="328"/>
        <v>1.5707712651645536</v>
      </c>
      <c r="T470" s="17" t="str">
        <f t="shared" si="319"/>
        <v>1+0.755016219109218i</v>
      </c>
      <c r="U470" s="17">
        <f t="shared" si="329"/>
        <v>1.2530161575646097</v>
      </c>
      <c r="V470" s="17">
        <f t="shared" si="330"/>
        <v>0.64670376673456387</v>
      </c>
      <c r="W470" s="31" t="str">
        <f t="shared" si="320"/>
        <v>1-13.1110438389895i</v>
      </c>
      <c r="X470" s="17">
        <f t="shared" si="331"/>
        <v>13.149124326277571</v>
      </c>
      <c r="Y470" s="17">
        <f t="shared" si="332"/>
        <v>-1.4946721344940661</v>
      </c>
      <c r="Z470" s="31" t="str">
        <f t="shared" si="321"/>
        <v>-35.2472130956427+62.7319685087184i</v>
      </c>
      <c r="AA470" s="17">
        <f t="shared" si="333"/>
        <v>71.955999777561871</v>
      </c>
      <c r="AB470" s="17">
        <f t="shared" si="334"/>
        <v>2.082707106229563</v>
      </c>
      <c r="AC470" s="66" t="str">
        <f t="shared" si="335"/>
        <v>-0.000657460846501659+0.0030704148912326i</v>
      </c>
      <c r="AD470" s="64">
        <f t="shared" si="336"/>
        <v>-50.061361947401423</v>
      </c>
      <c r="AE470" s="61">
        <f t="shared" si="337"/>
        <v>102.08610014357082</v>
      </c>
      <c r="AF470" s="31" t="str">
        <f t="shared" si="322"/>
        <v>-6627.51882264077</v>
      </c>
      <c r="AG470" s="31" t="str">
        <f t="shared" si="338"/>
        <v>2080558.19724932i</v>
      </c>
      <c r="AH470" s="31">
        <f t="shared" si="339"/>
        <v>2080558.1972493201</v>
      </c>
      <c r="AI470" s="31">
        <f t="shared" si="340"/>
        <v>1.5707963267948966</v>
      </c>
      <c r="AJ470" s="31" t="str">
        <f t="shared" si="323"/>
        <v>-515.589732664948+1015.61408119627i</v>
      </c>
      <c r="AK470" s="31">
        <f t="shared" si="341"/>
        <v>1138.9928596587672</v>
      </c>
      <c r="AL470" s="31">
        <f t="shared" si="342"/>
        <v>2.0405555586032409</v>
      </c>
      <c r="AM470" s="31" t="str">
        <f t="shared" si="324"/>
        <v>1+1206.5781153308i</v>
      </c>
      <c r="AN470" s="31">
        <f t="shared" si="343"/>
        <v>1206.5785297257803</v>
      </c>
      <c r="AO470" s="31">
        <f t="shared" si="344"/>
        <v>1.5699675368820598</v>
      </c>
      <c r="AP470" s="31" t="str">
        <f t="shared" si="325"/>
        <v>1+973.70123631268i</v>
      </c>
      <c r="AQ470" s="31">
        <f t="shared" si="345"/>
        <v>973.70174981707908</v>
      </c>
      <c r="AR470" s="31">
        <f t="shared" si="346"/>
        <v>1.5697693180871697</v>
      </c>
      <c r="AS470" s="58" t="str">
        <f t="shared" si="347"/>
        <v>-2.92704403953747+1.49279047791231i</v>
      </c>
      <c r="AT470" s="49">
        <f t="shared" si="348"/>
        <v>10.332632870213887</v>
      </c>
      <c r="AU470" s="61">
        <f t="shared" si="349"/>
        <v>152.97844920148987</v>
      </c>
      <c r="AV470" s="58" t="str">
        <f t="shared" si="326"/>
        <v>-0.00265906926089025-0.00996869089754731i</v>
      </c>
      <c r="AW470" s="64">
        <f t="shared" si="350"/>
        <v>-39.728729077187538</v>
      </c>
      <c r="AX470" s="61">
        <f t="shared" si="351"/>
        <v>-104.93545065493934</v>
      </c>
    </row>
    <row r="471" spans="14:50" x14ac:dyDescent="0.35">
      <c r="N471" s="10">
        <v>53</v>
      </c>
      <c r="O471" s="50">
        <f t="shared" si="316"/>
        <v>338844.15613920329</v>
      </c>
      <c r="P471" s="48" t="str">
        <f t="shared" si="317"/>
        <v>547.187404092767</v>
      </c>
      <c r="Q471" s="17" t="str">
        <f t="shared" si="318"/>
        <v>1+40831.0623874192i</v>
      </c>
      <c r="R471" s="17">
        <f t="shared" si="327"/>
        <v>40831.062399664785</v>
      </c>
      <c r="S471" s="17">
        <f t="shared" si="328"/>
        <v>1.5707718356369074</v>
      </c>
      <c r="T471" s="17" t="str">
        <f t="shared" si="319"/>
        <v>1+0.772602806072774i</v>
      </c>
      <c r="U471" s="17">
        <f t="shared" si="329"/>
        <v>1.2636910603274538</v>
      </c>
      <c r="V471" s="17">
        <f t="shared" si="330"/>
        <v>0.65781066793942189</v>
      </c>
      <c r="W471" s="31" t="str">
        <f t="shared" si="320"/>
        <v>1-13.4164392819237i</v>
      </c>
      <c r="X471" s="17">
        <f t="shared" si="331"/>
        <v>13.453655377091586</v>
      </c>
      <c r="Y471" s="17">
        <f t="shared" si="332"/>
        <v>-1.4963984717278043</v>
      </c>
      <c r="Z471" s="31" t="str">
        <f t="shared" si="321"/>
        <v>-36.955491619732+64.1931837669486i</v>
      </c>
      <c r="AA471" s="17">
        <f t="shared" si="333"/>
        <v>74.070731081806628</v>
      </c>
      <c r="AB471" s="17">
        <f t="shared" si="334"/>
        <v>2.0931503819225825</v>
      </c>
      <c r="AC471" s="66" t="str">
        <f t="shared" si="335"/>
        <v>-0.000640849151089008+0.00300845677499779i</v>
      </c>
      <c r="AD471" s="64">
        <f t="shared" si="336"/>
        <v>-50.240400154079893</v>
      </c>
      <c r="AE471" s="61">
        <f t="shared" si="337"/>
        <v>102.02517856140865</v>
      </c>
      <c r="AF471" s="31" t="str">
        <f t="shared" si="322"/>
        <v>-6627.51882264077</v>
      </c>
      <c r="AG471" s="31" t="str">
        <f t="shared" si="338"/>
        <v>2129020.62327751i</v>
      </c>
      <c r="AH471" s="31">
        <f t="shared" si="339"/>
        <v>2129020.6232775101</v>
      </c>
      <c r="AI471" s="31">
        <f t="shared" si="340"/>
        <v>1.5707963267948966</v>
      </c>
      <c r="AJ471" s="31" t="str">
        <f t="shared" si="323"/>
        <v>-539.93585670345+1039.2707721498i</v>
      </c>
      <c r="AK471" s="31">
        <f t="shared" si="341"/>
        <v>1171.1594542157486</v>
      </c>
      <c r="AL471" s="31">
        <f t="shared" si="342"/>
        <v>2.0499482467826153</v>
      </c>
      <c r="AM471" s="31" t="str">
        <f t="shared" si="324"/>
        <v>1+1234.68293005733i</v>
      </c>
      <c r="AN471" s="31">
        <f t="shared" si="343"/>
        <v>1234.6833350195318</v>
      </c>
      <c r="AO471" s="31">
        <f t="shared" si="344"/>
        <v>1.5699864024353736</v>
      </c>
      <c r="AP471" s="31" t="str">
        <f t="shared" si="325"/>
        <v>1+996.381651693873i</v>
      </c>
      <c r="AQ471" s="31">
        <f t="shared" si="345"/>
        <v>996.38215350949076</v>
      </c>
      <c r="AR471" s="31">
        <f t="shared" si="346"/>
        <v>1.5697926956435788</v>
      </c>
      <c r="AS471" s="58" t="str">
        <f t="shared" si="347"/>
        <v>-2.89893971086238+1.51277868506181i</v>
      </c>
      <c r="AT471" s="49">
        <f t="shared" si="348"/>
        <v>10.290731987550622</v>
      </c>
      <c r="AU471" s="61">
        <f t="shared" si="349"/>
        <v>152.44270816242962</v>
      </c>
      <c r="AV471" s="58" t="str">
        <f t="shared" si="326"/>
        <v>-0.00269334623138208-0.00969079774956147i</v>
      </c>
      <c r="AW471" s="64">
        <f t="shared" si="350"/>
        <v>-39.949668166529264</v>
      </c>
      <c r="AX471" s="61">
        <f t="shared" si="351"/>
        <v>-105.53211327616172</v>
      </c>
    </row>
    <row r="472" spans="14:50" x14ac:dyDescent="0.35">
      <c r="N472" s="10">
        <v>54</v>
      </c>
      <c r="O472" s="50">
        <f t="shared" si="316"/>
        <v>346736.85045253241</v>
      </c>
      <c r="P472" s="48" t="str">
        <f t="shared" si="317"/>
        <v>547.187404092767</v>
      </c>
      <c r="Q472" s="17" t="str">
        <f t="shared" si="318"/>
        <v>1+41782.1400084244i</v>
      </c>
      <c r="R472" s="17">
        <f t="shared" si="327"/>
        <v>41782.140020391242</v>
      </c>
      <c r="S472" s="17">
        <f t="shared" si="328"/>
        <v>1.570772393123725</v>
      </c>
      <c r="T472" s="17" t="str">
        <f t="shared" si="319"/>
        <v>1+0.790599037270716i</v>
      </c>
      <c r="U472" s="17">
        <f t="shared" si="329"/>
        <v>1.2747732495363178</v>
      </c>
      <c r="V472" s="17">
        <f t="shared" si="330"/>
        <v>0.66898230306947049</v>
      </c>
      <c r="W472" s="31" t="str">
        <f t="shared" si="320"/>
        <v>1-13.7289482985528i</v>
      </c>
      <c r="X472" s="17">
        <f t="shared" si="331"/>
        <v>13.765319516245739</v>
      </c>
      <c r="Y472" s="17">
        <f t="shared" si="332"/>
        <v>-1.4980859421257391</v>
      </c>
      <c r="Z472" s="31" t="str">
        <f t="shared" si="321"/>
        <v>-38.7442788303281+65.6884351009092i</v>
      </c>
      <c r="AA472" s="17">
        <f t="shared" si="333"/>
        <v>76.263291615878813</v>
      </c>
      <c r="AB472" s="17">
        <f t="shared" si="334"/>
        <v>2.1036960698685494</v>
      </c>
      <c r="AC472" s="66" t="str">
        <f t="shared" si="335"/>
        <v>-0.000624674681731745+0.00294788736717691i</v>
      </c>
      <c r="AD472" s="64">
        <f t="shared" si="336"/>
        <v>-50.419017930324443</v>
      </c>
      <c r="AE472" s="61">
        <f t="shared" si="337"/>
        <v>101.96432581975806</v>
      </c>
      <c r="AF472" s="31" t="str">
        <f t="shared" si="322"/>
        <v>-6627.51882264077</v>
      </c>
      <c r="AG472" s="31" t="str">
        <f t="shared" si="338"/>
        <v>2178611.88422108i</v>
      </c>
      <c r="AH472" s="31">
        <f t="shared" si="339"/>
        <v>2178611.8842210802</v>
      </c>
      <c r="AI472" s="31">
        <f t="shared" si="340"/>
        <v>1.5707963267948966</v>
      </c>
      <c r="AJ472" s="31" t="str">
        <f t="shared" si="323"/>
        <v>-565.429378218554+1063.4784982231i</v>
      </c>
      <c r="AK472" s="31">
        <f t="shared" si="341"/>
        <v>1204.4487942355543</v>
      </c>
      <c r="AL472" s="31">
        <f t="shared" si="342"/>
        <v>2.0594649346818517</v>
      </c>
      <c r="AM472" s="31" t="str">
        <f t="shared" si="324"/>
        <v>1+1263.44239001633i</v>
      </c>
      <c r="AN472" s="31">
        <f t="shared" si="343"/>
        <v>1263.4427857604696</v>
      </c>
      <c r="AO472" s="31">
        <f t="shared" si="344"/>
        <v>1.5700048385568226</v>
      </c>
      <c r="AP472" s="31" t="str">
        <f t="shared" si="325"/>
        <v>1+1019.59036181546i</v>
      </c>
      <c r="AQ472" s="31">
        <f t="shared" si="345"/>
        <v>1019.5908522083655</v>
      </c>
      <c r="AR472" s="31">
        <f t="shared" si="346"/>
        <v>1.5698155410628969</v>
      </c>
      <c r="AS472" s="58" t="str">
        <f t="shared" si="347"/>
        <v>-2.87008355346752+1.53249429828186i</v>
      </c>
      <c r="AT472" s="49">
        <f t="shared" si="348"/>
        <v>10.247285410764455</v>
      </c>
      <c r="AU472" s="61">
        <f t="shared" si="349"/>
        <v>151.89980736891789</v>
      </c>
      <c r="AV472" s="58" t="str">
        <f t="shared" si="326"/>
        <v>-0.0027247520518699-0.00941799343804405i</v>
      </c>
      <c r="AW472" s="64">
        <f t="shared" si="350"/>
        <v>-40.171732519559995</v>
      </c>
      <c r="AX472" s="61">
        <f t="shared" si="351"/>
        <v>-106.13586681132405</v>
      </c>
    </row>
    <row r="473" spans="14:50" x14ac:dyDescent="0.35">
      <c r="N473" s="10">
        <v>55</v>
      </c>
      <c r="O473" s="50">
        <f t="shared" si="316"/>
        <v>354813.38923357555</v>
      </c>
      <c r="P473" s="48" t="str">
        <f t="shared" si="317"/>
        <v>547.187404092767</v>
      </c>
      <c r="Q473" s="17" t="str">
        <f t="shared" si="318"/>
        <v>1+42755.3710731138i</v>
      </c>
      <c r="R473" s="17">
        <f t="shared" si="327"/>
        <v>42755.371084808241</v>
      </c>
      <c r="S473" s="17">
        <f t="shared" si="328"/>
        <v>1.5707729379205935</v>
      </c>
      <c r="T473" s="17" t="str">
        <f t="shared" si="319"/>
        <v>1+0.809014454543031i</v>
      </c>
      <c r="U473" s="17">
        <f t="shared" si="329"/>
        <v>1.2862753933973696</v>
      </c>
      <c r="V473" s="17">
        <f t="shared" si="330"/>
        <v>0.68021344178147924</v>
      </c>
      <c r="W473" s="31" t="str">
        <f t="shared" si="320"/>
        <v>1-14.0487365852938i</v>
      </c>
      <c r="X473" s="17">
        <f t="shared" si="331"/>
        <v>14.084282006654528</v>
      </c>
      <c r="Y473" s="17">
        <f t="shared" si="332"/>
        <v>-1.4997354019441378</v>
      </c>
      <c r="Z473" s="31" t="str">
        <f t="shared" si="321"/>
        <v>-40.6173689849311+67.2185153126491i</v>
      </c>
      <c r="AA473" s="17">
        <f t="shared" si="333"/>
        <v>78.537248895634761</v>
      </c>
      <c r="AB473" s="17">
        <f t="shared" si="334"/>
        <v>2.1143413013369994</v>
      </c>
      <c r="AC473" s="66" t="str">
        <f t="shared" si="335"/>
        <v>-0.000608914936043128+0.00288866949533758i</v>
      </c>
      <c r="AD473" s="64">
        <f t="shared" si="336"/>
        <v>-50.597231975652818</v>
      </c>
      <c r="AE473" s="61">
        <f t="shared" si="337"/>
        <v>101.90335753136819</v>
      </c>
      <c r="AF473" s="31" t="str">
        <f t="shared" si="322"/>
        <v>-6627.51882264077</v>
      </c>
      <c r="AG473" s="31" t="str">
        <f t="shared" si="338"/>
        <v>2229358.27402299i</v>
      </c>
      <c r="AH473" s="31">
        <f t="shared" si="339"/>
        <v>2229358.2740229899</v>
      </c>
      <c r="AI473" s="31">
        <f t="shared" si="340"/>
        <v>1.5707963267948966</v>
      </c>
      <c r="AJ473" s="31" t="str">
        <f t="shared" si="323"/>
        <v>-592.124372387361+1088.25009467295i</v>
      </c>
      <c r="AK473" s="31">
        <f t="shared" si="341"/>
        <v>1238.9106266921801</v>
      </c>
      <c r="AL473" s="31">
        <f t="shared" si="342"/>
        <v>2.0691038196413096</v>
      </c>
      <c r="AM473" s="31" t="str">
        <f t="shared" si="324"/>
        <v>1+1292.87174385415i</v>
      </c>
      <c r="AN473" s="31">
        <f t="shared" si="343"/>
        <v>1292.8721305900563</v>
      </c>
      <c r="AO473" s="31">
        <f t="shared" si="344"/>
        <v>1.5700228550214326</v>
      </c>
      <c r="AP473" s="31" t="str">
        <f t="shared" si="325"/>
        <v>1+1043.33967224276i</v>
      </c>
      <c r="AQ473" s="31">
        <f t="shared" si="345"/>
        <v>1043.3401514729651</v>
      </c>
      <c r="AR473" s="31">
        <f t="shared" si="346"/>
        <v>1.569837866457972</v>
      </c>
      <c r="AS473" s="58" t="str">
        <f t="shared" si="347"/>
        <v>-2.84047681531823+1.55190496708251i</v>
      </c>
      <c r="AT473" s="49">
        <f t="shared" si="348"/>
        <v>10.202252362157012</v>
      </c>
      <c r="AU473" s="61">
        <f t="shared" si="349"/>
        <v>151.34985135982666</v>
      </c>
      <c r="AV473" s="58" t="str">
        <f t="shared" si="326"/>
        <v>-0.00275333177974263-0.00915017684239947i</v>
      </c>
      <c r="AW473" s="64">
        <f t="shared" si="350"/>
        <v>-40.394979613495792</v>
      </c>
      <c r="AX473" s="61">
        <f t="shared" si="351"/>
        <v>-106.74679110880516</v>
      </c>
    </row>
    <row r="474" spans="14:50" x14ac:dyDescent="0.35">
      <c r="N474" s="10">
        <v>56</v>
      </c>
      <c r="O474" s="50">
        <f t="shared" si="316"/>
        <v>363078.05477010203</v>
      </c>
      <c r="P474" s="48" t="str">
        <f t="shared" si="317"/>
        <v>547.187404092767</v>
      </c>
      <c r="Q474" s="17" t="str">
        <f t="shared" si="318"/>
        <v>1+43751.2716014807i</v>
      </c>
      <c r="R474" s="17">
        <f t="shared" si="327"/>
        <v>43751.271612908939</v>
      </c>
      <c r="S474" s="17">
        <f t="shared" si="328"/>
        <v>1.5707734703163709</v>
      </c>
      <c r="T474" s="17" t="str">
        <f t="shared" si="319"/>
        <v>1+0.827858821987723i</v>
      </c>
      <c r="U474" s="17">
        <f t="shared" si="329"/>
        <v>1.2982103947908059</v>
      </c>
      <c r="V474" s="17">
        <f t="shared" si="330"/>
        <v>0.69149870618231435</v>
      </c>
      <c r="W474" s="31" t="str">
        <f t="shared" si="320"/>
        <v>1-14.3759736981294i</v>
      </c>
      <c r="X474" s="17">
        <f t="shared" si="331"/>
        <v>14.410711979958114</v>
      </c>
      <c r="Y474" s="17">
        <f t="shared" si="332"/>
        <v>-1.5013476898265772</v>
      </c>
      <c r="Z474" s="31" t="str">
        <f t="shared" si="321"/>
        <v>-42.5787351588898+68.7842356709506i</v>
      </c>
      <c r="AA474" s="17">
        <f t="shared" si="333"/>
        <v>80.8963519855361</v>
      </c>
      <c r="AB474" s="17">
        <f t="shared" si="334"/>
        <v>2.1250829893919483</v>
      </c>
      <c r="AC474" s="66" t="str">
        <f t="shared" si="335"/>
        <v>-0.000593548793587386+0.00283076667976234i</v>
      </c>
      <c r="AD474" s="64">
        <f t="shared" si="336"/>
        <v>-50.775060112616742</v>
      </c>
      <c r="AE474" s="61">
        <f t="shared" si="337"/>
        <v>101.84209436677573</v>
      </c>
      <c r="AF474" s="31" t="str">
        <f t="shared" si="322"/>
        <v>-6627.51882264077</v>
      </c>
      <c r="AG474" s="31" t="str">
        <f t="shared" si="338"/>
        <v>2281286.69909085i</v>
      </c>
      <c r="AH474" s="31">
        <f t="shared" si="339"/>
        <v>2281286.6990908501</v>
      </c>
      <c r="AI474" s="31">
        <f t="shared" si="340"/>
        <v>1.5707963267948966</v>
      </c>
      <c r="AJ474" s="31" t="str">
        <f t="shared" si="323"/>
        <v>-620.077462871583+1113.5986957277i</v>
      </c>
      <c r="AK474" s="31">
        <f t="shared" si="341"/>
        <v>1274.597236419291</v>
      </c>
      <c r="AL474" s="31">
        <f t="shared" si="342"/>
        <v>2.0788628949298351</v>
      </c>
      <c r="AM474" s="31" t="str">
        <f t="shared" si="324"/>
        <v>1+1322.98659540376i</v>
      </c>
      <c r="AN474" s="31">
        <f t="shared" si="343"/>
        <v>1322.9869733364847</v>
      </c>
      <c r="AO474" s="31">
        <f t="shared" si="344"/>
        <v>1.5700404613817247</v>
      </c>
      <c r="AP474" s="31" t="str">
        <f t="shared" si="325"/>
        <v>1+1067.64217517452i</v>
      </c>
      <c r="AQ474" s="31">
        <f t="shared" si="345"/>
        <v>1067.6426434961186</v>
      </c>
      <c r="AR474" s="31">
        <f t="shared" si="346"/>
        <v>1.5698596836659353</v>
      </c>
      <c r="AS474" s="58" t="str">
        <f t="shared" si="347"/>
        <v>-2.81012244240767+1.57097774715267i</v>
      </c>
      <c r="AT474" s="49">
        <f t="shared" si="348"/>
        <v>10.15559217749183</v>
      </c>
      <c r="AU474" s="61">
        <f t="shared" si="349"/>
        <v>150.79295633791804</v>
      </c>
      <c r="AV474" s="58" t="str">
        <f t="shared" si="326"/>
        <v>-0.00277912667576397-0.00888725292259509i</v>
      </c>
      <c r="AW474" s="64">
        <f t="shared" si="350"/>
        <v>-40.619467935124916</v>
      </c>
      <c r="AX474" s="61">
        <f t="shared" si="351"/>
        <v>-107.3649492953062</v>
      </c>
    </row>
    <row r="475" spans="14:50" x14ac:dyDescent="0.35">
      <c r="N475" s="10">
        <v>57</v>
      </c>
      <c r="O475" s="50">
        <f t="shared" si="316"/>
        <v>371535.2290971732</v>
      </c>
      <c r="P475" s="48" t="str">
        <f t="shared" si="317"/>
        <v>547.187404092767</v>
      </c>
      <c r="Q475" s="17" t="str">
        <f t="shared" si="318"/>
        <v>1+44770.3696331672i</v>
      </c>
      <c r="R475" s="17">
        <f t="shared" si="327"/>
        <v>44770.369644335304</v>
      </c>
      <c r="S475" s="17">
        <f t="shared" si="328"/>
        <v>1.5707739905933413</v>
      </c>
      <c r="T475" s="17" t="str">
        <f t="shared" si="319"/>
        <v>1+0.847142131137837i</v>
      </c>
      <c r="U475" s="17">
        <f t="shared" si="329"/>
        <v>1.3105913895447185</v>
      </c>
      <c r="V475" s="17">
        <f t="shared" si="330"/>
        <v>0.70283258250938796</v>
      </c>
      <c r="W475" s="31" t="str">
        <f t="shared" si="320"/>
        <v>1-14.7108331425083i</v>
      </c>
      <c r="X475" s="17">
        <f t="shared" si="331"/>
        <v>14.744782526260622</v>
      </c>
      <c r="Y475" s="17">
        <f t="shared" si="332"/>
        <v>-1.5029236270818274</v>
      </c>
      <c r="Z475" s="31" t="str">
        <f t="shared" si="321"/>
        <v>-44.6325376728229+70.3864263414716i</v>
      </c>
      <c r="AA475" s="17">
        <f t="shared" si="333"/>
        <v>83.344540506498461</v>
      </c>
      <c r="AB475" s="17">
        <f t="shared" si="334"/>
        <v>2.1359178300231267</v>
      </c>
      <c r="AC475" s="66" t="str">
        <f t="shared" si="335"/>
        <v>-0.000578556471362094+0.0027741431418991i</v>
      </c>
      <c r="AD475" s="64">
        <f t="shared" si="336"/>
        <v>-50.952521265511379</v>
      </c>
      <c r="AE475" s="61">
        <f t="shared" si="337"/>
        <v>101.78036264279895</v>
      </c>
      <c r="AF475" s="31" t="str">
        <f t="shared" si="322"/>
        <v>-6627.51882264077</v>
      </c>
      <c r="AG475" s="31" t="str">
        <f t="shared" si="338"/>
        <v>2334424.69256296i</v>
      </c>
      <c r="AH475" s="31">
        <f t="shared" si="339"/>
        <v>2334424.6925629601</v>
      </c>
      <c r="AI475" s="31">
        <f t="shared" si="340"/>
        <v>1.5707963267948966</v>
      </c>
      <c r="AJ475" s="31" t="str">
        <f t="shared" si="323"/>
        <v>-649.347941923857+1139.53774155115i</v>
      </c>
      <c r="AK475" s="31">
        <f t="shared" si="341"/>
        <v>1311.5635760801854</v>
      </c>
      <c r="AL475" s="31">
        <f t="shared" si="342"/>
        <v>2.0887399463308576</v>
      </c>
      <c r="AM475" s="31" t="str">
        <f t="shared" si="324"/>
        <v>1+1353.80291195804i</v>
      </c>
      <c r="AN475" s="31">
        <f t="shared" si="343"/>
        <v>1353.8032812879678</v>
      </c>
      <c r="AO475" s="31">
        <f t="shared" si="344"/>
        <v>1.5700576669727806</v>
      </c>
      <c r="AP475" s="31" t="str">
        <f t="shared" si="325"/>
        <v>1+1092.51075611946i</v>
      </c>
      <c r="AQ475" s="31">
        <f t="shared" si="345"/>
        <v>1092.5112137807621</v>
      </c>
      <c r="AR475" s="31">
        <f t="shared" si="346"/>
        <v>1.569881004254476</v>
      </c>
      <c r="AS475" s="58" t="str">
        <f t="shared" si="347"/>
        <v>-2.77902515598195+1.5896791965183i</v>
      </c>
      <c r="AT475" s="49">
        <f t="shared" si="348"/>
        <v>10.107264400268877</v>
      </c>
      <c r="AU475" s="61">
        <f t="shared" si="349"/>
        <v>150.22925036609743</v>
      </c>
      <c r="AV475" s="58" t="str">
        <f t="shared" si="326"/>
        <v>-0.0028021746527695-0.00862913276416776i</v>
      </c>
      <c r="AW475" s="64">
        <f t="shared" si="350"/>
        <v>-40.845256865242511</v>
      </c>
      <c r="AX475" s="61">
        <f t="shared" si="351"/>
        <v>-107.99038699110362</v>
      </c>
    </row>
    <row r="476" spans="14:50" x14ac:dyDescent="0.35">
      <c r="N476" s="10">
        <v>58</v>
      </c>
      <c r="O476" s="50">
        <f t="shared" si="316"/>
        <v>380189.39632056188</v>
      </c>
      <c r="P476" s="48" t="str">
        <f t="shared" si="317"/>
        <v>547.187404092767</v>
      </c>
      <c r="Q476" s="17" t="str">
        <f t="shared" si="318"/>
        <v>1+45813.205507439i</v>
      </c>
      <c r="R476" s="17">
        <f t="shared" si="327"/>
        <v>45813.205518352894</v>
      </c>
      <c r="S476" s="17">
        <f t="shared" si="328"/>
        <v>1.5707744990273618</v>
      </c>
      <c r="T476" s="17" t="str">
        <f t="shared" si="319"/>
        <v>1+0.866874606259132i</v>
      </c>
      <c r="U476" s="17">
        <f t="shared" si="329"/>
        <v>1.3234317447367374</v>
      </c>
      <c r="V476" s="17">
        <f t="shared" si="330"/>
        <v>0.71420943362127354</v>
      </c>
      <c r="W476" s="31" t="str">
        <f t="shared" si="320"/>
        <v>1-15.0534924653402i</v>
      </c>
      <c r="X476" s="17">
        <f t="shared" si="331"/>
        <v>15.08667078596382</v>
      </c>
      <c r="Y476" s="17">
        <f t="shared" si="332"/>
        <v>-1.5044640179633728</v>
      </c>
      <c r="Z476" s="31" t="str">
        <f t="shared" si="321"/>
        <v>-46.783132917221+72.0259368269134i</v>
      </c>
      <c r="AA476" s="17">
        <f t="shared" si="333"/>
        <v>85.885954039906238</v>
      </c>
      <c r="AB476" s="17">
        <f t="shared" si="334"/>
        <v>2.1468423041794598</v>
      </c>
      <c r="AC476" s="66" t="str">
        <f t="shared" si="335"/>
        <v>-0.000563919479887881+0.00271876381361685i</v>
      </c>
      <c r="AD476" s="64">
        <f t="shared" si="336"/>
        <v>-51.129635430761809</v>
      </c>
      <c r="AE476" s="61">
        <f t="shared" si="337"/>
        <v>101.71799490566457</v>
      </c>
      <c r="AF476" s="31" t="str">
        <f t="shared" si="322"/>
        <v>-6627.51882264077</v>
      </c>
      <c r="AG476" s="31" t="str">
        <f t="shared" si="338"/>
        <v>2388800.42890683i</v>
      </c>
      <c r="AH476" s="31">
        <f t="shared" si="339"/>
        <v>2388800.42890683</v>
      </c>
      <c r="AI476" s="31">
        <f t="shared" si="340"/>
        <v>1.5707963267948966</v>
      </c>
      <c r="AJ476" s="31" t="str">
        <f t="shared" si="323"/>
        <v>-679.997896154619+1166.08098536873i</v>
      </c>
      <c r="AK476" s="31">
        <f t="shared" si="341"/>
        <v>1349.8674020855588</v>
      </c>
      <c r="AL476" s="31">
        <f t="shared" si="342"/>
        <v>2.098732549356626</v>
      </c>
      <c r="AM476" s="31" t="str">
        <f t="shared" si="324"/>
        <v>1+1385.33703273594i</v>
      </c>
      <c r="AN476" s="31">
        <f t="shared" si="343"/>
        <v>1385.3373936588948</v>
      </c>
      <c r="AO476" s="31">
        <f t="shared" si="344"/>
        <v>1.5700744809171914</v>
      </c>
      <c r="AP476" s="31" t="str">
        <f t="shared" si="325"/>
        <v>1+1117.95860072839i</v>
      </c>
      <c r="AQ476" s="31">
        <f t="shared" si="345"/>
        <v>1117.9590479720532</v>
      </c>
      <c r="AR476" s="31">
        <f t="shared" si="346"/>
        <v>1.5699018395279747</v>
      </c>
      <c r="AS476" s="58" t="str">
        <f t="shared" si="347"/>
        <v>-2.74719152425824+1.60797548039625i</v>
      </c>
      <c r="AT476" s="49">
        <f t="shared" si="348"/>
        <v>10.057228880045264</v>
      </c>
      <c r="AU476" s="61">
        <f t="shared" si="349"/>
        <v>149.65887352765932</v>
      </c>
      <c r="AV476" s="58" t="str">
        <f t="shared" si="326"/>
        <v>-0.00282251073377239-0.00837573360180574i</v>
      </c>
      <c r="AW476" s="64">
        <f t="shared" si="350"/>
        <v>-41.072406550716551</v>
      </c>
      <c r="AX476" s="61">
        <f t="shared" si="351"/>
        <v>-108.62313156667611</v>
      </c>
    </row>
    <row r="477" spans="14:50" x14ac:dyDescent="0.35">
      <c r="N477" s="10">
        <v>59</v>
      </c>
      <c r="O477" s="50">
        <f t="shared" si="316"/>
        <v>389045.14499428123</v>
      </c>
      <c r="P477" s="48" t="str">
        <f t="shared" si="317"/>
        <v>547.187404092767</v>
      </c>
      <c r="Q477" s="17" t="str">
        <f t="shared" si="318"/>
        <v>1+46880.3321496804i</v>
      </c>
      <c r="R477" s="17">
        <f t="shared" si="327"/>
        <v>46880.332160345853</v>
      </c>
      <c r="S477" s="17">
        <f t="shared" si="328"/>
        <v>1.5707749958880111</v>
      </c>
      <c r="T477" s="17" t="str">
        <f t="shared" si="319"/>
        <v>1+0.887066709771108i</v>
      </c>
      <c r="U477" s="17">
        <f t="shared" si="329"/>
        <v>1.3367450570636643</v>
      </c>
      <c r="V477" s="17">
        <f t="shared" si="330"/>
        <v>0.72562351223619881</v>
      </c>
      <c r="W477" s="31" t="str">
        <f t="shared" si="320"/>
        <v>1-15.4041333491338i</v>
      </c>
      <c r="X477" s="17">
        <f t="shared" si="331"/>
        <v>15.436558043744601</v>
      </c>
      <c r="Y477" s="17">
        <f t="shared" si="332"/>
        <v>-1.5059696499500319</v>
      </c>
      <c r="Z477" s="31" t="str">
        <f t="shared" si="321"/>
        <v>-49.0350825929328+73.7036364174368i</v>
      </c>
      <c r="AA477" s="17">
        <f t="shared" si="333"/>
        <v>88.524941943214273</v>
      </c>
      <c r="AB477" s="17">
        <f t="shared" si="334"/>
        <v>2.1578526807364575</v>
      </c>
      <c r="AC477" s="66" t="str">
        <f t="shared" si="335"/>
        <v>-0.000549620579695559+0.00266459434714923i</v>
      </c>
      <c r="AD477" s="64">
        <f t="shared" si="336"/>
        <v>-51.306423638949411</v>
      </c>
      <c r="AE477" s="61">
        <f t="shared" si="337"/>
        <v>101.65483050341096</v>
      </c>
      <c r="AF477" s="31" t="str">
        <f t="shared" si="322"/>
        <v>-6627.51882264077</v>
      </c>
      <c r="AG477" s="31" t="str">
        <f t="shared" si="338"/>
        <v>2444442.73885762i</v>
      </c>
      <c r="AH477" s="31">
        <f t="shared" si="339"/>
        <v>2444442.7388576199</v>
      </c>
      <c r="AI477" s="31">
        <f t="shared" si="340"/>
        <v>1.5707963267948966</v>
      </c>
      <c r="AJ477" s="31" t="str">
        <f t="shared" si="323"/>
        <v>-712.092338226103+1193.24250075965i</v>
      </c>
      <c r="AK477" s="31">
        <f t="shared" si="341"/>
        <v>1389.5694166825429</v>
      </c>
      <c r="AL477" s="31">
        <f t="shared" si="342"/>
        <v>2.1088380671440996</v>
      </c>
      <c r="AM477" s="31" t="str">
        <f t="shared" si="324"/>
        <v>1+1417.6056775457i</v>
      </c>
      <c r="AN477" s="31">
        <f t="shared" si="343"/>
        <v>1417.6060302530473</v>
      </c>
      <c r="AO477" s="31">
        <f t="shared" si="344"/>
        <v>1.5700909121298952</v>
      </c>
      <c r="AP477" s="31" t="str">
        <f t="shared" si="325"/>
        <v>1+1143.99920178536i</v>
      </c>
      <c r="AQ477" s="31">
        <f t="shared" si="345"/>
        <v>1143.9996388485183</v>
      </c>
      <c r="AR477" s="31">
        <f t="shared" si="346"/>
        <v>1.5699222005334967</v>
      </c>
      <c r="AS477" s="58" t="str">
        <f t="shared" si="347"/>
        <v>-2.71463002766367+1.62583248449712i</v>
      </c>
      <c r="AT477" s="49">
        <f t="shared" si="348"/>
        <v>10.005445874476093</v>
      </c>
      <c r="AU477" s="61">
        <f t="shared" si="349"/>
        <v>149.08197804746607</v>
      </c>
      <c r="AV477" s="58" t="str">
        <f t="shared" si="326"/>
        <v>-0.00284016751813914-0.00812697881893135i</v>
      </c>
      <c r="AW477" s="64">
        <f t="shared" si="350"/>
        <v>-41.300977764473316</v>
      </c>
      <c r="AX477" s="61">
        <f t="shared" si="351"/>
        <v>-109.263191449123</v>
      </c>
    </row>
    <row r="478" spans="14:50" x14ac:dyDescent="0.35">
      <c r="N478" s="10">
        <v>60</v>
      </c>
      <c r="O478" s="50">
        <f t="shared" si="316"/>
        <v>398107.17055349716</v>
      </c>
      <c r="P478" s="48" t="str">
        <f t="shared" si="317"/>
        <v>547.187404092767</v>
      </c>
      <c r="Q478" s="17" t="str">
        <f t="shared" si="318"/>
        <v>1+47972.315364562i</v>
      </c>
      <c r="R478" s="17">
        <f t="shared" si="327"/>
        <v>47972.315374984675</v>
      </c>
      <c r="S478" s="17">
        <f t="shared" si="328"/>
        <v>1.5707754814387311</v>
      </c>
      <c r="T478" s="17" t="str">
        <f t="shared" si="319"/>
        <v>1+0.907729147794318i</v>
      </c>
      <c r="U478" s="17">
        <f t="shared" si="329"/>
        <v>1.350545151320532</v>
      </c>
      <c r="V478" s="17">
        <f t="shared" si="330"/>
        <v>0.7370689748479784</v>
      </c>
      <c r="W478" s="31" t="str">
        <f t="shared" si="320"/>
        <v>1-15.7629417083268i</v>
      </c>
      <c r="X478" s="17">
        <f t="shared" si="331"/>
        <v>15.79462982472551</v>
      </c>
      <c r="Y478" s="17">
        <f t="shared" si="332"/>
        <v>-1.5074412940271646</v>
      </c>
      <c r="Z478" s="31" t="str">
        <f t="shared" si="321"/>
        <v>-51.3931633871443+75.4204146515715i</v>
      </c>
      <c r="AA478" s="17">
        <f t="shared" si="333"/>
        <v>91.266073593382401</v>
      </c>
      <c r="AB478" s="17">
        <f t="shared" si="334"/>
        <v>2.1689450204230725</v>
      </c>
      <c r="AC478" s="66" t="str">
        <f t="shared" si="335"/>
        <v>-0.000535643738017085+0.00261160112558954i</v>
      </c>
      <c r="AD478" s="64">
        <f t="shared" si="336"/>
        <v>-51.482907908536497</v>
      </c>
      <c r="AE478" s="61">
        <f t="shared" si="337"/>
        <v>101.59071614209994</v>
      </c>
      <c r="AF478" s="31" t="str">
        <f t="shared" si="322"/>
        <v>-6627.51882264077</v>
      </c>
      <c r="AG478" s="31" t="str">
        <f t="shared" si="338"/>
        <v>2501381.12470457i</v>
      </c>
      <c r="AH478" s="31">
        <f t="shared" si="339"/>
        <v>2501381.12470457</v>
      </c>
      <c r="AI478" s="31">
        <f t="shared" si="340"/>
        <v>1.5707963267948966</v>
      </c>
      <c r="AJ478" s="31" t="str">
        <f t="shared" si="323"/>
        <v>-745.699344752917+1221.03668911891i</v>
      </c>
      <c r="AK478" s="31">
        <f t="shared" si="341"/>
        <v>1430.7334164474526</v>
      </c>
      <c r="AL478" s="31">
        <f t="shared" si="342"/>
        <v>2.1190536490842913</v>
      </c>
      <c r="AM478" s="31" t="str">
        <f t="shared" si="324"/>
        <v>1+1450.62595564992i</v>
      </c>
      <c r="AN478" s="31">
        <f t="shared" si="343"/>
        <v>1450.6263003286695</v>
      </c>
      <c r="AO478" s="31">
        <f t="shared" si="344"/>
        <v>1.5701069693229028</v>
      </c>
      <c r="AP478" s="31" t="str">
        <f t="shared" si="325"/>
        <v>1+1170.64636636174i</v>
      </c>
      <c r="AQ478" s="31">
        <f t="shared" si="345"/>
        <v>1170.6467934761301</v>
      </c>
      <c r="AR478" s="31">
        <f t="shared" si="346"/>
        <v>1.5699420980666494</v>
      </c>
      <c r="AS478" s="58" t="str">
        <f t="shared" si="347"/>
        <v>-2.68135111661686+1.64321593641983i</v>
      </c>
      <c r="AT478" s="49">
        <f t="shared" si="348"/>
        <v>9.9518761546985957</v>
      </c>
      <c r="AU478" s="61">
        <f t="shared" si="349"/>
        <v>148.49872837108552</v>
      </c>
      <c r="AV478" s="58" t="str">
        <f t="shared" si="326"/>
        <v>-0.00285517565409976-0.00788279792081052i</v>
      </c>
      <c r="AW478" s="64">
        <f t="shared" si="350"/>
        <v>-41.531031753837901</v>
      </c>
      <c r="AX478" s="61">
        <f t="shared" si="351"/>
        <v>-109.91055548681454</v>
      </c>
    </row>
    <row r="479" spans="14:50" x14ac:dyDescent="0.35">
      <c r="N479" s="10">
        <v>61</v>
      </c>
      <c r="O479" s="50">
        <f t="shared" si="316"/>
        <v>407380.27780411334</v>
      </c>
      <c r="P479" s="48" t="str">
        <f t="shared" si="317"/>
        <v>547.187404092767</v>
      </c>
      <c r="Q479" s="17" t="str">
        <f t="shared" si="318"/>
        <v>1+49089.7341360387i</v>
      </c>
      <c r="R479" s="17">
        <f t="shared" si="327"/>
        <v>49089.734146224131</v>
      </c>
      <c r="S479" s="17">
        <f t="shared" si="328"/>
        <v>1.5707759559369676</v>
      </c>
      <c r="T479" s="17" t="str">
        <f t="shared" si="319"/>
        <v>1+0.928872875826907i</v>
      </c>
      <c r="U479" s="17">
        <f t="shared" si="329"/>
        <v>1.3648460790312396</v>
      </c>
      <c r="V479" s="17">
        <f t="shared" si="330"/>
        <v>0.74853989624129047</v>
      </c>
      <c r="W479" s="31" t="str">
        <f t="shared" si="320"/>
        <v>1-16.1301077878608i</v>
      </c>
      <c r="X479" s="17">
        <f t="shared" si="331"/>
        <v>16.161075992891302</v>
      </c>
      <c r="Y479" s="17">
        <f t="shared" si="332"/>
        <v>-1.5088797049680251</v>
      </c>
      <c r="Z479" s="31" t="str">
        <f t="shared" si="321"/>
        <v>-53.862377105374+77.1771817878619i</v>
      </c>
      <c r="AA479" s="17">
        <f t="shared" si="333"/>
        <v>94.114149075249031</v>
      </c>
      <c r="AB479" s="17">
        <f t="shared" si="334"/>
        <v>2.1801151807265637</v>
      </c>
      <c r="AC479" s="66" t="str">
        <f t="shared" si="335"/>
        <v>-0.000521974085505382+0.00255975127378549i</v>
      </c>
      <c r="AD479" s="64">
        <f t="shared" si="336"/>
        <v>-51.659111191439671</v>
      </c>
      <c r="AE479" s="61">
        <f t="shared" si="337"/>
        <v>101.52550642032537</v>
      </c>
      <c r="AF479" s="31" t="str">
        <f t="shared" si="322"/>
        <v>-6627.51882264077</v>
      </c>
      <c r="AG479" s="31" t="str">
        <f t="shared" si="338"/>
        <v>2559645.77593354i</v>
      </c>
      <c r="AH479" s="31">
        <f t="shared" si="339"/>
        <v>2559645.77593354</v>
      </c>
      <c r="AI479" s="31">
        <f t="shared" si="340"/>
        <v>1.5707963267948966</v>
      </c>
      <c r="AJ479" s="31" t="str">
        <f t="shared" si="323"/>
        <v>-780.890200701681+1249.47828729308i</v>
      </c>
      <c r="AK479" s="31">
        <f t="shared" si="341"/>
        <v>1473.4264474240852</v>
      </c>
      <c r="AL479" s="31">
        <f t="shared" si="342"/>
        <v>2.1293762302342172</v>
      </c>
      <c r="AM479" s="31" t="str">
        <f t="shared" si="324"/>
        <v>1+1484.41537483714i</v>
      </c>
      <c r="AN479" s="31">
        <f t="shared" si="343"/>
        <v>1484.4157116700453</v>
      </c>
      <c r="AO479" s="31">
        <f t="shared" si="344"/>
        <v>1.5701226610099175</v>
      </c>
      <c r="AP479" s="31" t="str">
        <f t="shared" si="325"/>
        <v>1+1197.91422313689i</v>
      </c>
      <c r="AQ479" s="31">
        <f t="shared" si="345"/>
        <v>1197.9146405289732</v>
      </c>
      <c r="AR479" s="31">
        <f t="shared" si="346"/>
        <v>1.569961542677305</v>
      </c>
      <c r="AS479" s="58" t="str">
        <f t="shared" si="347"/>
        <v>-2.64736726088089+1.66009153466274i</v>
      </c>
      <c r="AT479" s="49">
        <f t="shared" si="348"/>
        <v>9.896481113628175</v>
      </c>
      <c r="AU479" s="61">
        <f t="shared" si="349"/>
        <v>147.9093011990777</v>
      </c>
      <c r="AV479" s="58" t="str">
        <f t="shared" si="326"/>
        <v>-0.00286756431545827-0.00764312647887867i</v>
      </c>
      <c r="AW479" s="64">
        <f t="shared" si="350"/>
        <v>-41.762630077811494</v>
      </c>
      <c r="AX479" s="61">
        <f t="shared" si="351"/>
        <v>-110.56519238059691</v>
      </c>
    </row>
    <row r="480" spans="14:50" x14ac:dyDescent="0.35">
      <c r="N480" s="10">
        <v>62</v>
      </c>
      <c r="O480" s="50">
        <f t="shared" si="316"/>
        <v>416869.38347033598</v>
      </c>
      <c r="P480" s="48" t="str">
        <f t="shared" si="317"/>
        <v>547.187404092767</v>
      </c>
      <c r="Q480" s="17" t="str">
        <f t="shared" si="318"/>
        <v>1+50233.1809343338i</v>
      </c>
      <c r="R480" s="17">
        <f t="shared" si="327"/>
        <v>50233.180944287378</v>
      </c>
      <c r="S480" s="17">
        <f t="shared" si="328"/>
        <v>1.5707764196343055</v>
      </c>
      <c r="T480" s="17" t="str">
        <f t="shared" si="319"/>
        <v>1+0.950509104553347i</v>
      </c>
      <c r="U480" s="17">
        <f t="shared" si="329"/>
        <v>1.3796621172732133</v>
      </c>
      <c r="V480" s="17">
        <f t="shared" si="330"/>
        <v>0.76003028452132582</v>
      </c>
      <c r="W480" s="31" t="str">
        <f t="shared" si="320"/>
        <v>1-16.5058262640513i</v>
      </c>
      <c r="X480" s="17">
        <f t="shared" si="331"/>
        <v>16.536090851801877</v>
      </c>
      <c r="Y480" s="17">
        <f t="shared" si="332"/>
        <v>-1.5102856216148248</v>
      </c>
      <c r="Z480" s="31" t="str">
        <f t="shared" si="321"/>
        <v>-56.4479612809715+78.9748692874971i</v>
      </c>
      <c r="AA480" s="17">
        <f t="shared" si="333"/>
        <v>97.074210332895888</v>
      </c>
      <c r="AB480" s="17">
        <f t="shared" si="334"/>
        <v>2.191358821786328</v>
      </c>
      <c r="AC480" s="66" t="str">
        <f t="shared" si="335"/>
        <v>-0.000508597872828543+0.00250901266946688i</v>
      </c>
      <c r="AD480" s="64">
        <f t="shared" si="336"/>
        <v>-51.835057310700734</v>
      </c>
      <c r="AE480" s="61">
        <f t="shared" si="337"/>
        <v>101.45906433654427</v>
      </c>
      <c r="AF480" s="31" t="str">
        <f t="shared" si="322"/>
        <v>-6627.51882264077</v>
      </c>
      <c r="AG480" s="31" t="str">
        <f t="shared" si="338"/>
        <v>2619267.58523383i</v>
      </c>
      <c r="AH480" s="31">
        <f t="shared" si="339"/>
        <v>2619267.5852338299</v>
      </c>
      <c r="AI480" s="31">
        <f t="shared" si="340"/>
        <v>1.5707963267948966</v>
      </c>
      <c r="AJ480" s="31" t="str">
        <f t="shared" si="323"/>
        <v>-817.739550595982+1278.58237539397i</v>
      </c>
      <c r="AK480" s="31">
        <f t="shared" si="341"/>
        <v>1517.7189671599301</v>
      </c>
      <c r="AL480" s="31">
        <f t="shared" si="342"/>
        <v>2.1398025315571809</v>
      </c>
      <c r="AM480" s="31" t="str">
        <f t="shared" si="324"/>
        <v>1+1518.99185070466i</v>
      </c>
      <c r="AN480" s="31">
        <f t="shared" si="343"/>
        <v>1518.992179870314</v>
      </c>
      <c r="AO480" s="31">
        <f t="shared" si="344"/>
        <v>1.5701379955108483</v>
      </c>
      <c r="AP480" s="31" t="str">
        <f t="shared" si="325"/>
        <v>1+1225.81722988943i</v>
      </c>
      <c r="AQ480" s="31">
        <f t="shared" si="345"/>
        <v>1225.8176377805125</v>
      </c>
      <c r="AR480" s="31">
        <f t="shared" si="346"/>
        <v>1.5699805446751947</v>
      </c>
      <c r="AS480" s="58" t="str">
        <f t="shared" si="347"/>
        <v>-2.61269298953802+1.67642508465631i</v>
      </c>
      <c r="AT480" s="49">
        <f t="shared" si="348"/>
        <v>9.8392228766825589</v>
      </c>
      <c r="AU480" s="61">
        <f t="shared" si="349"/>
        <v>147.31388547380581</v>
      </c>
      <c r="AV480" s="58" t="str">
        <f t="shared" si="326"/>
        <v>-0.00287736167998168-0.0074079060441908i</v>
      </c>
      <c r="AW480" s="64">
        <f t="shared" si="350"/>
        <v>-41.995834434018171</v>
      </c>
      <c r="AX480" s="61">
        <f t="shared" si="351"/>
        <v>-111.22705018964984</v>
      </c>
    </row>
    <row r="481" spans="14:50" x14ac:dyDescent="0.35">
      <c r="N481" s="10">
        <v>63</v>
      </c>
      <c r="O481" s="50">
        <f t="shared" si="316"/>
        <v>426579.51880159322</v>
      </c>
      <c r="P481" s="48" t="str">
        <f t="shared" si="317"/>
        <v>547.187404092767</v>
      </c>
      <c r="Q481" s="17" t="str">
        <f t="shared" si="318"/>
        <v>1+51403.262030075i</v>
      </c>
      <c r="R481" s="17">
        <f t="shared" si="327"/>
        <v>51403.262039802015</v>
      </c>
      <c r="S481" s="17">
        <f t="shared" si="328"/>
        <v>1.5707768727766032</v>
      </c>
      <c r="T481" s="17" t="str">
        <f t="shared" si="319"/>
        <v>1+0.972649305788495i</v>
      </c>
      <c r="U481" s="17">
        <f t="shared" si="329"/>
        <v>1.3950077677385317</v>
      </c>
      <c r="V481" s="17">
        <f t="shared" si="330"/>
        <v>0.77153409656691596</v>
      </c>
      <c r="W481" s="31" t="str">
        <f t="shared" si="320"/>
        <v>1-16.8902963478073i</v>
      </c>
      <c r="X481" s="17">
        <f t="shared" si="331"/>
        <v>16.91987324765622</v>
      </c>
      <c r="Y481" s="17">
        <f t="shared" si="332"/>
        <v>-1.5116597671591294</v>
      </c>
      <c r="Z481" s="31" t="str">
        <f t="shared" si="321"/>
        <v>-59.1554002846279+80.8144303081843i</v>
      </c>
      <c r="AA481" s="17">
        <f t="shared" si="333"/>
        <v>100.15155280309402</v>
      </c>
      <c r="AB481" s="17">
        <f t="shared" si="334"/>
        <v>2.2026714132796004</v>
      </c>
      <c r="AC481" s="66" t="str">
        <f t="shared" si="335"/>
        <v>-0.00049550242700676+0.0024593539544267i</v>
      </c>
      <c r="AD481" s="64">
        <f t="shared" si="336"/>
        <v>-52.010770890600753</v>
      </c>
      <c r="AE481" s="61">
        <f t="shared" si="337"/>
        <v>101.39126176388179</v>
      </c>
      <c r="AF481" s="31" t="str">
        <f t="shared" si="322"/>
        <v>-6627.51882264077</v>
      </c>
      <c r="AG481" s="31" t="str">
        <f t="shared" si="338"/>
        <v>2680278.16487791i</v>
      </c>
      <c r="AH481" s="31">
        <f t="shared" si="339"/>
        <v>2680278.1648779102</v>
      </c>
      <c r="AI481" s="31">
        <f t="shared" si="340"/>
        <v>1.5707963267948966</v>
      </c>
      <c r="AJ481" s="31" t="str">
        <f t="shared" si="323"/>
        <v>-856.325556847416+1308.36438479433i</v>
      </c>
      <c r="AK481" s="31">
        <f t="shared" si="341"/>
        <v>1563.6850139041055</v>
      </c>
      <c r="AL481" s="31">
        <f t="shared" si="342"/>
        <v>2.1503290610331414</v>
      </c>
      <c r="AM481" s="31" t="str">
        <f t="shared" si="324"/>
        <v>1+1554.37371615765i</v>
      </c>
      <c r="AN481" s="31">
        <f t="shared" si="343"/>
        <v>1554.3740378305806</v>
      </c>
      <c r="AO481" s="31">
        <f t="shared" si="344"/>
        <v>1.5701529809562218</v>
      </c>
      <c r="AP481" s="31" t="str">
        <f t="shared" si="325"/>
        <v>1+1254.37018116286i</v>
      </c>
      <c r="AQ481" s="31">
        <f t="shared" si="345"/>
        <v>1254.370579769211</v>
      </c>
      <c r="AR481" s="31">
        <f t="shared" si="346"/>
        <v>1.569999114135374</v>
      </c>
      <c r="AS481" s="58" t="str">
        <f t="shared" si="347"/>
        <v>-2.57734492067366+1.69218264110084i</v>
      </c>
      <c r="AT481" s="49">
        <f t="shared" si="348"/>
        <v>9.7800644143994404</v>
      </c>
      <c r="AU481" s="61">
        <f t="shared" si="349"/>
        <v>146.71268231638334</v>
      </c>
      <c r="AV481" s="58" t="str">
        <f t="shared" si="326"/>
        <v>-0.00288459540657622-0.00717708402818451i</v>
      </c>
      <c r="AW481" s="64">
        <f t="shared" si="350"/>
        <v>-42.23070647620132</v>
      </c>
      <c r="AX481" s="61">
        <f t="shared" si="351"/>
        <v>-111.89605591973483</v>
      </c>
    </row>
    <row r="482" spans="14:50" x14ac:dyDescent="0.35">
      <c r="N482" s="10">
        <v>64</v>
      </c>
      <c r="O482" s="50">
        <f t="shared" si="316"/>
        <v>436515.83224016649</v>
      </c>
      <c r="P482" s="48" t="str">
        <f t="shared" si="317"/>
        <v>547.187404092767</v>
      </c>
      <c r="Q482" s="17" t="str">
        <f t="shared" si="318"/>
        <v>1+52600.597815747i</v>
      </c>
      <c r="R482" s="17">
        <f t="shared" si="327"/>
        <v>52600.597825252604</v>
      </c>
      <c r="S482" s="17">
        <f t="shared" si="328"/>
        <v>1.5707773156041231</v>
      </c>
      <c r="T482" s="17" t="str">
        <f t="shared" si="319"/>
        <v>1+0.995305218560105i</v>
      </c>
      <c r="U482" s="17">
        <f t="shared" si="329"/>
        <v>1.4108977560734082</v>
      </c>
      <c r="V482" s="17">
        <f t="shared" si="330"/>
        <v>0.7830452538112368</v>
      </c>
      <c r="W482" s="31" t="str">
        <f t="shared" si="320"/>
        <v>1-17.2837218902564i</v>
      </c>
      <c r="X482" s="17">
        <f t="shared" si="331"/>
        <v>17.312626674763372</v>
      </c>
      <c r="Y482" s="17">
        <f t="shared" si="332"/>
        <v>-1.5130028494212382</v>
      </c>
      <c r="Z482" s="31" t="str">
        <f t="shared" si="321"/>
        <v>-61.9904369574628+82.6968402095262i</v>
      </c>
      <c r="AA482" s="17">
        <f t="shared" si="333"/>
        <v>103.35173755103045</v>
      </c>
      <c r="AB482" s="17">
        <f t="shared" si="334"/>
        <v>2.2140482422932997</v>
      </c>
      <c r="AC482" s="66" t="str">
        <f t="shared" si="335"/>
        <v>-0.000482676107384381+0.00241074454556587i</v>
      </c>
      <c r="AD482" s="64">
        <f t="shared" si="336"/>
        <v>-52.18627727965859</v>
      </c>
      <c r="AE482" s="61">
        <f t="shared" si="337"/>
        <v>101.3219798872601</v>
      </c>
      <c r="AF482" s="31" t="str">
        <f t="shared" si="322"/>
        <v>-6627.51882264077</v>
      </c>
      <c r="AG482" s="31" t="str">
        <f t="shared" si="338"/>
        <v>2742709.86348268i</v>
      </c>
      <c r="AH482" s="31">
        <f t="shared" si="339"/>
        <v>2742709.8634826802</v>
      </c>
      <c r="AI482" s="31">
        <f t="shared" si="340"/>
        <v>1.5707963267948966</v>
      </c>
      <c r="AJ482" s="31" t="str">
        <f t="shared" si="323"/>
        <v>-896.73006554856+1338.84010630975i</v>
      </c>
      <c r="AK482" s="31">
        <f t="shared" si="341"/>
        <v>1611.4023832433124</v>
      </c>
      <c r="AL482" s="31">
        <f t="shared" si="342"/>
        <v>2.160952115676015</v>
      </c>
      <c r="AM482" s="31" t="str">
        <f t="shared" si="324"/>
        <v>1+1590.57973112951i</v>
      </c>
      <c r="AN482" s="31">
        <f t="shared" si="343"/>
        <v>1590.5800454802722</v>
      </c>
      <c r="AO482" s="31">
        <f t="shared" si="344"/>
        <v>1.5701676252914927</v>
      </c>
      <c r="AP482" s="31" t="str">
        <f t="shared" si="325"/>
        <v>1+1283.58821610989i</v>
      </c>
      <c r="AQ482" s="31">
        <f t="shared" si="345"/>
        <v>1283.5886056428553</v>
      </c>
      <c r="AR482" s="31">
        <f t="shared" si="346"/>
        <v>1.5700172609035659</v>
      </c>
      <c r="AS482" s="58" t="str">
        <f t="shared" si="347"/>
        <v>-2.54134177991124+1.70733065577292i</v>
      </c>
      <c r="AT482" s="49">
        <f t="shared" si="348"/>
        <v>9.7189696563678289</v>
      </c>
      <c r="AU482" s="61">
        <f t="shared" si="349"/>
        <v>146.10590491164382</v>
      </c>
      <c r="AV482" s="58" t="str">
        <f t="shared" si="326"/>
        <v>-0.00288929310802112-0.00695061354928618i</v>
      </c>
      <c r="AW482" s="64">
        <f t="shared" si="350"/>
        <v>-42.46730762329075</v>
      </c>
      <c r="AX482" s="61">
        <f t="shared" si="351"/>
        <v>-112.57211520109608</v>
      </c>
    </row>
    <row r="483" spans="14:50" x14ac:dyDescent="0.35">
      <c r="N483" s="10">
        <v>65</v>
      </c>
      <c r="O483" s="50">
        <f t="shared" si="316"/>
        <v>446683.59215096442</v>
      </c>
      <c r="P483" s="48" t="str">
        <f t="shared" si="317"/>
        <v>547.187404092767</v>
      </c>
      <c r="Q483" s="17" t="str">
        <f t="shared" si="318"/>
        <v>1+53825.8231346324i</v>
      </c>
      <c r="R483" s="17">
        <f t="shared" si="327"/>
        <v>53825.823143921625</v>
      </c>
      <c r="S483" s="17">
        <f t="shared" si="328"/>
        <v>1.5707777483516578</v>
      </c>
      <c r="T483" s="17" t="str">
        <f t="shared" si="319"/>
        <v>1+1.01848885533302i</v>
      </c>
      <c r="U483" s="17">
        <f t="shared" si="329"/>
        <v>1.427347031537028</v>
      </c>
      <c r="V483" s="17">
        <f t="shared" si="330"/>
        <v>0.79455765825031599</v>
      </c>
      <c r="W483" s="31" t="str">
        <f t="shared" si="320"/>
        <v>1-17.6863114908289i</v>
      </c>
      <c r="X483" s="17">
        <f t="shared" si="331"/>
        <v>17.71455938347399</v>
      </c>
      <c r="Y483" s="17">
        <f t="shared" si="332"/>
        <v>-1.5143155611282186</v>
      </c>
      <c r="Z483" s="31" t="str">
        <f t="shared" si="321"/>
        <v>-64.9590847923602+84.6230970701697i</v>
      </c>
      <c r="AA483" s="17">
        <f t="shared" si="333"/>
        <v>106.68060392971351</v>
      </c>
      <c r="AB483" s="17">
        <f t="shared" si="334"/>
        <v>2.2254844221673564</v>
      </c>
      <c r="AC483" s="66" t="str">
        <f t="shared" si="335"/>
        <v>-0.000470108261155464+0.00236315464560323i</v>
      </c>
      <c r="AD483" s="64">
        <f t="shared" si="336"/>
        <v>-52.361602467049444</v>
      </c>
      <c r="AE483" s="61">
        <f t="shared" si="337"/>
        <v>101.2511095979965</v>
      </c>
      <c r="AF483" s="31" t="str">
        <f t="shared" si="322"/>
        <v>-6627.51882264077</v>
      </c>
      <c r="AG483" s="31" t="str">
        <f t="shared" si="338"/>
        <v>2806595.78316114i</v>
      </c>
      <c r="AH483" s="31">
        <f t="shared" si="339"/>
        <v>2806595.78316114</v>
      </c>
      <c r="AI483" s="31">
        <f t="shared" si="340"/>
        <v>1.5707963267948966</v>
      </c>
      <c r="AJ483" s="31" t="str">
        <f t="shared" si="323"/>
        <v>-939.038780079509+1370.02569857119i</v>
      </c>
      <c r="AK483" s="31">
        <f t="shared" si="341"/>
        <v>1660.9528124659923</v>
      </c>
      <c r="AL483" s="31">
        <f t="shared" si="342"/>
        <v>2.1716677844891201</v>
      </c>
      <c r="AM483" s="31" t="str">
        <f t="shared" si="324"/>
        <v>1+1627.62909252864i</v>
      </c>
      <c r="AN483" s="31">
        <f t="shared" si="343"/>
        <v>1627.6293997239065</v>
      </c>
      <c r="AO483" s="31">
        <f t="shared" si="344"/>
        <v>1.5701819362812561</v>
      </c>
      <c r="AP483" s="31" t="str">
        <f t="shared" si="325"/>
        <v>1+1313.48682651941i</v>
      </c>
      <c r="AQ483" s="31">
        <f t="shared" si="345"/>
        <v>1313.487207185525</v>
      </c>
      <c r="AR483" s="31">
        <f t="shared" si="346"/>
        <v>1.5700349946013785</v>
      </c>
      <c r="AS483" s="58" t="str">
        <f t="shared" si="347"/>
        <v>-2.50470440700833+1.72183612984549i</v>
      </c>
      <c r="AT483" s="49">
        <f t="shared" si="348"/>
        <v>9.6559036058434806</v>
      </c>
      <c r="AU483" s="61">
        <f t="shared" si="349"/>
        <v>145.4937783393469</v>
      </c>
      <c r="AV483" s="58" t="str">
        <f t="shared" si="326"/>
        <v>-0.00289148281572474-0.00672845324428094i</v>
      </c>
      <c r="AW483" s="64">
        <f t="shared" si="350"/>
        <v>-42.705698861205967</v>
      </c>
      <c r="AX483" s="61">
        <f t="shared" si="351"/>
        <v>-113.25511206265656</v>
      </c>
    </row>
    <row r="484" spans="14:50" x14ac:dyDescent="0.35">
      <c r="N484" s="10">
        <v>66</v>
      </c>
      <c r="O484" s="50">
        <f t="shared" ref="O484:O518" si="352">10^(5+(N484/100))</f>
        <v>457088.18961487547</v>
      </c>
      <c r="P484" s="48" t="str">
        <f t="shared" si="317"/>
        <v>547.187404092767</v>
      </c>
      <c r="Q484" s="17" t="str">
        <f t="shared" si="318"/>
        <v>1+55079.5876174125i</v>
      </c>
      <c r="R484" s="17">
        <f t="shared" si="327"/>
        <v>55079.587626490276</v>
      </c>
      <c r="S484" s="17">
        <f t="shared" si="328"/>
        <v>1.5707781712486562</v>
      </c>
      <c r="T484" s="17" t="str">
        <f t="shared" si="319"/>
        <v>1+1.04221250837833i</v>
      </c>
      <c r="U484" s="17">
        <f t="shared" si="329"/>
        <v>1.4443707670194141</v>
      </c>
      <c r="V484" s="17">
        <f t="shared" si="330"/>
        <v>0.80606520857684871</v>
      </c>
      <c r="W484" s="31" t="str">
        <f t="shared" si="320"/>
        <v>1-18.0982786078597i</v>
      </c>
      <c r="X484" s="17">
        <f t="shared" si="331"/>
        <v>18.125884490631403</v>
      </c>
      <c r="Y484" s="17">
        <f t="shared" si="332"/>
        <v>-1.5155985801903074</v>
      </c>
      <c r="Z484" s="31" t="str">
        <f t="shared" si="321"/>
        <v>-68.0676406893899+86.5942222169984i</v>
      </c>
      <c r="AA484" s="17">
        <f t="shared" si="333"/>
        <v>110.14428278574783</v>
      </c>
      <c r="AB484" s="17">
        <f t="shared" si="334"/>
        <v>2.2369749022856702</v>
      </c>
      <c r="AC484" s="66" t="str">
        <f t="shared" si="335"/>
        <v>-0.000457789178387998+0.00231655525324837i</v>
      </c>
      <c r="AD484" s="64">
        <f t="shared" si="336"/>
        <v>-52.536772993063764</v>
      </c>
      <c r="AE484" s="61">
        <f t="shared" si="337"/>
        <v>101.17855184137696</v>
      </c>
      <c r="AF484" s="31" t="str">
        <f t="shared" si="322"/>
        <v>-6627.51882264077</v>
      </c>
      <c r="AG484" s="31" t="str">
        <f t="shared" si="338"/>
        <v>2871969.7970735i</v>
      </c>
      <c r="AH484" s="31">
        <f t="shared" si="339"/>
        <v>2871969.7970735002</v>
      </c>
      <c r="AI484" s="31">
        <f t="shared" si="340"/>
        <v>1.5707963267948966</v>
      </c>
      <c r="AJ484" s="31" t="str">
        <f t="shared" si="323"/>
        <v>-983.341442896188+1401.93769659245i</v>
      </c>
      <c r="AK484" s="31">
        <f t="shared" si="341"/>
        <v>1712.4221729597236</v>
      </c>
      <c r="AL484" s="31">
        <f t="shared" si="342"/>
        <v>2.1824719523837164</v>
      </c>
      <c r="AM484" s="31" t="str">
        <f t="shared" si="324"/>
        <v>1+1665.54144441684i</v>
      </c>
      <c r="AN484" s="31">
        <f t="shared" si="343"/>
        <v>1665.5417446194897</v>
      </c>
      <c r="AO484" s="31">
        <f t="shared" si="344"/>
        <v>1.570195921513365</v>
      </c>
      <c r="AP484" s="31" t="str">
        <f t="shared" si="325"/>
        <v>1+1344.0818650304i</v>
      </c>
      <c r="AQ484" s="31">
        <f t="shared" si="345"/>
        <v>1344.0822370314991</v>
      </c>
      <c r="AR484" s="31">
        <f t="shared" si="346"/>
        <v>1.5700523246314091</v>
      </c>
      <c r="AS484" s="58" t="str">
        <f t="shared" si="347"/>
        <v>-2.46745574981249+1.73566676965552i</v>
      </c>
      <c r="AT484" s="49">
        <f t="shared" si="348"/>
        <v>9.5908324543832215</v>
      </c>
      <c r="AU484" s="61">
        <f t="shared" si="349"/>
        <v>144.87653935019071</v>
      </c>
      <c r="AV484" s="58" t="str">
        <f t="shared" si="326"/>
        <v>-0.00289119343271872-0.00651056704382197i</v>
      </c>
      <c r="AW484" s="64">
        <f t="shared" si="350"/>
        <v>-42.945940538680539</v>
      </c>
      <c r="AX484" s="61">
        <f t="shared" si="351"/>
        <v>-113.9449088084323</v>
      </c>
    </row>
    <row r="485" spans="14:50" x14ac:dyDescent="0.35">
      <c r="N485" s="10">
        <v>67</v>
      </c>
      <c r="O485" s="50">
        <f t="shared" si="352"/>
        <v>467735.14128719864</v>
      </c>
      <c r="P485" s="48" t="str">
        <f t="shared" si="317"/>
        <v>547.187404092767</v>
      </c>
      <c r="Q485" s="17" t="str">
        <f t="shared" si="318"/>
        <v>1+56362.5560266119i</v>
      </c>
      <c r="R485" s="17">
        <f t="shared" si="327"/>
        <v>56362.55603548303</v>
      </c>
      <c r="S485" s="17">
        <f t="shared" si="328"/>
        <v>1.5707785845193436</v>
      </c>
      <c r="T485" s="17" t="str">
        <f t="shared" si="319"/>
        <v>1+1.06648875629089i</v>
      </c>
      <c r="U485" s="17">
        <f t="shared" si="329"/>
        <v>1.4619843594563142</v>
      </c>
      <c r="V485" s="17">
        <f t="shared" si="330"/>
        <v>0.81756181633534009</v>
      </c>
      <c r="W485" s="31" t="str">
        <f t="shared" si="320"/>
        <v>1-18.5198416717675i</v>
      </c>
      <c r="X485" s="17">
        <f t="shared" si="331"/>
        <v>18.546820092601756</v>
      </c>
      <c r="Y485" s="17">
        <f t="shared" si="332"/>
        <v>-1.5168525699754165</v>
      </c>
      <c r="Z485" s="31" t="str">
        <f t="shared" si="321"/>
        <v>-71.3226983123819+88.6112607666568i</v>
      </c>
      <c r="AA485" s="17">
        <f t="shared" si="333"/>
        <v>113.7492102355682</v>
      </c>
      <c r="AB485" s="17">
        <f t="shared" si="334"/>
        <v>2.2485144787815985</v>
      </c>
      <c r="AC485" s="66" t="str">
        <f t="shared" si="335"/>
        <v>-0.00044571004651975+0.00227091817263147i</v>
      </c>
      <c r="AD485" s="64">
        <f t="shared" si="336"/>
        <v>-52.71181585431183</v>
      </c>
      <c r="AE485" s="61">
        <f t="shared" si="337"/>
        <v>101.10421791316553</v>
      </c>
      <c r="AF485" s="31" t="str">
        <f t="shared" si="322"/>
        <v>-6627.51882264077</v>
      </c>
      <c r="AG485" s="31" t="str">
        <f t="shared" si="338"/>
        <v>2938866.56738729i</v>
      </c>
      <c r="AH485" s="31">
        <f t="shared" si="339"/>
        <v>2938866.5673872898</v>
      </c>
      <c r="AI485" s="31">
        <f t="shared" si="340"/>
        <v>1.5707963267948966</v>
      </c>
      <c r="AJ485" s="31" t="str">
        <f t="shared" si="323"/>
        <v>-1029.73202588621+1434.59302053727i</v>
      </c>
      <c r="AK485" s="31">
        <f t="shared" si="341"/>
        <v>1765.9006709636774</v>
      </c>
      <c r="AL485" s="31">
        <f t="shared" si="342"/>
        <v>2.1933603050786146</v>
      </c>
      <c r="AM485" s="31" t="str">
        <f t="shared" si="324"/>
        <v>1+1704.33688842491i</v>
      </c>
      <c r="AN485" s="31">
        <f t="shared" si="343"/>
        <v>1704.3371817941145</v>
      </c>
      <c r="AO485" s="31">
        <f t="shared" si="344"/>
        <v>1.5702095884029521</v>
      </c>
      <c r="AP485" s="31" t="str">
        <f t="shared" si="325"/>
        <v>1+1375.38955353725i</v>
      </c>
      <c r="AQ485" s="31">
        <f t="shared" si="345"/>
        <v>1375.3899170705727</v>
      </c>
      <c r="AR485" s="31">
        <f t="shared" si="346"/>
        <v>1.570069260182227</v>
      </c>
      <c r="AS485" s="58" t="str">
        <f t="shared" si="347"/>
        <v>-2.42962084497726+1.74879114474853i</v>
      </c>
      <c r="AT485" s="49">
        <f t="shared" si="348"/>
        <v>9.5237236957934908</v>
      </c>
      <c r="AU485" s="61">
        <f t="shared" si="349"/>
        <v>144.25443608560104</v>
      </c>
      <c r="AV485" s="58" t="str">
        <f t="shared" si="326"/>
        <v>-0.00288845517090626-0.00629692391194228i</v>
      </c>
      <c r="AW485" s="64">
        <f t="shared" si="350"/>
        <v>-43.188092158518344</v>
      </c>
      <c r="AX485" s="61">
        <f t="shared" si="351"/>
        <v>-114.64134600123344</v>
      </c>
    </row>
    <row r="486" spans="14:50" x14ac:dyDescent="0.35">
      <c r="N486" s="10">
        <v>68</v>
      </c>
      <c r="O486" s="50">
        <f t="shared" si="352"/>
        <v>478630.09232263872</v>
      </c>
      <c r="P486" s="48" t="str">
        <f t="shared" si="317"/>
        <v>547.187404092767</v>
      </c>
      <c r="Q486" s="17" t="str">
        <f t="shared" si="318"/>
        <v>1+57675.4086090634i</v>
      </c>
      <c r="R486" s="17">
        <f t="shared" si="327"/>
        <v>57675.408617732617</v>
      </c>
      <c r="S486" s="17">
        <f t="shared" si="328"/>
        <v>1.5707789883828418</v>
      </c>
      <c r="T486" s="17" t="str">
        <f t="shared" si="319"/>
        <v>1+1.09133047065868i</v>
      </c>
      <c r="U486" s="17">
        <f t="shared" si="329"/>
        <v>1.480203430677046</v>
      </c>
      <c r="V486" s="17">
        <f t="shared" si="330"/>
        <v>0.8290414219943405</v>
      </c>
      <c r="W486" s="31" t="str">
        <f t="shared" si="320"/>
        <v>1-18.9512242008688i</v>
      </c>
      <c r="X486" s="17">
        <f t="shared" si="331"/>
        <v>18.977589380940756</v>
      </c>
      <c r="Y486" s="17">
        <f t="shared" si="332"/>
        <v>-1.5180781795814948</v>
      </c>
      <c r="Z486" s="31" t="str">
        <f t="shared" si="321"/>
        <v>-74.7311620749678+90.6752821796825i</v>
      </c>
      <c r="AA486" s="17">
        <f t="shared" si="333"/>
        <v>117.50214203766735</v>
      </c>
      <c r="AB486" s="17">
        <f t="shared" si="334"/>
        <v>2.2600978061154735</v>
      </c>
      <c r="AC486" s="66" t="str">
        <f t="shared" si="335"/>
        <v>-0.000433862904326747+0.00222621602178701i</v>
      </c>
      <c r="AD486" s="64">
        <f t="shared" si="336"/>
        <v>-52.88675840444732</v>
      </c>
      <c r="AE486" s="61">
        <f t="shared" si="337"/>
        <v>101.02802970151812</v>
      </c>
      <c r="AF486" s="31" t="str">
        <f t="shared" si="322"/>
        <v>-6627.51882264077</v>
      </c>
      <c r="AG486" s="31" t="str">
        <f t="shared" si="338"/>
        <v>3007321.56365561i</v>
      </c>
      <c r="AH486" s="31">
        <f t="shared" si="339"/>
        <v>3007321.5636556102</v>
      </c>
      <c r="AI486" s="31">
        <f t="shared" si="340"/>
        <v>1.5707963267948966</v>
      </c>
      <c r="AJ486" s="31" t="str">
        <f t="shared" si="323"/>
        <v>-1078.30892969579+1468.00898469067i</v>
      </c>
      <c r="AK486" s="31">
        <f t="shared" si="341"/>
        <v>1821.4830570154122</v>
      </c>
      <c r="AL486" s="31">
        <f t="shared" si="342"/>
        <v>2.2043283349910618</v>
      </c>
      <c r="AM486" s="31" t="str">
        <f t="shared" si="324"/>
        <v>1+1744.0359944108i</v>
      </c>
      <c r="AN486" s="31">
        <f t="shared" si="343"/>
        <v>1744.0362811021073</v>
      </c>
      <c r="AO486" s="31">
        <f t="shared" si="344"/>
        <v>1.5702229441963633</v>
      </c>
      <c r="AP486" s="31" t="str">
        <f t="shared" si="325"/>
        <v>1+1407.42649179082i</v>
      </c>
      <c r="AQ486" s="31">
        <f t="shared" si="345"/>
        <v>1407.4268470491158</v>
      </c>
      <c r="AR486" s="31">
        <f t="shared" si="346"/>
        <v>1.5700858102332469</v>
      </c>
      <c r="AS486" s="58" t="str">
        <f t="shared" si="347"/>
        <v>-2.39122678495923+1.76117884693593i</v>
      </c>
      <c r="AT486" s="49">
        <f t="shared" si="348"/>
        <v>9.4545462386630508</v>
      </c>
      <c r="AU486" s="61">
        <f t="shared" si="349"/>
        <v>143.6277277407134</v>
      </c>
      <c r="AV486" s="58" t="str">
        <f t="shared" si="326"/>
        <v>-0.00288329996845482-0.00608749754997293i</v>
      </c>
      <c r="AW486" s="64">
        <f t="shared" si="350"/>
        <v>-43.432212165784271</v>
      </c>
      <c r="AX486" s="61">
        <f t="shared" si="351"/>
        <v>-115.34424255776851</v>
      </c>
    </row>
    <row r="487" spans="14:50" x14ac:dyDescent="0.35">
      <c r="N487" s="10">
        <v>69</v>
      </c>
      <c r="O487" s="50">
        <f t="shared" si="352"/>
        <v>489778.81936844654</v>
      </c>
      <c r="P487" s="48" t="str">
        <f t="shared" si="317"/>
        <v>547.187404092767</v>
      </c>
      <c r="Q487" s="17" t="str">
        <f t="shared" si="318"/>
        <v>1+59018.8414565838i</v>
      </c>
      <c r="R487" s="17">
        <f t="shared" si="327"/>
        <v>59018.841465055673</v>
      </c>
      <c r="S487" s="17">
        <f t="shared" si="328"/>
        <v>1.5707793830532841</v>
      </c>
      <c r="T487" s="17" t="str">
        <f t="shared" si="319"/>
        <v>1+1.11675082288749i</v>
      </c>
      <c r="U487" s="17">
        <f t="shared" si="329"/>
        <v>1.4990438287187891</v>
      </c>
      <c r="V487" s="17">
        <f t="shared" si="330"/>
        <v>0.84049801083249709</v>
      </c>
      <c r="W487" s="31" t="str">
        <f t="shared" si="320"/>
        <v>1-19.3926549198905i</v>
      </c>
      <c r="X487" s="17">
        <f t="shared" si="331"/>
        <v>19.418420760760988</v>
      </c>
      <c r="Y487" s="17">
        <f t="shared" si="332"/>
        <v>-1.5192760441065367</v>
      </c>
      <c r="Z487" s="31" t="str">
        <f t="shared" si="321"/>
        <v>-78.3002617857686+92.7873808275492i</v>
      </c>
      <c r="AA487" s="17">
        <f t="shared" si="333"/>
        <v>121.41016858795862</v>
      </c>
      <c r="AB487" s="17">
        <f t="shared" si="334"/>
        <v>2.271719409472631</v>
      </c>
      <c r="AC487" s="66" t="str">
        <f t="shared" si="335"/>
        <v>-0.000422240595393555+0.00218242223999171i</v>
      </c>
      <c r="AD487" s="64">
        <f t="shared" si="336"/>
        <v>-53.061628251248663</v>
      </c>
      <c r="AE487" s="61">
        <f t="shared" si="337"/>
        <v>100.94991987135717</v>
      </c>
      <c r="AF487" s="31" t="str">
        <f t="shared" si="322"/>
        <v>-6627.51882264077</v>
      </c>
      <c r="AG487" s="31" t="str">
        <f t="shared" si="338"/>
        <v>3077371.08162359i</v>
      </c>
      <c r="AH487" s="31">
        <f t="shared" si="339"/>
        <v>3077371.0816235901</v>
      </c>
      <c r="AI487" s="31">
        <f t="shared" si="340"/>
        <v>1.5707963267948966</v>
      </c>
      <c r="AJ487" s="31" t="str">
        <f t="shared" si="323"/>
        <v>-1129.17519245073+1502.20330663915i</v>
      </c>
      <c r="AK487" s="31">
        <f t="shared" si="341"/>
        <v>1879.2688444508785</v>
      </c>
      <c r="AL487" s="31">
        <f t="shared" si="342"/>
        <v>2.2153713481212254</v>
      </c>
      <c r="AM487" s="31" t="str">
        <f t="shared" si="324"/>
        <v>1+1784.65981136597i</v>
      </c>
      <c r="AN487" s="31">
        <f t="shared" si="343"/>
        <v>1784.6600915313875</v>
      </c>
      <c r="AO487" s="31">
        <f t="shared" si="344"/>
        <v>1.5702359959749979</v>
      </c>
      <c r="AP487" s="31" t="str">
        <f t="shared" si="325"/>
        <v>1+1440.20966619984i</v>
      </c>
      <c r="AQ487" s="31">
        <f t="shared" si="345"/>
        <v>1440.2100133714716</v>
      </c>
      <c r="AR487" s="31">
        <f t="shared" si="346"/>
        <v>1.570101983559488</v>
      </c>
      <c r="AS487" s="58" t="str">
        <f t="shared" si="347"/>
        <v>-2.35230267094895+1.77280064902073i</v>
      </c>
      <c r="AT487" s="49">
        <f t="shared" si="348"/>
        <v>9.383270516723039</v>
      </c>
      <c r="AU487" s="61">
        <f t="shared" si="349"/>
        <v>142.99668417041249</v>
      </c>
      <c r="AV487" s="58" t="str">
        <f t="shared" si="326"/>
        <v>-0.00287576188316724-0.00588226606582748i</v>
      </c>
      <c r="AW487" s="64">
        <f t="shared" si="350"/>
        <v>-43.678357734525633</v>
      </c>
      <c r="AX487" s="61">
        <f t="shared" si="351"/>
        <v>-116.05339595823031</v>
      </c>
    </row>
    <row r="488" spans="14:50" x14ac:dyDescent="0.35">
      <c r="N488" s="10">
        <v>70</v>
      </c>
      <c r="O488" s="50">
        <f t="shared" si="352"/>
        <v>501187.23362727347</v>
      </c>
      <c r="P488" s="48" t="str">
        <f t="shared" si="317"/>
        <v>547.187404092767</v>
      </c>
      <c r="Q488" s="17" t="str">
        <f t="shared" si="318"/>
        <v>1+60393.5668750511i</v>
      </c>
      <c r="R488" s="17">
        <f t="shared" si="327"/>
        <v>60393.566883330132</v>
      </c>
      <c r="S488" s="17">
        <f t="shared" si="328"/>
        <v>1.5707797687399307</v>
      </c>
      <c r="T488" s="17" t="str">
        <f t="shared" si="319"/>
        <v>1+1.14276329118453i</v>
      </c>
      <c r="U488" s="17">
        <f t="shared" si="329"/>
        <v>1.5185216296381487</v>
      </c>
      <c r="V488" s="17">
        <f t="shared" si="330"/>
        <v>0.85192562853738674</v>
      </c>
      <c r="W488" s="31" t="str">
        <f t="shared" si="320"/>
        <v>1-19.8443678812428i</v>
      </c>
      <c r="X488" s="17">
        <f t="shared" si="331"/>
        <v>19.869547971861383</v>
      </c>
      <c r="Y488" s="17">
        <f t="shared" si="332"/>
        <v>-1.5204467849160384</v>
      </c>
      <c r="Z488" s="31" t="str">
        <f t="shared" si="321"/>
        <v>-82.0375679837884+94.9486765729168i</v>
      </c>
      <c r="AA488" s="17">
        <f t="shared" si="333"/>
        <v>125.48073056705982</v>
      </c>
      <c r="AB488" s="17">
        <f t="shared" si="334"/>
        <v>2.2833736979215633</v>
      </c>
      <c r="AC488" s="66" t="str">
        <f t="shared" si="335"/>
        <v>-0.000410836721141398+0.00213951109376552i</v>
      </c>
      <c r="AD488" s="64">
        <f t="shared" si="336"/>
        <v>-53.236453150947469</v>
      </c>
      <c r="AE488" s="61">
        <f t="shared" si="337"/>
        <v>100.86983198887904</v>
      </c>
      <c r="AF488" s="31" t="str">
        <f t="shared" si="322"/>
        <v>-6627.51882264077</v>
      </c>
      <c r="AG488" s="31" t="str">
        <f t="shared" si="338"/>
        <v>3149052.26247287i</v>
      </c>
      <c r="AH488" s="31">
        <f t="shared" si="339"/>
        <v>3149052.2624728698</v>
      </c>
      <c r="AI488" s="31">
        <f t="shared" si="340"/>
        <v>1.5707963267948966</v>
      </c>
      <c r="AJ488" s="31" t="str">
        <f t="shared" si="323"/>
        <v>-1182.43870831408+1537.19411666482i</v>
      </c>
      <c r="AK488" s="31">
        <f t="shared" si="341"/>
        <v>1939.3625373375671</v>
      </c>
      <c r="AL488" s="31">
        <f t="shared" si="342"/>
        <v>2.2264844719236949</v>
      </c>
      <c r="AM488" s="31" t="str">
        <f t="shared" si="324"/>
        <v>1+1826.22987857589i</v>
      </c>
      <c r="AN488" s="31">
        <f t="shared" si="343"/>
        <v>1826.2301523639649</v>
      </c>
      <c r="AO488" s="31">
        <f t="shared" si="344"/>
        <v>1.5702487506590637</v>
      </c>
      <c r="AP488" s="31" t="str">
        <f t="shared" si="325"/>
        <v>1+1473.7564588373i</v>
      </c>
      <c r="AQ488" s="31">
        <f t="shared" si="345"/>
        <v>1473.7567981063426</v>
      </c>
      <c r="AR488" s="31">
        <f t="shared" si="346"/>
        <v>1.5701177887362288</v>
      </c>
      <c r="AS488" s="58" t="str">
        <f t="shared" si="347"/>
        <v>-2.31287955153723+1.78362866178168i</v>
      </c>
      <c r="AT488" s="49">
        <f t="shared" si="348"/>
        <v>9.3098685962663659</v>
      </c>
      <c r="AU488" s="61">
        <f t="shared" si="349"/>
        <v>142.3615854388124</v>
      </c>
      <c r="AV488" s="58" t="str">
        <f t="shared" si="326"/>
        <v>-0.00286587745769151-0.00568121161019753i</v>
      </c>
      <c r="AW488" s="64">
        <f t="shared" si="350"/>
        <v>-43.926584554681092</v>
      </c>
      <c r="AX488" s="61">
        <f t="shared" si="351"/>
        <v>-116.7685825723085</v>
      </c>
    </row>
    <row r="489" spans="14:50" x14ac:dyDescent="0.35">
      <c r="N489" s="10">
        <v>71</v>
      </c>
      <c r="O489" s="50">
        <f t="shared" si="352"/>
        <v>512861.38399136515</v>
      </c>
      <c r="P489" s="48" t="str">
        <f t="shared" si="317"/>
        <v>547.187404092767</v>
      </c>
      <c r="Q489" s="17" t="str">
        <f t="shared" si="318"/>
        <v>1+61800.3137620787i</v>
      </c>
      <c r="R489" s="17">
        <f t="shared" si="327"/>
        <v>61800.313770169283</v>
      </c>
      <c r="S489" s="17">
        <f t="shared" si="328"/>
        <v>1.5707801456472772</v>
      </c>
      <c r="T489" s="17" t="str">
        <f t="shared" si="319"/>
        <v>1+1.16938166770482i</v>
      </c>
      <c r="U489" s="17">
        <f t="shared" si="329"/>
        <v>1.538653139847999</v>
      </c>
      <c r="V489" s="17">
        <f t="shared" si="330"/>
        <v>0.86331839641958552</v>
      </c>
      <c r="W489" s="31" t="str">
        <f t="shared" si="320"/>
        <v>1-20.306602589117i</v>
      </c>
      <c r="X489" s="17">
        <f t="shared" si="331"/>
        <v>20.331210212683679</v>
      </c>
      <c r="Y489" s="17">
        <f t="shared" si="332"/>
        <v>-1.5215910099077294</v>
      </c>
      <c r="Z489" s="31" t="str">
        <f t="shared" si="321"/>
        <v>-85.9510079965413+97.1603153633972i</v>
      </c>
      <c r="AA489" s="17">
        <f t="shared" si="333"/>
        <v>129.72163527005165</v>
      </c>
      <c r="AB489" s="17">
        <f t="shared" si="334"/>
        <v>2.2950549782634391</v>
      </c>
      <c r="AC489" s="66" t="str">
        <f t="shared" si="335"/>
        <v>-0.000399645593497559+0.00209745768135586i</v>
      </c>
      <c r="AD489" s="64">
        <f t="shared" si="336"/>
        <v>-53.411260900730291</v>
      </c>
      <c r="AE489" s="61">
        <f t="shared" si="337"/>
        <v>100.78772058456515</v>
      </c>
      <c r="AF489" s="31" t="str">
        <f t="shared" si="322"/>
        <v>-6627.51882264077</v>
      </c>
      <c r="AG489" s="31" t="str">
        <f t="shared" si="338"/>
        <v>3222403.11251433i</v>
      </c>
      <c r="AH489" s="31">
        <f t="shared" si="339"/>
        <v>3222403.1125143301</v>
      </c>
      <c r="AI489" s="31">
        <f t="shared" si="340"/>
        <v>1.5707963267948966</v>
      </c>
      <c r="AJ489" s="31" t="str">
        <f t="shared" si="323"/>
        <v>-1238.21245634414+1572.99996735831i</v>
      </c>
      <c r="AK489" s="31">
        <f t="shared" si="341"/>
        <v>2001.8738682432102</v>
      </c>
      <c r="AL489" s="31">
        <f t="shared" si="342"/>
        <v>2.2376626641506752</v>
      </c>
      <c r="AM489" s="31" t="str">
        <f t="shared" si="324"/>
        <v>1+1868.76823704044i</v>
      </c>
      <c r="AN489" s="31">
        <f t="shared" si="343"/>
        <v>1868.7685045963381</v>
      </c>
      <c r="AO489" s="31">
        <f t="shared" si="344"/>
        <v>1.5702612150112463</v>
      </c>
      <c r="AP489" s="31" t="str">
        <f t="shared" si="325"/>
        <v>1+1508.0846566567i</v>
      </c>
      <c r="AQ489" s="31">
        <f t="shared" si="345"/>
        <v>1508.0849882030379</v>
      </c>
      <c r="AR489" s="31">
        <f t="shared" si="346"/>
        <v>1.570133234143551</v>
      </c>
      <c r="AS489" s="58" t="str">
        <f t="shared" si="347"/>
        <v>-2.27299034707521+1.79363648775947i</v>
      </c>
      <c r="AT489" s="49">
        <f t="shared" si="348"/>
        <v>9.2343142798504232</v>
      </c>
      <c r="AU489" s="61">
        <f t="shared" si="349"/>
        <v>141.72272131304746</v>
      </c>
      <c r="AV489" s="58" t="str">
        <f t="shared" si="326"/>
        <v>-0.00285368605254015-0.00548431998179013i</v>
      </c>
      <c r="AW489" s="64">
        <f t="shared" si="350"/>
        <v>-44.176946620879875</v>
      </c>
      <c r="AX489" s="61">
        <f t="shared" si="351"/>
        <v>-117.48955810238741</v>
      </c>
    </row>
    <row r="490" spans="14:50" x14ac:dyDescent="0.35">
      <c r="N490" s="10">
        <v>72</v>
      </c>
      <c r="O490" s="50">
        <f t="shared" si="352"/>
        <v>524807.46024977288</v>
      </c>
      <c r="P490" s="48" t="str">
        <f t="shared" si="317"/>
        <v>547.187404092767</v>
      </c>
      <c r="Q490" s="17" t="str">
        <f t="shared" si="318"/>
        <v>1+63239.8279934871i</v>
      </c>
      <c r="R490" s="17">
        <f t="shared" si="327"/>
        <v>63239.828001393515</v>
      </c>
      <c r="S490" s="17">
        <f t="shared" si="328"/>
        <v>1.5707805139751649</v>
      </c>
      <c r="T490" s="17" t="str">
        <f t="shared" si="319"/>
        <v>1+1.19662006586393i</v>
      </c>
      <c r="U490" s="17">
        <f t="shared" si="329"/>
        <v>1.559454899004199</v>
      </c>
      <c r="V490" s="17">
        <f t="shared" si="330"/>
        <v>0.87467052614879692</v>
      </c>
      <c r="W490" s="31" t="str">
        <f t="shared" si="320"/>
        <v>1-20.7796041264737i</v>
      </c>
      <c r="X490" s="17">
        <f t="shared" si="331"/>
        <v>20.803652267161233</v>
      </c>
      <c r="Y490" s="17">
        <f t="shared" si="332"/>
        <v>-1.5227093137734193</v>
      </c>
      <c r="Z490" s="31" t="str">
        <f t="shared" si="321"/>
        <v>-90.0488827549809+99.4234698391527i</v>
      </c>
      <c r="AA490" s="17">
        <f t="shared" si="333"/>
        <v>134.14107365112747</v>
      </c>
      <c r="AB490" s="17">
        <f t="shared" si="334"/>
        <v>2.3067574694965201</v>
      </c>
      <c r="AC490" s="66" t="str">
        <f t="shared" si="335"/>
        <v>-0.000388662187313058+0.00205623793553991i</v>
      </c>
      <c r="AD490" s="64">
        <f t="shared" si="336"/>
        <v>-53.58607923036719</v>
      </c>
      <c r="AE490" s="61">
        <f t="shared" si="337"/>
        <v>100.70355115373881</v>
      </c>
      <c r="AF490" s="31" t="str">
        <f t="shared" si="322"/>
        <v>-6627.51882264077</v>
      </c>
      <c r="AG490" s="31" t="str">
        <f t="shared" si="338"/>
        <v>3297462.52333961i</v>
      </c>
      <c r="AH490" s="31">
        <f t="shared" si="339"/>
        <v>3297462.5233396101</v>
      </c>
      <c r="AI490" s="31">
        <f t="shared" si="340"/>
        <v>1.5707963267948966</v>
      </c>
      <c r="AJ490" s="31" t="str">
        <f t="shared" si="323"/>
        <v>-1296.61474013824+1609.63984345561i</v>
      </c>
      <c r="AK490" s="31">
        <f t="shared" si="341"/>
        <v>2066.918046266846</v>
      </c>
      <c r="AL490" s="31">
        <f t="shared" si="342"/>
        <v>2.2489007226422335</v>
      </c>
      <c r="AM490" s="31" t="str">
        <f t="shared" si="324"/>
        <v>1+1912.29744116034i</v>
      </c>
      <c r="AN490" s="31">
        <f t="shared" si="343"/>
        <v>1912.2977026259234</v>
      </c>
      <c r="AO490" s="31">
        <f t="shared" si="344"/>
        <v>1.570273395640295</v>
      </c>
      <c r="AP490" s="31" t="str">
        <f t="shared" si="325"/>
        <v>1+1543.21246092294i</v>
      </c>
      <c r="AQ490" s="31">
        <f t="shared" si="345"/>
        <v>1543.2127849223634</v>
      </c>
      <c r="AR490" s="31">
        <f t="shared" si="346"/>
        <v>1.5701483279707851</v>
      </c>
      <c r="AS490" s="58" t="str">
        <f t="shared" si="347"/>
        <v>-2.232669759854+1.80279937035954i</v>
      </c>
      <c r="AT490" s="49">
        <f t="shared" si="348"/>
        <v>9.1565832055077259</v>
      </c>
      <c r="AU490" s="61">
        <f t="shared" si="349"/>
        <v>141.08039070279355</v>
      </c>
      <c r="AV490" s="58" t="str">
        <f t="shared" si="326"/>
        <v>-0.00283923014308817-0.00529158020431512i</v>
      </c>
      <c r="AW490" s="64">
        <f t="shared" si="350"/>
        <v>-44.429496024859468</v>
      </c>
      <c r="AX490" s="61">
        <f t="shared" si="351"/>
        <v>-118.21605814346758</v>
      </c>
    </row>
    <row r="491" spans="14:50" x14ac:dyDescent="0.35">
      <c r="N491" s="10">
        <v>73</v>
      </c>
      <c r="O491" s="50">
        <f t="shared" si="352"/>
        <v>537031.7963702539</v>
      </c>
      <c r="P491" s="48" t="str">
        <f t="shared" si="317"/>
        <v>547.187404092767</v>
      </c>
      <c r="Q491" s="17" t="str">
        <f t="shared" si="318"/>
        <v>1+64712.8728187756i</v>
      </c>
      <c r="R491" s="17">
        <f t="shared" si="327"/>
        <v>64712.872826502033</v>
      </c>
      <c r="S491" s="17">
        <f t="shared" si="328"/>
        <v>1.5707808739188867</v>
      </c>
      <c r="T491" s="17" t="str">
        <f t="shared" si="319"/>
        <v>1+1.22449292782109i</v>
      </c>
      <c r="U491" s="17">
        <f t="shared" si="329"/>
        <v>1.5809436834637298</v>
      </c>
      <c r="V491" s="17">
        <f t="shared" si="330"/>
        <v>0.88597633392460073</v>
      </c>
      <c r="W491" s="31" t="str">
        <f t="shared" si="320"/>
        <v>1-21.2636232849888i</v>
      </c>
      <c r="X491" s="17">
        <f t="shared" si="331"/>
        <v>21.287124634527739</v>
      </c>
      <c r="Y491" s="17">
        <f t="shared" si="332"/>
        <v>-1.523802278257824</v>
      </c>
      <c r="Z491" s="31" t="str">
        <f t="shared" si="321"/>
        <v>-94.3398844008799+101.739339954642i</v>
      </c>
      <c r="AA491" s="17">
        <f t="shared" si="333"/>
        <v>138.74763811747425</v>
      </c>
      <c r="AB491" s="17">
        <f t="shared" si="334"/>
        <v>2.318475317811862</v>
      </c>
      <c r="AC491" s="66" t="str">
        <f t="shared" si="335"/>
        <v>-0.000377882092659717+0.00201582862459728i</v>
      </c>
      <c r="AD491" s="64">
        <f t="shared" si="336"/>
        <v>-53.760935693930563</v>
      </c>
      <c r="AE491" s="61">
        <f t="shared" si="337"/>
        <v>100.6173000944647</v>
      </c>
      <c r="AF491" s="31" t="str">
        <f t="shared" si="322"/>
        <v>-6627.51882264077</v>
      </c>
      <c r="AG491" s="31" t="str">
        <f t="shared" si="338"/>
        <v>3374270.29244184i</v>
      </c>
      <c r="AH491" s="31">
        <f t="shared" si="339"/>
        <v>3374270.2924418398</v>
      </c>
      <c r="AI491" s="31">
        <f t="shared" si="340"/>
        <v>1.5707963267948966</v>
      </c>
      <c r="AJ491" s="31" t="str">
        <f t="shared" si="323"/>
        <v>-1357.7694387704+1647.13317190402i</v>
      </c>
      <c r="AK491" s="31">
        <f t="shared" si="341"/>
        <v>2134.6160157849195</v>
      </c>
      <c r="AL491" s="31">
        <f t="shared" si="342"/>
        <v>2.2601932960296036</v>
      </c>
      <c r="AM491" s="31" t="str">
        <f t="shared" si="324"/>
        <v>1+1956.8405706958i</v>
      </c>
      <c r="AN491" s="31">
        <f t="shared" si="343"/>
        <v>1956.8408262097007</v>
      </c>
      <c r="AO491" s="31">
        <f t="shared" si="344"/>
        <v>1.570285299004526</v>
      </c>
      <c r="AP491" s="31" t="str">
        <f t="shared" si="325"/>
        <v>1+1579.15849686278i</v>
      </c>
      <c r="AQ491" s="31">
        <f t="shared" si="345"/>
        <v>1579.1588134870776</v>
      </c>
      <c r="AR491" s="31">
        <f t="shared" si="346"/>
        <v>1.57016307822085</v>
      </c>
      <c r="AS491" s="58" t="str">
        <f t="shared" si="347"/>
        <v>-2.19195417040374+1.8110943367809i</v>
      </c>
      <c r="AT491" s="49">
        <f t="shared" si="348"/>
        <v>9.0766529407046406</v>
      </c>
      <c r="AU491" s="61">
        <f t="shared" si="349"/>
        <v>140.43490104746334</v>
      </c>
      <c r="AV491" s="58" t="str">
        <f t="shared" si="326"/>
        <v>-0.00282255557700261-0.00510298407849217i</v>
      </c>
      <c r="AW491" s="64">
        <f t="shared" si="350"/>
        <v>-44.684282753225929</v>
      </c>
      <c r="AX491" s="61">
        <f t="shared" si="351"/>
        <v>-118.94779885807201</v>
      </c>
    </row>
    <row r="492" spans="14:50" x14ac:dyDescent="0.35">
      <c r="N492" s="10">
        <v>74</v>
      </c>
      <c r="O492" s="50">
        <f t="shared" si="352"/>
        <v>549540.87385762564</v>
      </c>
      <c r="P492" s="48" t="str">
        <f t="shared" si="317"/>
        <v>547.187404092767</v>
      </c>
      <c r="Q492" s="17" t="str">
        <f t="shared" si="318"/>
        <v>1+66220.2292658087i</v>
      </c>
      <c r="R492" s="17">
        <f t="shared" si="327"/>
        <v>66220.229273359262</v>
      </c>
      <c r="S492" s="17">
        <f t="shared" si="328"/>
        <v>1.5707812256692888</v>
      </c>
      <c r="T492" s="17" t="str">
        <f t="shared" si="319"/>
        <v>1+1.25301503213667i</v>
      </c>
      <c r="U492" s="17">
        <f t="shared" si="329"/>
        <v>1.603136510332311</v>
      </c>
      <c r="V492" s="17">
        <f t="shared" si="330"/>
        <v>0.89723025400083756</v>
      </c>
      <c r="W492" s="31" t="str">
        <f t="shared" si="320"/>
        <v>1-21.7589166980269i</v>
      </c>
      <c r="X492" s="17">
        <f t="shared" si="331"/>
        <v>21.781883662155433</v>
      </c>
      <c r="Y492" s="17">
        <f t="shared" si="332"/>
        <v>-1.5248704724142494</v>
      </c>
      <c r="Z492" s="31" t="str">
        <f t="shared" si="321"/>
        <v>-98.8331147240342+104.109153614854i</v>
      </c>
      <c r="AA492" s="17">
        <f t="shared" si="333"/>
        <v>143.55034110880882</v>
      </c>
      <c r="AB492" s="17">
        <f t="shared" si="334"/>
        <v>2.3302026120307016</v>
      </c>
      <c r="AC492" s="66" t="str">
        <f t="shared" si="335"/>
        <v>-0.000367301467157122+0.00197620735132616i</v>
      </c>
      <c r="AD492" s="64">
        <f t="shared" si="336"/>
        <v>-53.935857562565289</v>
      </c>
      <c r="AE492" s="61">
        <f t="shared" si="337"/>
        <v>100.52895458328598</v>
      </c>
      <c r="AF492" s="31" t="str">
        <f t="shared" si="322"/>
        <v>-6627.51882264077</v>
      </c>
      <c r="AG492" s="31" t="str">
        <f t="shared" si="338"/>
        <v>3452867.14431686i</v>
      </c>
      <c r="AH492" s="31">
        <f t="shared" si="339"/>
        <v>3452867.14431686</v>
      </c>
      <c r="AI492" s="31">
        <f t="shared" si="340"/>
        <v>1.5707963267948966</v>
      </c>
      <c r="AJ492" s="31" t="str">
        <f t="shared" si="323"/>
        <v>-1421.80626955559+1685.49983216256i</v>
      </c>
      <c r="AK492" s="31">
        <f t="shared" si="341"/>
        <v>2205.0947263933131</v>
      </c>
      <c r="AL492" s="31">
        <f t="shared" si="342"/>
        <v>2.2715348953085233</v>
      </c>
      <c r="AM492" s="31" t="str">
        <f t="shared" si="324"/>
        <v>1+2002.42124300368i</v>
      </c>
      <c r="AN492" s="31">
        <f t="shared" si="343"/>
        <v>2002.421492701375</v>
      </c>
      <c r="AO492" s="31">
        <f t="shared" si="344"/>
        <v>1.5702969314152471</v>
      </c>
      <c r="AP492" s="31" t="str">
        <f t="shared" si="325"/>
        <v>1+1615.94182354029i</v>
      </c>
      <c r="AQ492" s="31">
        <f t="shared" si="345"/>
        <v>1615.9421329573399</v>
      </c>
      <c r="AR492" s="31">
        <f t="shared" si="346"/>
        <v>1.570177492714498</v>
      </c>
      <c r="AS492" s="58" t="str">
        <f t="shared" si="347"/>
        <v>-2.15088152038715+1.81850033329574i</v>
      </c>
      <c r="AT492" s="49">
        <f t="shared" si="348"/>
        <v>8.9945030703048783</v>
      </c>
      <c r="AU492" s="61">
        <f t="shared" si="349"/>
        <v>139.78656765354225</v>
      </c>
      <c r="AV492" s="58" t="str">
        <f t="shared" si="326"/>
        <v>-0.00280371178892877-0.00491852571286591i</v>
      </c>
      <c r="AW492" s="64">
        <f t="shared" si="350"/>
        <v>-44.941354492260416</v>
      </c>
      <c r="AX492" s="61">
        <f t="shared" si="351"/>
        <v>-119.68447776317176</v>
      </c>
    </row>
    <row r="493" spans="14:50" x14ac:dyDescent="0.35">
      <c r="N493" s="10">
        <v>75</v>
      </c>
      <c r="O493" s="50">
        <f t="shared" si="352"/>
        <v>562341.32519035018</v>
      </c>
      <c r="P493" s="48" t="str">
        <f t="shared" si="317"/>
        <v>547.187404092767</v>
      </c>
      <c r="Q493" s="17" t="str">
        <f t="shared" si="318"/>
        <v>1+67762.6965549271i</v>
      </c>
      <c r="R493" s="17">
        <f t="shared" si="327"/>
        <v>67762.696562305791</v>
      </c>
      <c r="S493" s="17">
        <f t="shared" si="328"/>
        <v>1.5707815694128742</v>
      </c>
      <c r="T493" s="17" t="str">
        <f t="shared" si="319"/>
        <v>1+1.2822015016079i</v>
      </c>
      <c r="U493" s="17">
        <f t="shared" si="329"/>
        <v>1.6260506421159071</v>
      </c>
      <c r="V493" s="17">
        <f t="shared" si="330"/>
        <v>0.90842685148987889</v>
      </c>
      <c r="W493" s="31" t="str">
        <f t="shared" si="320"/>
        <v>1-22.2657469767116i</v>
      </c>
      <c r="X493" s="17">
        <f t="shared" si="331"/>
        <v>22.288191681492282</v>
      </c>
      <c r="Y493" s="17">
        <f t="shared" si="332"/>
        <v>-1.5259144528570228</v>
      </c>
      <c r="Z493" s="31" t="str">
        <f t="shared" si="321"/>
        <v>-103.538104468377+106.534167326361i</v>
      </c>
      <c r="AA493" s="17">
        <f t="shared" si="333"/>
        <v>148.55863450108052</v>
      </c>
      <c r="AB493" s="17">
        <f t="shared" si="334"/>
        <v>2.3419333993885254</v>
      </c>
      <c r="AC493" s="66" t="str">
        <f t="shared" si="335"/>
        <v>-0.000356916988497995+0.00193735254999863i</v>
      </c>
      <c r="AD493" s="64">
        <f t="shared" si="336"/>
        <v>-54.110871719254803</v>
      </c>
      <c r="AE493" s="61">
        <f t="shared" si="337"/>
        <v>100.43851239002433</v>
      </c>
      <c r="AF493" s="31" t="str">
        <f t="shared" si="322"/>
        <v>-6627.51882264077</v>
      </c>
      <c r="AG493" s="31" t="str">
        <f t="shared" si="338"/>
        <v>3533294.75205591i</v>
      </c>
      <c r="AH493" s="31">
        <f t="shared" si="339"/>
        <v>3533294.75205591</v>
      </c>
      <c r="AI493" s="31">
        <f t="shared" si="340"/>
        <v>1.5707963267948966</v>
      </c>
      <c r="AJ493" s="31" t="str">
        <f t="shared" si="323"/>
        <v>-1488.86106319746+1724.76016674233i</v>
      </c>
      <c r="AK493" s="31">
        <f t="shared" si="341"/>
        <v>2278.4874145552135</v>
      </c>
      <c r="AL493" s="31">
        <f t="shared" si="342"/>
        <v>2.2829199062300938</v>
      </c>
      <c r="AM493" s="31" t="str">
        <f t="shared" si="324"/>
        <v>1+2049.06362555979i</v>
      </c>
      <c r="AN493" s="31">
        <f t="shared" si="343"/>
        <v>2049.0638695736725</v>
      </c>
      <c r="AO493" s="31">
        <f t="shared" si="344"/>
        <v>1.5703082990401038</v>
      </c>
      <c r="AP493" s="31" t="str">
        <f t="shared" si="325"/>
        <v>1+1653.58194396216i</v>
      </c>
      <c r="AQ493" s="31">
        <f t="shared" si="345"/>
        <v>1653.5822463360196</v>
      </c>
      <c r="AR493" s="31">
        <f t="shared" si="346"/>
        <v>1.5701915790944607</v>
      </c>
      <c r="AS493" s="58" t="str">
        <f t="shared" si="347"/>
        <v>-2.10949118274072+1.82499835144388i</v>
      </c>
      <c r="AT493" s="49">
        <f t="shared" si="348"/>
        <v>8.9101152778281651</v>
      </c>
      <c r="AU493" s="61">
        <f t="shared" si="349"/>
        <v>139.13571298507389</v>
      </c>
      <c r="AV493" s="58" t="str">
        <f t="shared" si="326"/>
        <v>-0.00278275196970621-0.00473820103769352i</v>
      </c>
      <c r="AW493" s="64">
        <f t="shared" si="350"/>
        <v>-45.20075644142662</v>
      </c>
      <c r="AX493" s="61">
        <f t="shared" si="351"/>
        <v>-120.42577462490176</v>
      </c>
    </row>
    <row r="494" spans="14:50" x14ac:dyDescent="0.35">
      <c r="N494" s="10">
        <v>76</v>
      </c>
      <c r="O494" s="50">
        <f t="shared" si="352"/>
        <v>575439.93733715697</v>
      </c>
      <c r="P494" s="48" t="str">
        <f t="shared" si="317"/>
        <v>547.187404092767</v>
      </c>
      <c r="Q494" s="17" t="str">
        <f t="shared" si="318"/>
        <v>1+69341.092522704i</v>
      </c>
      <c r="R494" s="17">
        <f t="shared" si="327"/>
        <v>69341.092529914735</v>
      </c>
      <c r="S494" s="17">
        <f t="shared" si="328"/>
        <v>1.5707819053319005</v>
      </c>
      <c r="T494" s="17" t="str">
        <f t="shared" si="319"/>
        <v>1+1.31206781128722i</v>
      </c>
      <c r="U494" s="17">
        <f t="shared" si="329"/>
        <v>1.6497035919873713</v>
      </c>
      <c r="V494" s="17">
        <f t="shared" si="330"/>
        <v>0.91956083438121594</v>
      </c>
      <c r="W494" s="31" t="str">
        <f t="shared" si="320"/>
        <v>1-22.7843828491653i</v>
      </c>
      <c r="X494" s="17">
        <f t="shared" si="331"/>
        <v>22.806317147170823</v>
      </c>
      <c r="Y494" s="17">
        <f t="shared" si="332"/>
        <v>-1.5269347640105797</v>
      </c>
      <c r="Z494" s="31" t="str">
        <f t="shared" si="321"/>
        <v>-108.464833547965+109.01566686353i</v>
      </c>
      <c r="AA494" s="17">
        <f t="shared" si="333"/>
        <v>153.78242987509302</v>
      </c>
      <c r="AB494" s="17">
        <f t="shared" si="334"/>
        <v>2.353661701566911</v>
      </c>
      <c r="AC494" s="66" t="str">
        <f t="shared" si="335"/>
        <v>-0.00034672580735488+0.00189924348117622i</v>
      </c>
      <c r="AD494" s="64">
        <f t="shared" si="336"/>
        <v>-54.286004556495456</v>
      </c>
      <c r="AE494" s="61">
        <f t="shared" si="337"/>
        <v>100.34598163356176</v>
      </c>
      <c r="AF494" s="31" t="str">
        <f t="shared" si="322"/>
        <v>-6627.51882264077</v>
      </c>
      <c r="AG494" s="31" t="str">
        <f t="shared" si="338"/>
        <v>3615595.75944117i</v>
      </c>
      <c r="AH494" s="31">
        <f t="shared" si="339"/>
        <v>3615595.7594411699</v>
      </c>
      <c r="AI494" s="31">
        <f t="shared" si="340"/>
        <v>1.5707963267948966</v>
      </c>
      <c r="AJ494" s="31" t="str">
        <f t="shared" si="323"/>
        <v>-1559.07605190353+1764.93499199241i</v>
      </c>
      <c r="AK494" s="31">
        <f t="shared" si="341"/>
        <v>2354.9338974965617</v>
      </c>
      <c r="AL494" s="31">
        <f t="shared" si="342"/>
        <v>2.2943426024482072</v>
      </c>
      <c r="AM494" s="31" t="str">
        <f t="shared" si="324"/>
        <v>1+2096.79244877272i</v>
      </c>
      <c r="AN494" s="31">
        <f t="shared" si="343"/>
        <v>2096.7926872321686</v>
      </c>
      <c r="AO494" s="31">
        <f t="shared" si="344"/>
        <v>1.5703194079063494</v>
      </c>
      <c r="AP494" s="31" t="str">
        <f t="shared" si="325"/>
        <v>1+1692.09881541846i</v>
      </c>
      <c r="AQ494" s="31">
        <f t="shared" si="345"/>
        <v>1692.0991109094509</v>
      </c>
      <c r="AR494" s="31">
        <f t="shared" si="346"/>
        <v>1.5702053448295008</v>
      </c>
      <c r="AS494" s="58" t="str">
        <f t="shared" si="347"/>
        <v>-2.06782381988893+1.83057154376948i</v>
      </c>
      <c r="AT494" s="49">
        <f t="shared" si="348"/>
        <v>8.8234734193330571</v>
      </c>
      <c r="AU494" s="61">
        <f t="shared" si="349"/>
        <v>138.48266591078666</v>
      </c>
      <c r="AV494" s="58" t="str">
        <f t="shared" si="326"/>
        <v>-0.00275973318791223-0.0045620073065793i</v>
      </c>
      <c r="AW494" s="64">
        <f t="shared" si="350"/>
        <v>-45.462531137162408</v>
      </c>
      <c r="AX494" s="61">
        <f t="shared" si="351"/>
        <v>-121.17135245565156</v>
      </c>
    </row>
    <row r="495" spans="14:50" x14ac:dyDescent="0.35">
      <c r="N495" s="10">
        <v>77</v>
      </c>
      <c r="O495" s="50">
        <f t="shared" si="352"/>
        <v>588843.65535558888</v>
      </c>
      <c r="P495" s="48" t="str">
        <f t="shared" si="317"/>
        <v>547.187404092767</v>
      </c>
      <c r="Q495" s="17" t="str">
        <f t="shared" si="318"/>
        <v>1+70956.2540555744i</v>
      </c>
      <c r="R495" s="17">
        <f t="shared" si="327"/>
        <v>70956.254062620996</v>
      </c>
      <c r="S495" s="17">
        <f t="shared" si="328"/>
        <v>1.5707822336044761</v>
      </c>
      <c r="T495" s="17" t="str">
        <f t="shared" si="319"/>
        <v>1+1.34262979668736i</v>
      </c>
      <c r="U495" s="17">
        <f t="shared" si="329"/>
        <v>1.6741131296757523</v>
      </c>
      <c r="V495" s="17">
        <f t="shared" si="330"/>
        <v>0.93062706471719348</v>
      </c>
      <c r="W495" s="31" t="str">
        <f t="shared" si="320"/>
        <v>1-23.3150993029927i</v>
      </c>
      <c r="X495" s="17">
        <f t="shared" si="331"/>
        <v>23.336534779362822</v>
      </c>
      <c r="Y495" s="17">
        <f t="shared" si="332"/>
        <v>-1.5279319383551266</v>
      </c>
      <c r="Z495" s="31" t="str">
        <f t="shared" si="321"/>
        <v>-113.623752215713+111.554967950264i</v>
      </c>
      <c r="AA495" s="17">
        <f t="shared" si="333"/>
        <v>159.23211969311396</v>
      </c>
      <c r="AB495" s="17">
        <f t="shared" si="334"/>
        <v>2.3653815308710362</v>
      </c>
      <c r="AC495" s="66" t="str">
        <f t="shared" si="335"/>
        <v>-0.000336725500861639+0.00186186022433263i</v>
      </c>
      <c r="AD495" s="64">
        <f t="shared" si="336"/>
        <v>-54.461281877750871</v>
      </c>
      <c r="AE495" s="61">
        <f t="shared" si="337"/>
        <v>100.2513804811784</v>
      </c>
      <c r="AF495" s="31" t="str">
        <f t="shared" si="322"/>
        <v>-6627.51882264077</v>
      </c>
      <c r="AG495" s="31" t="str">
        <f t="shared" si="338"/>
        <v>3699813.80355616i</v>
      </c>
      <c r="AH495" s="31">
        <f t="shared" si="339"/>
        <v>3699813.8035561601</v>
      </c>
      <c r="AI495" s="31">
        <f t="shared" si="340"/>
        <v>1.5707963267948966</v>
      </c>
      <c r="AJ495" s="31" t="str">
        <f t="shared" si="323"/>
        <v>-1632.60017107871+1806.04560913692i</v>
      </c>
      <c r="AK495" s="31">
        <f t="shared" si="341"/>
        <v>2434.5808799234787</v>
      </c>
      <c r="AL495" s="31">
        <f t="shared" si="342"/>
        <v>2.3057971593540665</v>
      </c>
      <c r="AM495" s="31" t="str">
        <f t="shared" si="324"/>
        <v>1+2145.63301909633i</v>
      </c>
      <c r="AN495" s="31">
        <f t="shared" si="343"/>
        <v>2145.6332521277795</v>
      </c>
      <c r="AO495" s="31">
        <f t="shared" si="344"/>
        <v>1.5703302639040411</v>
      </c>
      <c r="AP495" s="31" t="str">
        <f t="shared" si="325"/>
        <v>1+1731.51286006428i</v>
      </c>
      <c r="AQ495" s="31">
        <f t="shared" si="345"/>
        <v>1731.513148829076</v>
      </c>
      <c r="AR495" s="31">
        <f t="shared" si="346"/>
        <v>1.5702187972183721</v>
      </c>
      <c r="AS495" s="58" t="str">
        <f t="shared" si="347"/>
        <v>-2.02592123102432+1.83520532781342i</v>
      </c>
      <c r="AT495" s="49">
        <f t="shared" si="348"/>
        <v>8.7345635893039848</v>
      </c>
      <c r="AU495" s="61">
        <f t="shared" si="349"/>
        <v>137.8277609118453</v>
      </c>
      <c r="AV495" s="58" t="str">
        <f t="shared" si="326"/>
        <v>-0.00273471646211624-0.0043899425908671i</v>
      </c>
      <c r="AW495" s="64">
        <f t="shared" si="350"/>
        <v>-45.726718288446889</v>
      </c>
      <c r="AX495" s="61">
        <f t="shared" si="351"/>
        <v>-121.9208586069763</v>
      </c>
    </row>
    <row r="496" spans="14:50" x14ac:dyDescent="0.35">
      <c r="N496" s="10">
        <v>78</v>
      </c>
      <c r="O496" s="50">
        <f t="shared" si="352"/>
        <v>602559.58607435878</v>
      </c>
      <c r="P496" s="48" t="str">
        <f t="shared" si="317"/>
        <v>547.187404092767</v>
      </c>
      <c r="Q496" s="17" t="str">
        <f t="shared" si="318"/>
        <v>1+72609.0375335621i</v>
      </c>
      <c r="R496" s="17">
        <f t="shared" si="327"/>
        <v>72609.037540448291</v>
      </c>
      <c r="S496" s="17">
        <f t="shared" si="328"/>
        <v>1.5707825544046556</v>
      </c>
      <c r="T496" s="17" t="str">
        <f t="shared" si="319"/>
        <v>1+1.3739036621775i</v>
      </c>
      <c r="U496" s="17">
        <f t="shared" si="329"/>
        <v>1.6992972879825199</v>
      </c>
      <c r="V496" s="17">
        <f t="shared" si="330"/>
        <v>0.94162056887773093</v>
      </c>
      <c r="W496" s="31" t="str">
        <f t="shared" si="320"/>
        <v>1-23.8581777310823i</v>
      </c>
      <c r="X496" s="17">
        <f t="shared" si="331"/>
        <v>23.87912570945409</v>
      </c>
      <c r="Y496" s="17">
        <f t="shared" si="332"/>
        <v>-1.528906496668806</v>
      </c>
      <c r="Z496" s="31" t="str">
        <f t="shared" si="321"/>
        <v>-119.025803229786+114.153416957609i</v>
      </c>
      <c r="AA496" s="17">
        <f t="shared" si="333"/>
        <v>164.9185994289106</v>
      </c>
      <c r="AB496" s="17">
        <f t="shared" si="334"/>
        <v>2.377086906449271</v>
      </c>
      <c r="AC496" s="66" t="str">
        <f t="shared" si="335"/>
        <v>-0.00032691402687046+0.00182518366825912i</v>
      </c>
      <c r="AD496" s="64">
        <f t="shared" si="336"/>
        <v>-54.636728803497903</v>
      </c>
      <c r="AE496" s="61">
        <f t="shared" si="337"/>
        <v>100.15473679462879</v>
      </c>
      <c r="AF496" s="31" t="str">
        <f t="shared" si="322"/>
        <v>-6627.51882264077</v>
      </c>
      <c r="AG496" s="31" t="str">
        <f t="shared" si="338"/>
        <v>3785993.53792262i</v>
      </c>
      <c r="AH496" s="31">
        <f t="shared" si="339"/>
        <v>3785993.5379226198</v>
      </c>
      <c r="AI496" s="31">
        <f t="shared" si="340"/>
        <v>1.5707963267948966</v>
      </c>
      <c r="AJ496" s="31" t="str">
        <f t="shared" si="323"/>
        <v>-1709.58937523735+1848.11381556924i</v>
      </c>
      <c r="AK496" s="31">
        <f t="shared" si="341"/>
        <v>2517.5822741714574</v>
      </c>
      <c r="AL496" s="31">
        <f t="shared" si="342"/>
        <v>2.3172776685207119</v>
      </c>
      <c r="AM496" s="31" t="str">
        <f t="shared" si="324"/>
        <v>1+2195.61123244747i</v>
      </c>
      <c r="AN496" s="31">
        <f t="shared" si="343"/>
        <v>2195.6114601744766</v>
      </c>
      <c r="AO496" s="31">
        <f t="shared" si="344"/>
        <v>1.5703408727891621</v>
      </c>
      <c r="AP496" s="31" t="str">
        <f t="shared" si="325"/>
        <v>1+1771.84497574778i</v>
      </c>
      <c r="AQ496" s="31">
        <f t="shared" si="345"/>
        <v>1771.845257939488</v>
      </c>
      <c r="AR496" s="31">
        <f t="shared" si="346"/>
        <v>1.5702319433936898</v>
      </c>
      <c r="AS496" s="58" t="str">
        <f t="shared" si="347"/>
        <v>-1.98382618960116+1.83888747718321i</v>
      </c>
      <c r="AT496" s="49">
        <f t="shared" si="348"/>
        <v>8.6433741779772717</v>
      </c>
      <c r="AU496" s="61">
        <f t="shared" si="349"/>
        <v>137.17133725464046</v>
      </c>
      <c r="AV496" s="58" t="str">
        <f t="shared" si="326"/>
        <v>-0.00270776678286741-0.00422200527205238i</v>
      </c>
      <c r="AW496" s="64">
        <f t="shared" si="350"/>
        <v>-45.993354625520638</v>
      </c>
      <c r="AX496" s="61">
        <f t="shared" si="351"/>
        <v>-122.67392595073072</v>
      </c>
    </row>
    <row r="497" spans="14:50" x14ac:dyDescent="0.35">
      <c r="N497" s="10">
        <v>79</v>
      </c>
      <c r="O497" s="50">
        <f t="shared" si="352"/>
        <v>616595.00186148309</v>
      </c>
      <c r="P497" s="48" t="str">
        <f t="shared" si="317"/>
        <v>547.187404092767</v>
      </c>
      <c r="Q497" s="17" t="str">
        <f t="shared" si="318"/>
        <v>1+74300.3192843444i</v>
      </c>
      <c r="R497" s="17">
        <f t="shared" si="327"/>
        <v>74300.319291073843</v>
      </c>
      <c r="S497" s="17">
        <f t="shared" si="328"/>
        <v>1.5707828679025315</v>
      </c>
      <c r="T497" s="17" t="str">
        <f t="shared" si="319"/>
        <v>1+1.40590598957511i</v>
      </c>
      <c r="U497" s="17">
        <f t="shared" si="329"/>
        <v>1.7252743699258881</v>
      </c>
      <c r="V497" s="17">
        <f t="shared" si="330"/>
        <v>0.95253654693512879</v>
      </c>
      <c r="W497" s="31" t="str">
        <f t="shared" si="320"/>
        <v>1-24.4139060808053i</v>
      </c>
      <c r="X497" s="17">
        <f t="shared" si="331"/>
        <v>24.434377629118814</v>
      </c>
      <c r="Y497" s="17">
        <f t="shared" si="332"/>
        <v>-1.5298589482663145</v>
      </c>
      <c r="Z497" s="31" t="str">
        <f t="shared" si="321"/>
        <v>-124.682445064649+116.812391617625i</v>
      </c>
      <c r="AA497" s="17">
        <f t="shared" si="333"/>
        <v>170.85329069915102</v>
      </c>
      <c r="AB497" s="17">
        <f t="shared" si="334"/>
        <v>2.3887718704503706</v>
      </c>
      <c r="AC497" s="66" t="str">
        <f t="shared" si="335"/>
        <v>-0.000317289679188983+0.00178919549925511i</v>
      </c>
      <c r="AD497" s="64">
        <f t="shared" si="336"/>
        <v>-54.812369682613692</v>
      </c>
      <c r="AE497" s="61">
        <f t="shared" si="337"/>
        <v>100.05608772671691</v>
      </c>
      <c r="AF497" s="31" t="str">
        <f t="shared" si="322"/>
        <v>-6627.51882264077</v>
      </c>
      <c r="AG497" s="31" t="str">
        <f t="shared" si="338"/>
        <v>3874180.65617644i</v>
      </c>
      <c r="AH497" s="31">
        <f t="shared" si="339"/>
        <v>3874180.65617644</v>
      </c>
      <c r="AI497" s="31">
        <f t="shared" si="340"/>
        <v>1.5707963267948966</v>
      </c>
      <c r="AJ497" s="31" t="str">
        <f t="shared" si="323"/>
        <v>-1790.20696880359+1891.16191640925i</v>
      </c>
      <c r="AK497" s="31">
        <f t="shared" si="341"/>
        <v>2604.0995344321318</v>
      </c>
      <c r="AL497" s="31">
        <f t="shared" si="342"/>
        <v>2.3287781526734017</v>
      </c>
      <c r="AM497" s="31" t="str">
        <f t="shared" si="324"/>
        <v>1+2246.7535879364i</v>
      </c>
      <c r="AN497" s="31">
        <f t="shared" si="343"/>
        <v>2246.7538104797077</v>
      </c>
      <c r="AO497" s="31">
        <f t="shared" si="344"/>
        <v>1.5703512401866744</v>
      </c>
      <c r="AP497" s="31" t="str">
        <f t="shared" si="325"/>
        <v>1+1813.11654709057i</v>
      </c>
      <c r="AQ497" s="31">
        <f t="shared" si="345"/>
        <v>1813.1168228588115</v>
      </c>
      <c r="AR497" s="31">
        <f t="shared" si="346"/>
        <v>1.570244790325712</v>
      </c>
      <c r="AS497" s="58" t="str">
        <f t="shared" si="347"/>
        <v>-1.94158227233474+1.84160819865267i</v>
      </c>
      <c r="AT497" s="49">
        <f t="shared" si="348"/>
        <v>8.5498959196123927</v>
      </c>
      <c r="AU497" s="61">
        <f t="shared" si="349"/>
        <v>136.51373813344082</v>
      </c>
      <c r="AV497" s="58" t="str">
        <f t="shared" si="326"/>
        <v>-0.00267895308411256-0.00405819353763713i</v>
      </c>
      <c r="AW497" s="64">
        <f t="shared" si="350"/>
        <v>-46.262473763001296</v>
      </c>
      <c r="AX497" s="61">
        <f t="shared" si="351"/>
        <v>-123.43017413984222</v>
      </c>
    </row>
    <row r="498" spans="14:50" x14ac:dyDescent="0.35">
      <c r="N498" s="10">
        <v>80</v>
      </c>
      <c r="O498" s="50">
        <f t="shared" si="352"/>
        <v>630957.34448019415</v>
      </c>
      <c r="P498" s="48" t="str">
        <f t="shared" si="317"/>
        <v>547.187404092767</v>
      </c>
      <c r="Q498" s="17" t="str">
        <f t="shared" si="318"/>
        <v>1+76030.9960478921i</v>
      </c>
      <c r="R498" s="17">
        <f t="shared" si="327"/>
        <v>76030.996054468356</v>
      </c>
      <c r="S498" s="17">
        <f t="shared" si="328"/>
        <v>1.5707831742643246</v>
      </c>
      <c r="T498" s="17" t="str">
        <f t="shared" si="319"/>
        <v>1+1.43865374693774i</v>
      </c>
      <c r="U498" s="17">
        <f t="shared" si="329"/>
        <v>1.7520629565109809</v>
      </c>
      <c r="V498" s="17">
        <f t="shared" si="330"/>
        <v>0.96337038104921291</v>
      </c>
      <c r="W498" s="31" t="str">
        <f t="shared" si="320"/>
        <v>1-24.9825790066885i</v>
      </c>
      <c r="X498" s="17">
        <f t="shared" si="331"/>
        <v>25.002584942870069</v>
      </c>
      <c r="Y498" s="17">
        <f t="shared" si="332"/>
        <v>-1.5307897912339179</v>
      </c>
      <c r="Z498" s="31" t="str">
        <f t="shared" si="321"/>
        <v>-130.605676216032+119.53330175387i</v>
      </c>
      <c r="AA498" s="17">
        <f t="shared" si="333"/>
        <v>177.04816544666235</v>
      </c>
      <c r="AB498" s="17">
        <f t="shared" si="334"/>
        <v>2.4004305040149823</v>
      </c>
      <c r="AC498" s="66" t="str">
        <f t="shared" si="335"/>
        <v>-0.000307851044000677+0.00175387818713541i</v>
      </c>
      <c r="AD498" s="64">
        <f t="shared" si="336"/>
        <v>-54.988228009774282</v>
      </c>
      <c r="AE498" s="61">
        <f t="shared" si="337"/>
        <v>99.955479272586246</v>
      </c>
      <c r="AF498" s="31" t="str">
        <f t="shared" si="322"/>
        <v>-6627.51882264077</v>
      </c>
      <c r="AG498" s="31" t="str">
        <f t="shared" si="338"/>
        <v>3964421.916295i</v>
      </c>
      <c r="AH498" s="31">
        <f t="shared" si="339"/>
        <v>3964421.9162949999</v>
      </c>
      <c r="AI498" s="31">
        <f t="shared" si="340"/>
        <v>1.5707963267948966</v>
      </c>
      <c r="AJ498" s="31" t="str">
        <f t="shared" si="323"/>
        <v>-1874.62395250195+1935.21273632983i</v>
      </c>
      <c r="AK498" s="31">
        <f t="shared" si="341"/>
        <v>2694.3020057423446</v>
      </c>
      <c r="AL498" s="31">
        <f t="shared" si="342"/>
        <v>2.340292581095718</v>
      </c>
      <c r="AM498" s="31" t="str">
        <f t="shared" si="324"/>
        <v>1+2299.08720191696i</v>
      </c>
      <c r="AN498" s="31">
        <f t="shared" si="343"/>
        <v>2299.0874193945642</v>
      </c>
      <c r="AO498" s="31">
        <f t="shared" si="344"/>
        <v>1.5703613715935001</v>
      </c>
      <c r="AP498" s="31" t="str">
        <f t="shared" si="325"/>
        <v>1+1855.34945682606i</v>
      </c>
      <c r="AQ498" s="31">
        <f t="shared" si="345"/>
        <v>1855.3497263170509</v>
      </c>
      <c r="AR498" s="31">
        <f t="shared" si="346"/>
        <v>1.5702573448260351</v>
      </c>
      <c r="AS498" s="58" t="str">
        <f t="shared" si="347"/>
        <v>-1.89923368112248+1.84336019439181i</v>
      </c>
      <c r="AT498" s="49">
        <f t="shared" si="348"/>
        <v>8.4541219312828915</v>
      </c>
      <c r="AU498" s="61">
        <f t="shared" si="349"/>
        <v>135.85530978807068</v>
      </c>
      <c r="AV498" s="58" t="str">
        <f t="shared" si="326"/>
        <v>-0.00264834816444268-0.00389850488590642i</v>
      </c>
      <c r="AW498" s="64">
        <f t="shared" si="350"/>
        <v>-46.534106078491384</v>
      </c>
      <c r="AX498" s="61">
        <f t="shared" si="351"/>
        <v>-124.18921093934303</v>
      </c>
    </row>
    <row r="499" spans="14:50" x14ac:dyDescent="0.35">
      <c r="N499" s="10">
        <v>81</v>
      </c>
      <c r="O499" s="50">
        <f t="shared" si="352"/>
        <v>645654.22903465747</v>
      </c>
      <c r="P499" s="48" t="str">
        <f t="shared" si="317"/>
        <v>547.187404092767</v>
      </c>
      <c r="Q499" s="17" t="str">
        <f t="shared" si="318"/>
        <v>1+77801.9854519338i</v>
      </c>
      <c r="R499" s="17">
        <f t="shared" si="327"/>
        <v>77801.985458360359</v>
      </c>
      <c r="S499" s="17">
        <f t="shared" si="328"/>
        <v>1.5707834736524717</v>
      </c>
      <c r="T499" s="17" t="str">
        <f t="shared" si="319"/>
        <v>1+1.47216429755985i</v>
      </c>
      <c r="U499" s="17">
        <f t="shared" si="329"/>
        <v>1.779681915121319</v>
      </c>
      <c r="V499" s="17">
        <f t="shared" si="330"/>
        <v>0.97411764288259417</v>
      </c>
      <c r="W499" s="31" t="str">
        <f t="shared" si="320"/>
        <v>1-25.5644980266447i</v>
      </c>
      <c r="X499" s="17">
        <f t="shared" si="331"/>
        <v>25.584048924169931</v>
      </c>
      <c r="Y499" s="17">
        <f t="shared" si="332"/>
        <v>-1.5316995126608299</v>
      </c>
      <c r="Z499" s="31" t="str">
        <f t="shared" si="321"/>
        <v>-136.808060651351+122.317590028916i</v>
      </c>
      <c r="AA499" s="17">
        <f t="shared" si="333"/>
        <v>183.51577122870316</v>
      </c>
      <c r="AB499" s="17">
        <f t="shared" si="334"/>
        <v>2.4120569429996817</v>
      </c>
      <c r="AC499" s="66" t="str">
        <f t="shared" si="335"/>
        <v>-0.000298596957668661+0.00171921496911282i</v>
      </c>
      <c r="AD499" s="64">
        <f t="shared" si="336"/>
        <v>-55.164326349451585</v>
      </c>
      <c r="AE499" s="61">
        <f t="shared" si="337"/>
        <v>99.852965780399074</v>
      </c>
      <c r="AF499" s="31" t="str">
        <f t="shared" si="322"/>
        <v>-6627.51882264077</v>
      </c>
      <c r="AG499" s="31" t="str">
        <f t="shared" si="338"/>
        <v>4056765.16538892i</v>
      </c>
      <c r="AH499" s="31">
        <f t="shared" si="339"/>
        <v>4056765.1653889199</v>
      </c>
      <c r="AI499" s="31">
        <f t="shared" si="340"/>
        <v>1.5707963267948966</v>
      </c>
      <c r="AJ499" s="31" t="str">
        <f t="shared" si="323"/>
        <v>-1963.01938607287+1980.28963165878i</v>
      </c>
      <c r="AK499" s="31">
        <f t="shared" si="341"/>
        <v>2788.3672884598932</v>
      </c>
      <c r="AL499" s="31">
        <f t="shared" si="342"/>
        <v>2.3518148853761174</v>
      </c>
      <c r="AM499" s="31" t="str">
        <f t="shared" si="324"/>
        <v>1+2352.639822364i</v>
      </c>
      <c r="AN499" s="31">
        <f t="shared" si="343"/>
        <v>2352.6400348912102</v>
      </c>
      <c r="AO499" s="31">
        <f t="shared" si="344"/>
        <v>1.5703712723814371</v>
      </c>
      <c r="AP499" s="31" t="str">
        <f t="shared" si="325"/>
        <v>1+1898.56609740201i</v>
      </c>
      <c r="AQ499" s="31">
        <f t="shared" si="345"/>
        <v>1898.5663607586378</v>
      </c>
      <c r="AR499" s="31">
        <f t="shared" si="346"/>
        <v>1.5702696135512055</v>
      </c>
      <c r="AS499" s="58" t="str">
        <f t="shared" si="347"/>
        <v>-1.85682505941033+1.84413870859343i</v>
      </c>
      <c r="AT499" s="49">
        <f t="shared" si="348"/>
        <v>8.3560477418446091</v>
      </c>
      <c r="AU499" s="61">
        <f t="shared" si="349"/>
        <v>135.19640060207334</v>
      </c>
      <c r="AV499" s="58" t="str">
        <f t="shared" si="326"/>
        <v>-0.00261602855927135-0.00374293564506705i</v>
      </c>
      <c r="AW499" s="64">
        <f t="shared" si="350"/>
        <v>-46.808278607606979</v>
      </c>
      <c r="AX499" s="61">
        <f t="shared" si="351"/>
        <v>-124.95063361752756</v>
      </c>
    </row>
    <row r="500" spans="14:50" x14ac:dyDescent="0.35">
      <c r="N500" s="10">
        <v>82</v>
      </c>
      <c r="O500" s="50">
        <f t="shared" si="352"/>
        <v>660693.44800759677</v>
      </c>
      <c r="P500" s="48" t="str">
        <f t="shared" si="317"/>
        <v>547.187404092767</v>
      </c>
      <c r="Q500" s="17" t="str">
        <f t="shared" si="318"/>
        <v>1+79614.2264984929i</v>
      </c>
      <c r="R500" s="17">
        <f t="shared" si="327"/>
        <v>79614.226504773193</v>
      </c>
      <c r="S500" s="17">
        <f t="shared" si="328"/>
        <v>1.5707837662257129</v>
      </c>
      <c r="T500" s="17" t="str">
        <f t="shared" si="319"/>
        <v>1+1.50645540917891i</v>
      </c>
      <c r="U500" s="17">
        <f t="shared" si="329"/>
        <v>1.8081504085236928</v>
      </c>
      <c r="V500" s="17">
        <f t="shared" si="330"/>
        <v>0.98477410002459975</v>
      </c>
      <c r="W500" s="31" t="str">
        <f t="shared" si="320"/>
        <v>1-26.1599716818406i</v>
      </c>
      <c r="X500" s="17">
        <f t="shared" si="331"/>
        <v>26.179077875179296</v>
      </c>
      <c r="Y500" s="17">
        <f t="shared" si="332"/>
        <v>-1.532588588866924</v>
      </c>
      <c r="Z500" s="31" t="str">
        <f t="shared" si="321"/>
        <v>-143.302754459559+125.16673270926i</v>
      </c>
      <c r="AA500" s="17">
        <f t="shared" si="333"/>
        <v>190.26925766609801</v>
      </c>
      <c r="AB500" s="17">
        <f t="shared" si="334"/>
        <v>2.4236453933352609</v>
      </c>
      <c r="AC500" s="66" t="str">
        <f t="shared" si="335"/>
        <v>-0.000289526466114183+0.00168518983164106i</v>
      </c>
      <c r="AD500" s="64">
        <f t="shared" si="336"/>
        <v>-55.34068626700693</v>
      </c>
      <c r="AE500" s="61">
        <f t="shared" si="337"/>
        <v>99.748609426386153</v>
      </c>
      <c r="AF500" s="31" t="str">
        <f t="shared" si="322"/>
        <v>-6627.51882264077</v>
      </c>
      <c r="AG500" s="31" t="str">
        <f t="shared" si="338"/>
        <v>4151259.36507115i</v>
      </c>
      <c r="AH500" s="31">
        <f t="shared" si="339"/>
        <v>4151259.36507115</v>
      </c>
      <c r="AI500" s="31">
        <f t="shared" si="340"/>
        <v>1.5707963267948966</v>
      </c>
      <c r="AJ500" s="31" t="str">
        <f t="shared" si="323"/>
        <v>-2055.58076808229+2026.41650276266i</v>
      </c>
      <c r="AK500" s="31">
        <f t="shared" si="341"/>
        <v>2886.4816189919911</v>
      </c>
      <c r="AL500" s="31">
        <f t="shared" si="342"/>
        <v>2.363338975395509</v>
      </c>
      <c r="AM500" s="31" t="str">
        <f t="shared" si="324"/>
        <v>1+2407.43984358571i</v>
      </c>
      <c r="AN500" s="31">
        <f t="shared" si="343"/>
        <v>2407.4400512752104</v>
      </c>
      <c r="AO500" s="31">
        <f t="shared" si="344"/>
        <v>1.5703809478000066</v>
      </c>
      <c r="AP500" s="31" t="str">
        <f t="shared" si="325"/>
        <v>1+1942.7893828533i</v>
      </c>
      <c r="AQ500" s="31">
        <f t="shared" si="345"/>
        <v>1942.7896402151998</v>
      </c>
      <c r="AR500" s="31">
        <f t="shared" si="346"/>
        <v>1.570281603006249</v>
      </c>
      <c r="AS500" s="58" t="str">
        <f t="shared" si="347"/>
        <v>-1.81440130461223+1.84394155794228i</v>
      </c>
      <c r="AT500" s="49">
        <f t="shared" si="348"/>
        <v>8.2556713108238924</v>
      </c>
      <c r="AU500" s="61">
        <f t="shared" si="349"/>
        <v>134.53736018705496</v>
      </c>
      <c r="AV500" s="58" t="str">
        <f t="shared" si="326"/>
        <v>-0.00258207436574736-0.00359148051204091i</v>
      </c>
      <c r="AW500" s="64">
        <f t="shared" si="350"/>
        <v>-47.085014956183038</v>
      </c>
      <c r="AX500" s="61">
        <f t="shared" si="351"/>
        <v>-125.71403038655889</v>
      </c>
    </row>
    <row r="501" spans="14:50" x14ac:dyDescent="0.35">
      <c r="N501" s="10">
        <v>83</v>
      </c>
      <c r="O501" s="50">
        <f t="shared" si="352"/>
        <v>676082.97539198259</v>
      </c>
      <c r="P501" s="48" t="str">
        <f t="shared" si="317"/>
        <v>547.187404092767</v>
      </c>
      <c r="Q501" s="17" t="str">
        <f t="shared" si="318"/>
        <v>1+81468.6800617606i</v>
      </c>
      <c r="R501" s="17">
        <f t="shared" si="327"/>
        <v>81468.680067897934</v>
      </c>
      <c r="S501" s="17">
        <f t="shared" si="328"/>
        <v>1.5707840521391738</v>
      </c>
      <c r="T501" s="17" t="str">
        <f t="shared" si="319"/>
        <v>1+1.54154526339621i</v>
      </c>
      <c r="U501" s="17">
        <f t="shared" si="329"/>
        <v>1.8374879044770036</v>
      </c>
      <c r="V501" s="17">
        <f t="shared" si="330"/>
        <v>0.99533572142161475</v>
      </c>
      <c r="W501" s="31" t="str">
        <f t="shared" si="320"/>
        <v>1-26.7693157002905i</v>
      </c>
      <c r="X501" s="17">
        <f t="shared" si="331"/>
        <v>26.787987290235513</v>
      </c>
      <c r="Y501" s="17">
        <f t="shared" si="332"/>
        <v>-1.5334574856267569</v>
      </c>
      <c r="Z501" s="31" t="str">
        <f t="shared" si="321"/>
        <v>-150.103533756984+128.082240448064i</v>
      </c>
      <c r="AA501" s="17">
        <f t="shared" si="333"/>
        <v>197.32240411197537</v>
      </c>
      <c r="AB501" s="17">
        <f t="shared" si="334"/>
        <v>2.4351901459251453</v>
      </c>
      <c r="AC501" s="66" t="str">
        <f t="shared" si="335"/>
        <v>-0.000280638785950267+0.00165178749032812i</v>
      </c>
      <c r="AD501" s="64">
        <f t="shared" si="336"/>
        <v>-55.517328267283503</v>
      </c>
      <c r="AE501" s="61">
        <f t="shared" si="337"/>
        <v>99.642479659521285</v>
      </c>
      <c r="AF501" s="31" t="str">
        <f t="shared" si="322"/>
        <v>-6627.51882264077</v>
      </c>
      <c r="AG501" s="31" t="str">
        <f t="shared" si="338"/>
        <v>4247954.61741716i</v>
      </c>
      <c r="AH501" s="31">
        <f t="shared" si="339"/>
        <v>4247954.6174171604</v>
      </c>
      <c r="AI501" s="31">
        <f t="shared" si="340"/>
        <v>1.5707963267948966</v>
      </c>
      <c r="AJ501" s="31" t="str">
        <f t="shared" si="323"/>
        <v>-2152.50443363142+2073.6178067191i</v>
      </c>
      <c r="AK501" s="31">
        <f t="shared" si="341"/>
        <v>2988.8402675863176</v>
      </c>
      <c r="AL501" s="31">
        <f t="shared" si="342"/>
        <v>2.374858755453805</v>
      </c>
      <c r="AM501" s="31" t="str">
        <f t="shared" si="324"/>
        <v>1+2463.51632127874i</v>
      </c>
      <c r="AN501" s="31">
        <f t="shared" si="343"/>
        <v>2463.5165242406511</v>
      </c>
      <c r="AO501" s="31">
        <f t="shared" si="344"/>
        <v>1.5703904029792362</v>
      </c>
      <c r="AP501" s="31" t="str">
        <f t="shared" si="325"/>
        <v>1+1988.04276095123i</v>
      </c>
      <c r="AQ501" s="31">
        <f t="shared" si="345"/>
        <v>1988.0430124548586</v>
      </c>
      <c r="AR501" s="31">
        <f t="shared" si="346"/>
        <v>1.5702933195481195</v>
      </c>
      <c r="AS501" s="58" t="str">
        <f t="shared" si="347"/>
        <v>-1.77200737824997+1.84276914556226i</v>
      </c>
      <c r="AT501" s="49">
        <f t="shared" si="348"/>
        <v>8.1529930370546833</v>
      </c>
      <c r="AU501" s="61">
        <f t="shared" si="349"/>
        <v>133.87853845905977</v>
      </c>
      <c r="AV501" s="58" t="str">
        <f t="shared" si="326"/>
        <v>-0.00254656902287539-0.00344413211595963i</v>
      </c>
      <c r="AW501" s="64">
        <f t="shared" si="350"/>
        <v>-47.364335230228825</v>
      </c>
      <c r="AX501" s="61">
        <f t="shared" si="351"/>
        <v>-126.47898188141892</v>
      </c>
    </row>
    <row r="502" spans="14:50" x14ac:dyDescent="0.35">
      <c r="N502" s="10">
        <v>84</v>
      </c>
      <c r="O502" s="50">
        <f t="shared" si="352"/>
        <v>691830.97091893724</v>
      </c>
      <c r="P502" s="48" t="str">
        <f t="shared" si="317"/>
        <v>547.187404092767</v>
      </c>
      <c r="Q502" s="17" t="str">
        <f t="shared" si="318"/>
        <v>1+83366.3293975623i</v>
      </c>
      <c r="R502" s="17">
        <f t="shared" si="327"/>
        <v>83366.32940355991</v>
      </c>
      <c r="S502" s="17">
        <f t="shared" si="328"/>
        <v>1.5707843315444499</v>
      </c>
      <c r="T502" s="17" t="str">
        <f t="shared" si="319"/>
        <v>1+1.57745246531693i</v>
      </c>
      <c r="U502" s="17">
        <f t="shared" si="329"/>
        <v>1.8677141859327568</v>
      </c>
      <c r="V502" s="17">
        <f t="shared" si="330"/>
        <v>1.0057986818196627</v>
      </c>
      <c r="W502" s="31" t="str">
        <f t="shared" si="320"/>
        <v>1-27.3928531642584i</v>
      </c>
      <c r="X502" s="17">
        <f t="shared" si="331"/>
        <v>27.411100023140655</v>
      </c>
      <c r="Y502" s="17">
        <f t="shared" si="332"/>
        <v>-1.5343066583898883</v>
      </c>
      <c r="Z502" s="31" t="str">
        <f t="shared" si="321"/>
        <v>-157.224823908311+131.065659086123i</v>
      </c>
      <c r="AA502" s="17">
        <f t="shared" si="333"/>
        <v>204.68964860167998</v>
      </c>
      <c r="AB502" s="17">
        <f t="shared" si="334"/>
        <v>2.4466855909951493</v>
      </c>
      <c r="AC502" s="66" t="str">
        <f t="shared" si="335"/>
        <v>-0.000271933267536899+0.00161899336805286i</v>
      </c>
      <c r="AD502" s="64">
        <f t="shared" si="336"/>
        <v>-55.694271741002943</v>
      </c>
      <c r="AE502" s="61">
        <f t="shared" si="337"/>
        <v>99.534652621258218</v>
      </c>
      <c r="AF502" s="31" t="str">
        <f t="shared" si="322"/>
        <v>-6627.51882264077</v>
      </c>
      <c r="AG502" s="31" t="str">
        <f t="shared" si="338"/>
        <v>4346902.19152965i</v>
      </c>
      <c r="AH502" s="31">
        <f t="shared" si="339"/>
        <v>4346902.1915296502</v>
      </c>
      <c r="AI502" s="31">
        <f t="shared" si="340"/>
        <v>1.5707963267948966</v>
      </c>
      <c r="AJ502" s="31" t="str">
        <f t="shared" si="323"/>
        <v>-2253.99597080964+2121.91857028424i</v>
      </c>
      <c r="AK502" s="31">
        <f t="shared" si="341"/>
        <v>3095.6479540385735</v>
      </c>
      <c r="AL502" s="31">
        <f t="shared" si="342"/>
        <v>2.386368140431431</v>
      </c>
      <c r="AM502" s="31" t="str">
        <f t="shared" si="324"/>
        <v>1+2520.89898793379i</v>
      </c>
      <c r="AN502" s="31">
        <f t="shared" si="343"/>
        <v>2520.8991862757239</v>
      </c>
      <c r="AO502" s="31">
        <f t="shared" si="344"/>
        <v>1.5703996429323801</v>
      </c>
      <c r="AP502" s="31" t="str">
        <f t="shared" si="325"/>
        <v>1+2034.35022563587i</v>
      </c>
      <c r="AQ502" s="31">
        <f t="shared" si="345"/>
        <v>2034.3504714145779</v>
      </c>
      <c r="AR502" s="31">
        <f t="shared" si="346"/>
        <v>1.5703047693890697</v>
      </c>
      <c r="AS502" s="58" t="str">
        <f t="shared" si="347"/>
        <v>-1.72968811551694+1.84062445827463i</v>
      </c>
      <c r="AT502" s="49">
        <f t="shared" si="348"/>
        <v>8.0480157569891286</v>
      </c>
      <c r="AU502" s="61">
        <f t="shared" si="349"/>
        <v>133.22028471293106</v>
      </c>
      <c r="AV502" s="58" t="str">
        <f t="shared" si="326"/>
        <v>-0.00250959904995025-0.00330088061106873i</v>
      </c>
      <c r="AW502" s="64">
        <f t="shared" si="350"/>
        <v>-47.64625598401382</v>
      </c>
      <c r="AX502" s="61">
        <f t="shared" si="351"/>
        <v>-127.24506266581069</v>
      </c>
    </row>
    <row r="503" spans="14:50" x14ac:dyDescent="0.35">
      <c r="N503" s="10">
        <v>85</v>
      </c>
      <c r="O503" s="50">
        <f t="shared" si="352"/>
        <v>707945.78438413853</v>
      </c>
      <c r="P503" s="48" t="str">
        <f t="shared" si="317"/>
        <v>547.187404092767</v>
      </c>
      <c r="Q503" s="17" t="str">
        <f t="shared" si="318"/>
        <v>1+85308.1806646947i</v>
      </c>
      <c r="R503" s="17">
        <f t="shared" si="327"/>
        <v>85308.180670555797</v>
      </c>
      <c r="S503" s="17">
        <f t="shared" si="328"/>
        <v>1.5707846045896854</v>
      </c>
      <c r="T503" s="17" t="str">
        <f t="shared" si="319"/>
        <v>1+1.61419605341482i</v>
      </c>
      <c r="U503" s="17">
        <f t="shared" si="329"/>
        <v>1.8988493618136171</v>
      </c>
      <c r="V503" s="17">
        <f t="shared" si="330"/>
        <v>1.0161593652331866</v>
      </c>
      <c r="W503" s="31" t="str">
        <f t="shared" si="320"/>
        <v>1-28.0309146815614i</v>
      </c>
      <c r="X503" s="17">
        <f t="shared" si="331"/>
        <v>28.048746458353076</v>
      </c>
      <c r="Y503" s="17">
        <f t="shared" si="332"/>
        <v>-1.5351365524974911</v>
      </c>
      <c r="Z503" s="31" t="str">
        <f t="shared" si="321"/>
        <v>-164.681730124719+134.118570471488i</v>
      </c>
      <c r="AA503" s="17">
        <f t="shared" si="333"/>
        <v>212.38611814849452</v>
      </c>
      <c r="AB503" s="17">
        <f t="shared" si="334"/>
        <v>2.4581262318122423</v>
      </c>
      <c r="AC503" s="66" t="str">
        <f t="shared" si="335"/>
        <v>-0.000263409360106125+0.00158679357143777i</v>
      </c>
      <c r="AD503" s="64">
        <f t="shared" si="336"/>
        <v>-55.871534919175545</v>
      </c>
      <c r="AE503" s="61">
        <f t="shared" si="337"/>
        <v>99.425210545831646</v>
      </c>
      <c r="AF503" s="31" t="str">
        <f t="shared" si="322"/>
        <v>-6627.51882264077</v>
      </c>
      <c r="AG503" s="31" t="str">
        <f t="shared" si="338"/>
        <v>4448154.55072215i</v>
      </c>
      <c r="AH503" s="31">
        <f t="shared" si="339"/>
        <v>4448154.5507221501</v>
      </c>
      <c r="AI503" s="31">
        <f t="shared" si="340"/>
        <v>1.5707963267948966</v>
      </c>
      <c r="AJ503" s="31" t="str">
        <f t="shared" si="323"/>
        <v>-2360.27065677453+2171.34440316226i</v>
      </c>
      <c r="AK503" s="31">
        <f t="shared" si="341"/>
        <v>3207.1192822180687</v>
      </c>
      <c r="AL503" s="31">
        <f t="shared" si="342"/>
        <v>2.3978610718816498</v>
      </c>
      <c r="AM503" s="31" t="str">
        <f t="shared" si="324"/>
        <v>1+2579.6182686003i</v>
      </c>
      <c r="AN503" s="31">
        <f t="shared" si="343"/>
        <v>2579.6184624274201</v>
      </c>
      <c r="AO503" s="31">
        <f t="shared" si="344"/>
        <v>1.570408672558578</v>
      </c>
      <c r="AP503" s="31" t="str">
        <f t="shared" si="325"/>
        <v>1+2081.73632973796i</v>
      </c>
      <c r="AQ503" s="31">
        <f t="shared" si="345"/>
        <v>2081.7365699220627</v>
      </c>
      <c r="AR503" s="31">
        <f t="shared" si="346"/>
        <v>1.5703159585999447</v>
      </c>
      <c r="AS503" s="58" t="str">
        <f t="shared" si="347"/>
        <v>-1.68748803597716+1.83751304719975i</v>
      </c>
      <c r="AT503" s="49">
        <f t="shared" si="348"/>
        <v>7.9407447326953351</v>
      </c>
      <c r="AU503" s="61">
        <f t="shared" si="349"/>
        <v>132.56294670063107</v>
      </c>
      <c r="AV503" s="58" t="str">
        <f t="shared" si="326"/>
        <v>-0.00247125374698611-0.00316171330331625i</v>
      </c>
      <c r="AW503" s="64">
        <f t="shared" si="350"/>
        <v>-47.930790186480195</v>
      </c>
      <c r="AX503" s="61">
        <f t="shared" si="351"/>
        <v>-128.01184275353731</v>
      </c>
    </row>
    <row r="504" spans="14:50" x14ac:dyDescent="0.35">
      <c r="N504" s="10">
        <v>86</v>
      </c>
      <c r="O504" s="50">
        <f t="shared" si="352"/>
        <v>724435.96007499192</v>
      </c>
      <c r="P504" s="48" t="str">
        <f t="shared" si="317"/>
        <v>547.187404092767</v>
      </c>
      <c r="Q504" s="17" t="str">
        <f t="shared" si="318"/>
        <v>1+87295.2634584027i</v>
      </c>
      <c r="R504" s="17">
        <f t="shared" si="327"/>
        <v>87295.263464130388</v>
      </c>
      <c r="S504" s="17">
        <f t="shared" si="328"/>
        <v>1.5707848714196524</v>
      </c>
      <c r="T504" s="17" t="str">
        <f t="shared" si="319"/>
        <v>1+1.65179550962664i</v>
      </c>
      <c r="U504" s="17">
        <f t="shared" si="329"/>
        <v>1.9309138783546849</v>
      </c>
      <c r="V504" s="17">
        <f t="shared" si="330"/>
        <v>1.0264143674612354</v>
      </c>
      <c r="W504" s="31" t="str">
        <f t="shared" si="320"/>
        <v>1-28.6838385608615i</v>
      </c>
      <c r="X504" s="17">
        <f t="shared" si="331"/>
        <v>28.70126468616958</v>
      </c>
      <c r="Y504" s="17">
        <f t="shared" si="332"/>
        <v>-1.5359476033952495</v>
      </c>
      <c r="Z504" s="31" t="str">
        <f t="shared" si="321"/>
        <v>-172.490069504059+137.242593298186i</v>
      </c>
      <c r="AA504" s="17">
        <f t="shared" si="333"/>
        <v>220.42766045287146</v>
      </c>
      <c r="AB504" s="17">
        <f t="shared" si="334"/>
        <v>2.4695066976969891</v>
      </c>
      <c r="AC504" s="66" t="str">
        <f t="shared" si="335"/>
        <v>-0.000255066579086999+0.00155517486584882i</v>
      </c>
      <c r="AD504" s="64">
        <f t="shared" si="336"/>
        <v>-56.049134835633978</v>
      </c>
      <c r="AE504" s="61">
        <f t="shared" si="337"/>
        <v>99.314241146665012</v>
      </c>
      <c r="AF504" s="31" t="str">
        <f t="shared" si="322"/>
        <v>-6627.51882264077</v>
      </c>
      <c r="AG504" s="31" t="str">
        <f t="shared" si="338"/>
        <v>4551765.38033573i</v>
      </c>
      <c r="AH504" s="31">
        <f t="shared" si="339"/>
        <v>4551765.3803357296</v>
      </c>
      <c r="AI504" s="31">
        <f t="shared" si="340"/>
        <v>1.5707963267948966</v>
      </c>
      <c r="AJ504" s="31" t="str">
        <f t="shared" si="323"/>
        <v>-2471.55391438352+2221.92151158398i</v>
      </c>
      <c r="AK504" s="31">
        <f t="shared" si="341"/>
        <v>3323.4791943600521</v>
      </c>
      <c r="AL504" s="31">
        <f t="shared" si="342"/>
        <v>2.4093315339501453</v>
      </c>
      <c r="AM504" s="31" t="str">
        <f t="shared" si="324"/>
        <v>1+2639.7052970181i</v>
      </c>
      <c r="AN504" s="31">
        <f t="shared" si="343"/>
        <v>2639.7054864331767</v>
      </c>
      <c r="AO504" s="31">
        <f t="shared" si="344"/>
        <v>1.5704174966454507</v>
      </c>
      <c r="AP504" s="31" t="str">
        <f t="shared" si="325"/>
        <v>1+2130.22619799712i</v>
      </c>
      <c r="AQ504" s="31">
        <f t="shared" si="345"/>
        <v>2130.2264327139651</v>
      </c>
      <c r="AR504" s="31">
        <f t="shared" si="346"/>
        <v>1.5703268931134011</v>
      </c>
      <c r="AS504" s="58" t="str">
        <f t="shared" si="347"/>
        <v>-1.64545115709393+1.83344299193453i</v>
      </c>
      <c r="AT504" s="49">
        <f t="shared" si="348"/>
        <v>7.8311876296498344</v>
      </c>
      <c r="AU504" s="61">
        <f t="shared" si="349"/>
        <v>131.90686971944936</v>
      </c>
      <c r="AV504" s="58" t="str">
        <f t="shared" si="326"/>
        <v>-0.00243162486132855-0.00302661431439811i</v>
      </c>
      <c r="AW504" s="64">
        <f t="shared" si="350"/>
        <v>-48.217947205984146</v>
      </c>
      <c r="AX504" s="61">
        <f t="shared" si="351"/>
        <v>-128.77888913388563</v>
      </c>
    </row>
    <row r="505" spans="14:50" x14ac:dyDescent="0.35">
      <c r="N505" s="10">
        <v>87</v>
      </c>
      <c r="O505" s="50">
        <f t="shared" si="352"/>
        <v>741310.24130091805</v>
      </c>
      <c r="P505" s="48" t="str">
        <f t="shared" si="317"/>
        <v>547.187404092767</v>
      </c>
      <c r="Q505" s="17" t="str">
        <f t="shared" si="318"/>
        <v>1+89328.6313562854i</v>
      </c>
      <c r="R505" s="17">
        <f t="shared" si="327"/>
        <v>89328.631361882712</v>
      </c>
      <c r="S505" s="17">
        <f t="shared" si="328"/>
        <v>1.5707851321758279</v>
      </c>
      <c r="T505" s="17" t="str">
        <f t="shared" si="319"/>
        <v>1+1.69027076968175i</v>
      </c>
      <c r="U505" s="17">
        <f t="shared" si="329"/>
        <v>1.9639285309910175</v>
      </c>
      <c r="V505" s="17">
        <f t="shared" si="330"/>
        <v>1.0365604976789751</v>
      </c>
      <c r="W505" s="31" t="str">
        <f t="shared" si="320"/>
        <v>1-29.351970991042i</v>
      </c>
      <c r="X505" s="17">
        <f t="shared" si="331"/>
        <v>29.369000681994116</v>
      </c>
      <c r="Y505" s="17">
        <f t="shared" si="332"/>
        <v>-1.5367402368425493</v>
      </c>
      <c r="Z505" s="31" t="str">
        <f t="shared" si="321"/>
        <v>-180.666404581033+140.439383964471i</v>
      </c>
      <c r="AA505" s="17">
        <f t="shared" si="333"/>
        <v>228.83087709607202</v>
      </c>
      <c r="AB505" s="17">
        <f t="shared" si="334"/>
        <v>2.4808217562623125</v>
      </c>
      <c r="AC505" s="66" t="str">
        <f t="shared" si="335"/>
        <v>-0.000246904475738187+0.00152412464910744i</v>
      </c>
      <c r="AD505" s="64">
        <f t="shared" si="336"/>
        <v>-56.227087297709204</v>
      </c>
      <c r="AE505" s="61">
        <f t="shared" si="337"/>
        <v>99.201836994335636</v>
      </c>
      <c r="AF505" s="31" t="str">
        <f t="shared" si="322"/>
        <v>-6627.51882264077</v>
      </c>
      <c r="AG505" s="31" t="str">
        <f t="shared" si="338"/>
        <v>4657789.61620368i</v>
      </c>
      <c r="AH505" s="31">
        <f t="shared" si="339"/>
        <v>4657789.6162036797</v>
      </c>
      <c r="AI505" s="31">
        <f t="shared" si="340"/>
        <v>1.5707963267948966</v>
      </c>
      <c r="AJ505" s="31" t="str">
        <f t="shared" si="323"/>
        <v>-2588.08179034596+2273.67671220175i</v>
      </c>
      <c r="AK505" s="31">
        <f t="shared" si="341"/>
        <v>3444.9634461237624</v>
      </c>
      <c r="AL505" s="31">
        <f t="shared" si="342"/>
        <v>2.4207735690205259</v>
      </c>
      <c r="AM505" s="31" t="str">
        <f t="shared" si="324"/>
        <v>1+2701.191932125i</v>
      </c>
      <c r="AN505" s="31">
        <f t="shared" si="343"/>
        <v>2701.1921172284638</v>
      </c>
      <c r="AO505" s="31">
        <f t="shared" si="344"/>
        <v>1.5704261198716407</v>
      </c>
      <c r="AP505" s="31" t="str">
        <f t="shared" si="325"/>
        <v>1+2179.84554038332i</v>
      </c>
      <c r="AQ505" s="31">
        <f t="shared" si="345"/>
        <v>2179.8457697573581</v>
      </c>
      <c r="AR505" s="31">
        <f t="shared" si="346"/>
        <v>1.5703375787270522</v>
      </c>
      <c r="AS505" s="58" t="str">
        <f t="shared" si="347"/>
        <v>-1.6036208122393+1.8284248487334i</v>
      </c>
      <c r="AT505" s="49">
        <f t="shared" si="348"/>
        <v>7.7193544845253985</v>
      </c>
      <c r="AU505" s="61">
        <f t="shared" si="349"/>
        <v>131.25239571590623</v>
      </c>
      <c r="AV505" s="58" t="str">
        <f t="shared" si="326"/>
        <v>-0.00239080622506633-0.00289556428645881i</v>
      </c>
      <c r="AW505" s="64">
        <f t="shared" si="350"/>
        <v>-48.507732813183786</v>
      </c>
      <c r="AX505" s="61">
        <f t="shared" si="351"/>
        <v>-129.54576728975812</v>
      </c>
    </row>
    <row r="506" spans="14:50" x14ac:dyDescent="0.35">
      <c r="N506" s="10">
        <v>88</v>
      </c>
      <c r="O506" s="50">
        <f t="shared" si="352"/>
        <v>758577.57502918423</v>
      </c>
      <c r="P506" s="48" t="str">
        <f t="shared" si="317"/>
        <v>547.187404092767</v>
      </c>
      <c r="Q506" s="17" t="str">
        <f t="shared" si="318"/>
        <v>1+91409.3624769178i</v>
      </c>
      <c r="R506" s="17">
        <f t="shared" si="327"/>
        <v>91409.362482387703</v>
      </c>
      <c r="S506" s="17">
        <f t="shared" si="328"/>
        <v>1.5707853869964683</v>
      </c>
      <c r="T506" s="17" t="str">
        <f t="shared" si="319"/>
        <v>1+1.72964223367233i</v>
      </c>
      <c r="U506" s="17">
        <f t="shared" si="329"/>
        <v>1.9979144767739703</v>
      </c>
      <c r="V506" s="17">
        <f t="shared" si="330"/>
        <v>1.046594779138434</v>
      </c>
      <c r="W506" s="31" t="str">
        <f t="shared" si="320"/>
        <v>1-30.0356662247612i</v>
      </c>
      <c r="X506" s="17">
        <f t="shared" si="331"/>
        <v>30.052308489785954</v>
      </c>
      <c r="Y506" s="17">
        <f t="shared" si="332"/>
        <v>-1.5375148691179716</v>
      </c>
      <c r="Z506" s="31" t="str">
        <f t="shared" si="321"/>
        <v>-189.228078458565+143.710637451069i</v>
      </c>
      <c r="AA506" s="17">
        <f t="shared" si="333"/>
        <v>237.61315829245109</v>
      </c>
      <c r="AB506" s="17">
        <f t="shared" si="334"/>
        <v>2.4920663248197057</v>
      </c>
      <c r="AC506" s="66" t="str">
        <f t="shared" si="335"/>
        <v>-0.00023892260917375+0.00149363092411118i</v>
      </c>
      <c r="AD506" s="64">
        <f t="shared" si="336"/>
        <v>-56.405406864975745</v>
      </c>
      <c r="AE506" s="61">
        <f t="shared" si="337"/>
        <v>99.08809489142115</v>
      </c>
      <c r="AF506" s="31" t="str">
        <f t="shared" si="322"/>
        <v>-6627.51882264077</v>
      </c>
      <c r="AG506" s="31" t="str">
        <f t="shared" si="338"/>
        <v>4766283.47377929i</v>
      </c>
      <c r="AH506" s="31">
        <f t="shared" si="339"/>
        <v>4766283.47377929</v>
      </c>
      <c r="AI506" s="31">
        <f t="shared" si="340"/>
        <v>1.5707963267948966</v>
      </c>
      <c r="AJ506" s="31" t="str">
        <f t="shared" si="323"/>
        <v>-2710.10145590999+2326.63744630799i</v>
      </c>
      <c r="AK506" s="31">
        <f t="shared" si="341"/>
        <v>3571.8191034664696</v>
      </c>
      <c r="AL506" s="31">
        <f t="shared" si="342"/>
        <v>2.4321812929876425</v>
      </c>
      <c r="AM506" s="31" t="str">
        <f t="shared" si="324"/>
        <v>1+2764.11077494883i</v>
      </c>
      <c r="AN506" s="31">
        <f t="shared" si="343"/>
        <v>2764.1109558388252</v>
      </c>
      <c r="AO506" s="31">
        <f t="shared" si="344"/>
        <v>1.5704345468092915</v>
      </c>
      <c r="AP506" s="31" t="str">
        <f t="shared" si="325"/>
        <v>1+2230.6206657287i</v>
      </c>
      <c r="AQ506" s="31">
        <f t="shared" si="345"/>
        <v>2230.620889881548</v>
      </c>
      <c r="AR506" s="31">
        <f t="shared" si="346"/>
        <v>1.5703480211065421</v>
      </c>
      <c r="AS506" s="58" t="str">
        <f t="shared" si="347"/>
        <v>-1.56203947476627+1.82247158330635i</v>
      </c>
      <c r="AT506" s="49">
        <f t="shared" si="348"/>
        <v>7.6052576632576567</v>
      </c>
      <c r="AU506" s="61">
        <f t="shared" si="349"/>
        <v>130.59986241097457</v>
      </c>
      <c r="AV506" s="58" t="str">
        <f t="shared" si="326"/>
        <v>-0.00234889336819668-0.00276854013002185i</v>
      </c>
      <c r="AW506" s="64">
        <f t="shared" si="350"/>
        <v>-48.800149201718092</v>
      </c>
      <c r="AX506" s="61">
        <f t="shared" si="351"/>
        <v>-130.31204269760434</v>
      </c>
    </row>
    <row r="507" spans="14:50" x14ac:dyDescent="0.35">
      <c r="N507" s="10">
        <v>89</v>
      </c>
      <c r="O507" s="50">
        <f t="shared" si="352"/>
        <v>776247.11662869214</v>
      </c>
      <c r="P507" s="48" t="str">
        <f t="shared" si="317"/>
        <v>547.187404092767</v>
      </c>
      <c r="Q507" s="17" t="str">
        <f t="shared" si="318"/>
        <v>1+93538.5600514813i</v>
      </c>
      <c r="R507" s="17">
        <f t="shared" si="327"/>
        <v>93538.560056826682</v>
      </c>
      <c r="S507" s="17">
        <f t="shared" si="328"/>
        <v>1.5707856360166828</v>
      </c>
      <c r="T507" s="17" t="str">
        <f t="shared" si="319"/>
        <v>1+1.76993077686973i</v>
      </c>
      <c r="U507" s="17">
        <f t="shared" si="329"/>
        <v>2.0328932472982162</v>
      </c>
      <c r="V507" s="17">
        <f t="shared" si="330"/>
        <v>1.0565144490176179</v>
      </c>
      <c r="W507" s="31" t="str">
        <f t="shared" si="320"/>
        <v>1-30.7352867662819i</v>
      </c>
      <c r="X507" s="17">
        <f t="shared" si="331"/>
        <v>30.751550409785576</v>
      </c>
      <c r="Y507" s="17">
        <f t="shared" si="332"/>
        <v>-1.5382719072211006</v>
      </c>
      <c r="Z507" s="31" t="str">
        <f t="shared" si="321"/>
        <v>-198.19325159483+147.058088219879i</v>
      </c>
      <c r="AA507" s="17">
        <f t="shared" si="333"/>
        <v>246.79271927797487</v>
      </c>
      <c r="AB507" s="17">
        <f t="shared" si="334"/>
        <v>2.5032354809026924</v>
      </c>
      <c r="AC507" s="66" t="str">
        <f t="shared" si="335"/>
        <v>-0.000231120520843792+0.00146368227056773i</v>
      </c>
      <c r="AD507" s="64">
        <f t="shared" si="336"/>
        <v>-56.584106835909047</v>
      </c>
      <c r="AE507" s="61">
        <f t="shared" si="337"/>
        <v>98.973115249336544</v>
      </c>
      <c r="AF507" s="31" t="str">
        <f t="shared" si="322"/>
        <v>-6627.51882264077</v>
      </c>
      <c r="AG507" s="31" t="str">
        <f t="shared" si="338"/>
        <v>4877304.47794192i</v>
      </c>
      <c r="AH507" s="31">
        <f t="shared" si="339"/>
        <v>4877304.47794192</v>
      </c>
      <c r="AI507" s="31">
        <f t="shared" si="340"/>
        <v>1.5707963267948966</v>
      </c>
      <c r="AJ507" s="31" t="str">
        <f t="shared" si="323"/>
        <v>-2837.87173114571+2380.83179438496i</v>
      </c>
      <c r="AK507" s="31">
        <f t="shared" si="341"/>
        <v>3704.3050624361726</v>
      </c>
      <c r="AL507" s="31">
        <f t="shared" si="342"/>
        <v>2.443548910064882</v>
      </c>
      <c r="AM507" s="31" t="str">
        <f t="shared" si="324"/>
        <v>1+2828.49518589286i</v>
      </c>
      <c r="AN507" s="31">
        <f t="shared" si="343"/>
        <v>2828.4953626652959</v>
      </c>
      <c r="AO507" s="31">
        <f t="shared" si="344"/>
        <v>1.5704427819264724</v>
      </c>
      <c r="AP507" s="31" t="str">
        <f t="shared" si="325"/>
        <v>1+2282.57849567682i</v>
      </c>
      <c r="AQ507" s="31">
        <f t="shared" si="345"/>
        <v>2282.5787147273268</v>
      </c>
      <c r="AR507" s="31">
        <f t="shared" si="346"/>
        <v>1.5703582257885493</v>
      </c>
      <c r="AS507" s="58" t="str">
        <f t="shared" si="347"/>
        <v>-1.52074858963535+1.81559848902401i</v>
      </c>
      <c r="AT507" s="49">
        <f t="shared" si="348"/>
        <v>7.4889118097638754</v>
      </c>
      <c r="AU507" s="61">
        <f t="shared" si="349"/>
        <v>129.94960245199667</v>
      </c>
      <c r="AV507" s="58" t="str">
        <f t="shared" si="326"/>
        <v>-0.00230598311274502-0.00264551481706657i</v>
      </c>
      <c r="AW507" s="64">
        <f t="shared" si="350"/>
        <v>-49.095195026145177</v>
      </c>
      <c r="AX507" s="61">
        <f t="shared" si="351"/>
        <v>-131.07728229866683</v>
      </c>
    </row>
    <row r="508" spans="14:50" x14ac:dyDescent="0.35">
      <c r="N508" s="10">
        <v>90</v>
      </c>
      <c r="O508" s="50">
        <f t="shared" si="352"/>
        <v>794328.23472428333</v>
      </c>
      <c r="P508" s="48" t="str">
        <f t="shared" si="317"/>
        <v>547.187404092767</v>
      </c>
      <c r="Q508" s="17" t="str">
        <f t="shared" si="318"/>
        <v>1+95717.3530087135i</v>
      </c>
      <c r="R508" s="17">
        <f t="shared" si="327"/>
        <v>95717.353013937216</v>
      </c>
      <c r="S508" s="17">
        <f t="shared" si="328"/>
        <v>1.570785879368505</v>
      </c>
      <c r="T508" s="17" t="str">
        <f t="shared" si="319"/>
        <v>1+1.81115776079283i</v>
      </c>
      <c r="U508" s="17">
        <f t="shared" si="329"/>
        <v>2.0688867621211404</v>
      </c>
      <c r="V508" s="17">
        <f t="shared" si="330"/>
        <v>1.0663169574617046</v>
      </c>
      <c r="W508" s="31" t="str">
        <f t="shared" si="320"/>
        <v>1-31.4512035636758i</v>
      </c>
      <c r="X508" s="17">
        <f t="shared" si="331"/>
        <v>31.467097190617594</v>
      </c>
      <c r="Y508" s="17">
        <f t="shared" si="332"/>
        <v>-1.5390117490706661</v>
      </c>
      <c r="Z508" s="31" t="str">
        <f t="shared" si="321"/>
        <v>-207.580940324032+150.483511133608i</v>
      </c>
      <c r="AA508" s="17">
        <f t="shared" si="333"/>
        <v>256.38863841619047</v>
      </c>
      <c r="AB508" s="17">
        <f t="shared" si="334"/>
        <v>2.5143244718668187</v>
      </c>
      <c r="AC508" s="66" t="str">
        <f t="shared" si="335"/>
        <v>-0.000223497711507482+0.00143426781605115i</v>
      </c>
      <c r="AD508" s="64">
        <f t="shared" si="336"/>
        <v>-56.763199242222271</v>
      </c>
      <c r="AE508" s="61">
        <f t="shared" si="337"/>
        <v>98.857001472001201</v>
      </c>
      <c r="AF508" s="31" t="str">
        <f t="shared" si="322"/>
        <v>-6627.51882264077</v>
      </c>
      <c r="AG508" s="31" t="str">
        <f t="shared" si="338"/>
        <v>4990911.49349752i</v>
      </c>
      <c r="AH508" s="31">
        <f t="shared" si="339"/>
        <v>4990911.4934975198</v>
      </c>
      <c r="AI508" s="31">
        <f t="shared" si="340"/>
        <v>1.5707963267948966</v>
      </c>
      <c r="AJ508" s="31" t="str">
        <f t="shared" si="323"/>
        <v>-2971.66363393736+2436.28849099334i</v>
      </c>
      <c r="AK508" s="31">
        <f t="shared" si="341"/>
        <v>3842.6925930410312</v>
      </c>
      <c r="AL508" s="31">
        <f t="shared" si="342"/>
        <v>2.454870727037282</v>
      </c>
      <c r="AM508" s="31" t="str">
        <f t="shared" si="324"/>
        <v>1+2894.37930242402i</v>
      </c>
      <c r="AN508" s="31">
        <f t="shared" si="343"/>
        <v>2894.3794751726241</v>
      </c>
      <c r="AO508" s="31">
        <f t="shared" si="344"/>
        <v>1.5704508295895465</v>
      </c>
      <c r="AP508" s="31" t="str">
        <f t="shared" si="325"/>
        <v>1+2335.74657895684i</v>
      </c>
      <c r="AQ508" s="31">
        <f t="shared" si="345"/>
        <v>2335.7467930211487</v>
      </c>
      <c r="AR508" s="31">
        <f t="shared" si="346"/>
        <v>1.5703681981837232</v>
      </c>
      <c r="AS508" s="58" t="str">
        <f t="shared" si="347"/>
        <v>-1.47978841397229+1.80782309147933i</v>
      </c>
      <c r="AT508" s="49">
        <f t="shared" si="348"/>
        <v>7.3703337857586</v>
      </c>
      <c r="AU508" s="61">
        <f t="shared" si="349"/>
        <v>129.30194259634271</v>
      </c>
      <c r="AV508" s="58" t="str">
        <f t="shared" si="326"/>
        <v>-0.0022621731531848-0.00252645722048184i</v>
      </c>
      <c r="AW508" s="64">
        <f t="shared" si="350"/>
        <v>-49.392865456463682</v>
      </c>
      <c r="AX508" s="61">
        <f t="shared" si="351"/>
        <v>-131.84105593165606</v>
      </c>
    </row>
    <row r="509" spans="14:50" x14ac:dyDescent="0.35">
      <c r="N509" s="10">
        <v>91</v>
      </c>
      <c r="O509" s="50">
        <f t="shared" si="352"/>
        <v>812830.51616410096</v>
      </c>
      <c r="P509" s="48" t="str">
        <f t="shared" si="317"/>
        <v>547.187404092767</v>
      </c>
      <c r="Q509" s="17" t="str">
        <f t="shared" si="318"/>
        <v>1+97946.8965734796i</v>
      </c>
      <c r="R509" s="17">
        <f t="shared" si="327"/>
        <v>97946.896578584405</v>
      </c>
      <c r="S509" s="17">
        <f t="shared" si="328"/>
        <v>1.5707861171809634</v>
      </c>
      <c r="T509" s="17" t="str">
        <f t="shared" si="319"/>
        <v>1+1.8533450445342i</v>
      </c>
      <c r="U509" s="17">
        <f t="shared" si="329"/>
        <v>2.1059173426560398</v>
      </c>
      <c r="V509" s="17">
        <f t="shared" si="330"/>
        <v>1.0759999658637187</v>
      </c>
      <c r="W509" s="31" t="str">
        <f t="shared" si="320"/>
        <v>1-32.1837962055049i</v>
      </c>
      <c r="X509" s="17">
        <f t="shared" si="331"/>
        <v>32.199328225872527</v>
      </c>
      <c r="Y509" s="17">
        <f t="shared" si="332"/>
        <v>-1.5397347836990432</v>
      </c>
      <c r="Z509" s="31" t="str">
        <f t="shared" si="321"/>
        <v>-217.411057192595+153.988722396824i</v>
      </c>
      <c r="AA509" s="17">
        <f t="shared" si="333"/>
        <v>266.42089710645433</v>
      </c>
      <c r="AB509" s="17">
        <f t="shared" si="334"/>
        <v>2.525328723534467</v>
      </c>
      <c r="AC509" s="66" t="str">
        <f t="shared" si="335"/>
        <v>-0.000216053620712461+0.00140537720659117i</v>
      </c>
      <c r="AD509" s="64">
        <f t="shared" si="336"/>
        <v>-56.942694850576117</v>
      </c>
      <c r="AE509" s="61">
        <f t="shared" si="337"/>
        <v>98.739859350872251</v>
      </c>
      <c r="AF509" s="31" t="str">
        <f t="shared" si="322"/>
        <v>-6627.51882264077</v>
      </c>
      <c r="AG509" s="31" t="str">
        <f t="shared" si="338"/>
        <v>5107164.75638948i</v>
      </c>
      <c r="AH509" s="31">
        <f t="shared" si="339"/>
        <v>5107164.7563894801</v>
      </c>
      <c r="AI509" s="31">
        <f t="shared" si="340"/>
        <v>1.5707963267948966</v>
      </c>
      <c r="AJ509" s="31" t="str">
        <f t="shared" si="323"/>
        <v>-3111.76095484854+2493.03694000774i</v>
      </c>
      <c r="AK509" s="31">
        <f t="shared" si="341"/>
        <v>3987.2659084093016</v>
      </c>
      <c r="AL509" s="31">
        <f t="shared" si="342"/>
        <v>2.4661411668784372</v>
      </c>
      <c r="AM509" s="31" t="str">
        <f t="shared" si="324"/>
        <v>1+2961.79805717295i</v>
      </c>
      <c r="AN509" s="31">
        <f t="shared" si="343"/>
        <v>2961.7982259893161</v>
      </c>
      <c r="AO509" s="31">
        <f t="shared" si="344"/>
        <v>1.5704586940654877</v>
      </c>
      <c r="AP509" s="31" t="str">
        <f t="shared" si="325"/>
        <v>1+2390.15310599027i</v>
      </c>
      <c r="AQ509" s="31">
        <f t="shared" si="345"/>
        <v>2390.1533151818808</v>
      </c>
      <c r="AR509" s="31">
        <f t="shared" si="346"/>
        <v>1.5703779435795513</v>
      </c>
      <c r="AS509" s="58" t="str">
        <f t="shared" si="347"/>
        <v>-1.43919786780404+1.79916504049866i</v>
      </c>
      <c r="AT509" s="49">
        <f t="shared" si="348"/>
        <v>7.2495426021875717</v>
      </c>
      <c r="AU509" s="61">
        <f t="shared" si="349"/>
        <v>128.65720293151853</v>
      </c>
      <c r="AV509" s="58" t="str">
        <f t="shared" si="326"/>
        <v>-0.00221756162855178-0.00241133200044543i</v>
      </c>
      <c r="AW509" s="64">
        <f t="shared" si="350"/>
        <v>-49.693152248388543</v>
      </c>
      <c r="AX509" s="61">
        <f t="shared" si="351"/>
        <v>-132.60293771760917</v>
      </c>
    </row>
    <row r="510" spans="14:50" x14ac:dyDescent="0.35">
      <c r="N510" s="10">
        <v>92</v>
      </c>
      <c r="O510" s="50">
        <f t="shared" si="352"/>
        <v>831763.77110267128</v>
      </c>
      <c r="P510" s="48" t="str">
        <f t="shared" si="317"/>
        <v>547.187404092767</v>
      </c>
      <c r="Q510" s="17" t="str">
        <f t="shared" si="318"/>
        <v>1+100228.372879289i</v>
      </c>
      <c r="R510" s="17">
        <f t="shared" si="327"/>
        <v>100228.3728842776</v>
      </c>
      <c r="S510" s="17">
        <f t="shared" si="328"/>
        <v>1.5707863495801495</v>
      </c>
      <c r="T510" s="17" t="str">
        <f t="shared" si="319"/>
        <v>1+1.89651499635011i</v>
      </c>
      <c r="U510" s="17">
        <f t="shared" si="329"/>
        <v>2.1440077265207926</v>
      </c>
      <c r="V510" s="17">
        <f t="shared" si="330"/>
        <v>1.085561344435112</v>
      </c>
      <c r="W510" s="31" t="str">
        <f t="shared" si="320"/>
        <v>1-32.933453122085i</v>
      </c>
      <c r="X510" s="17">
        <f t="shared" si="331"/>
        <v>32.948631755272778</v>
      </c>
      <c r="Y510" s="17">
        <f t="shared" si="332"/>
        <v>-1.5404413914431341</v>
      </c>
      <c r="Z510" s="31" t="str">
        <f t="shared" si="321"/>
        <v>-227.704453196344+157.575580518936i</v>
      </c>
      <c r="AA510" s="17">
        <f t="shared" si="333"/>
        <v>276.91042158309187</v>
      </c>
      <c r="AB510" s="17">
        <f t="shared" si="334"/>
        <v>2.5362438478622185</v>
      </c>
      <c r="AC510" s="66" t="str">
        <f t="shared" si="335"/>
        <v>-0.000208787608770596+0.00137700057700429i</v>
      </c>
      <c r="AD510" s="64">
        <f t="shared" si="336"/>
        <v>-57.122603171295843</v>
      </c>
      <c r="AE510" s="61">
        <f t="shared" si="337"/>
        <v>98.621796475498869</v>
      </c>
      <c r="AF510" s="31" t="str">
        <f t="shared" si="322"/>
        <v>-6627.51882264077</v>
      </c>
      <c r="AG510" s="31" t="str">
        <f t="shared" si="338"/>
        <v>5226125.90563659i</v>
      </c>
      <c r="AH510" s="31">
        <f t="shared" si="339"/>
        <v>5226125.90563659</v>
      </c>
      <c r="AI510" s="31">
        <f t="shared" si="340"/>
        <v>1.5707963267948966</v>
      </c>
      <c r="AJ510" s="31" t="str">
        <f t="shared" si="323"/>
        <v>-3258.46085908007+2551.10723020697i</v>
      </c>
      <c r="AK510" s="31">
        <f t="shared" si="341"/>
        <v>4138.3227605119328</v>
      </c>
      <c r="AL510" s="31">
        <f t="shared" si="342"/>
        <v>2.4773547816566084</v>
      </c>
      <c r="AM510" s="31" t="str">
        <f t="shared" si="324"/>
        <v>1+3030.78719645583i</v>
      </c>
      <c r="AN510" s="31">
        <f t="shared" si="343"/>
        <v>3030.7873614294663</v>
      </c>
      <c r="AO510" s="31">
        <f t="shared" si="344"/>
        <v>1.5704663795241409</v>
      </c>
      <c r="AP510" s="31" t="str">
        <f t="shared" si="325"/>
        <v>1+2445.82692383792i</v>
      </c>
      <c r="AQ510" s="31">
        <f t="shared" si="345"/>
        <v>2445.8271282677488</v>
      </c>
      <c r="AR510" s="31">
        <f t="shared" si="346"/>
        <v>1.5703874671431644</v>
      </c>
      <c r="AS510" s="58" t="str">
        <f t="shared" si="347"/>
        <v>-1.3990143960712+1.78964599081824i</v>
      </c>
      <c r="AT510" s="49">
        <f t="shared" si="348"/>
        <v>7.1265593428620653</v>
      </c>
      <c r="AU510" s="61">
        <f t="shared" si="349"/>
        <v>128.01569613598932</v>
      </c>
      <c r="AV510" s="58" t="str">
        <f t="shared" si="326"/>
        <v>-0.00217224669159879-0.00230009953759617i</v>
      </c>
      <c r="AW510" s="64">
        <f t="shared" si="350"/>
        <v>-49.996043828433784</v>
      </c>
      <c r="AX510" s="61">
        <f t="shared" si="351"/>
        <v>-133.36250738851189</v>
      </c>
    </row>
    <row r="511" spans="14:50" x14ac:dyDescent="0.35">
      <c r="N511" s="10">
        <v>93</v>
      </c>
      <c r="O511" s="50">
        <f t="shared" si="352"/>
        <v>851138.03820237669</v>
      </c>
      <c r="P511" s="48" t="str">
        <f t="shared" si="317"/>
        <v>547.187404092767</v>
      </c>
      <c r="Q511" s="17" t="str">
        <f t="shared" si="318"/>
        <v>1+102562.991595079i</v>
      </c>
      <c r="R511" s="17">
        <f t="shared" si="327"/>
        <v>102562.99159995405</v>
      </c>
      <c r="S511" s="17">
        <f t="shared" si="328"/>
        <v>1.5707865766892843</v>
      </c>
      <c r="T511" s="17" t="str">
        <f t="shared" si="319"/>
        <v>1+1.94069050552042i</v>
      </c>
      <c r="U511" s="17">
        <f t="shared" si="329"/>
        <v>2.1831810823239337</v>
      </c>
      <c r="V511" s="17">
        <f t="shared" si="330"/>
        <v>1.0949991691189132</v>
      </c>
      <c r="W511" s="31" t="str">
        <f t="shared" si="320"/>
        <v>1-33.7005717914363i</v>
      </c>
      <c r="X511" s="17">
        <f t="shared" si="331"/>
        <v>33.71540507052751</v>
      </c>
      <c r="Y511" s="17">
        <f t="shared" si="332"/>
        <v>-1.5411319441316604</v>
      </c>
      <c r="Z511" s="31" t="str">
        <f t="shared" si="321"/>
        <v>-238.482962008262+161.245987299599i</v>
      </c>
      <c r="AA511" s="17">
        <f t="shared" si="333"/>
        <v>287.87912669809282</v>
      </c>
      <c r="AB511" s="17">
        <f t="shared" si="334"/>
        <v>2.5470656496176431</v>
      </c>
      <c r="AC511" s="66" t="str">
        <f t="shared" si="335"/>
        <v>-0.000201698941197923+0.00134912852117052i</v>
      </c>
      <c r="AD511" s="64">
        <f t="shared" si="336"/>
        <v>-57.302932473676684</v>
      </c>
      <c r="AE511" s="61">
        <f t="shared" si="337"/>
        <v>98.502921663373172</v>
      </c>
      <c r="AF511" s="31" t="str">
        <f t="shared" si="322"/>
        <v>-6627.51882264077</v>
      </c>
      <c r="AG511" s="31" t="str">
        <f t="shared" si="338"/>
        <v>5347858.01601483i</v>
      </c>
      <c r="AH511" s="31">
        <f t="shared" si="339"/>
        <v>5347858.0160148302</v>
      </c>
      <c r="AI511" s="31">
        <f t="shared" si="340"/>
        <v>1.5707963267948966</v>
      </c>
      <c r="AJ511" s="31" t="str">
        <f t="shared" si="323"/>
        <v>-3412.07451679725+2610.53015122756i</v>
      </c>
      <c r="AK511" s="31">
        <f t="shared" si="341"/>
        <v>4296.1750637800333</v>
      </c>
      <c r="AL511" s="31">
        <f t="shared" si="342"/>
        <v>2.4885062646632159</v>
      </c>
      <c r="AM511" s="31" t="str">
        <f t="shared" si="324"/>
        <v>1+3101.38329922748i</v>
      </c>
      <c r="AN511" s="31">
        <f t="shared" si="343"/>
        <v>3101.3834604458589</v>
      </c>
      <c r="AO511" s="31">
        <f t="shared" si="344"/>
        <v>1.5704738900404349</v>
      </c>
      <c r="AP511" s="31" t="str">
        <f t="shared" si="325"/>
        <v>1+2502.79755149494i</v>
      </c>
      <c r="AQ511" s="31">
        <f t="shared" si="345"/>
        <v>2502.7977512713778</v>
      </c>
      <c r="AR511" s="31">
        <f t="shared" si="346"/>
        <v>1.5703967739240747</v>
      </c>
      <c r="AS511" s="58" t="str">
        <f t="shared" si="347"/>
        <v>-1.35927384285596+1.77928947274312i</v>
      </c>
      <c r="AT511" s="49">
        <f t="shared" si="348"/>
        <v>7.0014070809315374</v>
      </c>
      <c r="AU511" s="61">
        <f t="shared" si="349"/>
        <v>127.3777267845513</v>
      </c>
      <c r="AV511" s="58" t="str">
        <f t="shared" si="326"/>
        <v>-0.00212632608019412-0.00219271591221493i</v>
      </c>
      <c r="AW511" s="64">
        <f t="shared" si="350"/>
        <v>-50.301525392745141</v>
      </c>
      <c r="AX511" s="61">
        <f t="shared" si="351"/>
        <v>-134.11935155207553</v>
      </c>
    </row>
    <row r="512" spans="14:50" x14ac:dyDescent="0.35">
      <c r="N512" s="10">
        <v>94</v>
      </c>
      <c r="O512" s="50">
        <f t="shared" si="352"/>
        <v>870963.58995608077</v>
      </c>
      <c r="P512" s="48" t="str">
        <f t="shared" si="317"/>
        <v>547.187404092767</v>
      </c>
      <c r="Q512" s="17" t="str">
        <f t="shared" si="318"/>
        <v>1+104951.990566594i</v>
      </c>
      <c r="R512" s="17">
        <f t="shared" si="327"/>
        <v>104951.9905713581</v>
      </c>
      <c r="S512" s="17">
        <f t="shared" si="328"/>
        <v>1.570786798628784</v>
      </c>
      <c r="T512" s="17" t="str">
        <f t="shared" si="319"/>
        <v>1+1.98589499448484i</v>
      </c>
      <c r="U512" s="17">
        <f t="shared" si="329"/>
        <v>2.2234610248708977</v>
      </c>
      <c r="V512" s="17">
        <f t="shared" si="330"/>
        <v>1.1043117178997401</v>
      </c>
      <c r="W512" s="31" t="str">
        <f t="shared" si="320"/>
        <v>1-34.4855589500312i</v>
      </c>
      <c r="X512" s="17">
        <f t="shared" si="331"/>
        <v>34.500054725986693</v>
      </c>
      <c r="Y512" s="17">
        <f t="shared" si="332"/>
        <v>-1.5418068052688989</v>
      </c>
      <c r="Z512" s="31" t="str">
        <f t="shared" si="321"/>
        <v>-249.76944629064+165.001888837071i</v>
      </c>
      <c r="AA512" s="17">
        <f t="shared" si="333"/>
        <v>299.34996178408647</v>
      </c>
      <c r="AB512" s="17">
        <f t="shared" si="334"/>
        <v>2.5577901320612546</v>
      </c>
      <c r="AC512" s="66" t="str">
        <f t="shared" si="335"/>
        <v>-0.000194786775565311+0.0013217520624527i</v>
      </c>
      <c r="AD512" s="64">
        <f t="shared" si="336"/>
        <v>-57.483689807412127</v>
      </c>
      <c r="AE512" s="61">
        <f t="shared" si="337"/>
        <v>98.383344412425458</v>
      </c>
      <c r="AF512" s="31" t="str">
        <f t="shared" si="322"/>
        <v>-6627.51882264077</v>
      </c>
      <c r="AG512" s="31" t="str">
        <f t="shared" si="338"/>
        <v>5472425.63150043i</v>
      </c>
      <c r="AH512" s="31">
        <f t="shared" si="339"/>
        <v>5472425.6315004304</v>
      </c>
      <c r="AI512" s="31">
        <f t="shared" si="340"/>
        <v>1.5707963267948966</v>
      </c>
      <c r="AJ512" s="31" t="str">
        <f t="shared" si="323"/>
        <v>-3572.92776316343+2671.33720988878i</v>
      </c>
      <c r="AK512" s="31">
        <f t="shared" si="341"/>
        <v>4461.1495480111853</v>
      </c>
      <c r="AL512" s="31">
        <f t="shared" si="342"/>
        <v>2.4995904617054876</v>
      </c>
      <c r="AM512" s="31" t="str">
        <f t="shared" si="324"/>
        <v>1+3173.62379647605i</v>
      </c>
      <c r="AN512" s="31">
        <f t="shared" si="343"/>
        <v>3173.6239540246502</v>
      </c>
      <c r="AO512" s="31">
        <f t="shared" si="344"/>
        <v>1.5704812295965409</v>
      </c>
      <c r="AP512" s="31" t="str">
        <f t="shared" si="325"/>
        <v>1+2561.0951955422i</v>
      </c>
      <c r="AQ512" s="31">
        <f t="shared" si="345"/>
        <v>2561.0953907711719</v>
      </c>
      <c r="AR512" s="31">
        <f t="shared" si="346"/>
        <v>1.5704058688568545</v>
      </c>
      <c r="AS512" s="58" t="str">
        <f t="shared" si="347"/>
        <v>-1.3200103385954+1.76812075418466i</v>
      </c>
      <c r="AT512" s="49">
        <f t="shared" si="348"/>
        <v>6.8741107888800439</v>
      </c>
      <c r="AU512" s="61">
        <f t="shared" si="349"/>
        <v>126.74359070158924</v>
      </c>
      <c r="AV512" s="58" t="str">
        <f t="shared" si="326"/>
        <v>-0.00207989669594112-0.00208913292801509i</v>
      </c>
      <c r="AW512" s="64">
        <f t="shared" si="350"/>
        <v>-50.609579018532102</v>
      </c>
      <c r="AX512" s="61">
        <f t="shared" si="351"/>
        <v>-134.87306488598526</v>
      </c>
    </row>
    <row r="513" spans="14:50" x14ac:dyDescent="0.35">
      <c r="N513" s="10">
        <v>95</v>
      </c>
      <c r="O513" s="50">
        <f t="shared" si="352"/>
        <v>891250.93813374708</v>
      </c>
      <c r="P513" s="48" t="str">
        <f t="shared" si="317"/>
        <v>547.187404092767</v>
      </c>
      <c r="Q513" s="17" t="str">
        <f t="shared" si="318"/>
        <v>1+107396.636472712i</v>
      </c>
      <c r="R513" s="17">
        <f t="shared" si="327"/>
        <v>107396.63647736763</v>
      </c>
      <c r="S513" s="17">
        <f t="shared" si="328"/>
        <v>1.5707870155163239</v>
      </c>
      <c r="T513" s="17" t="str">
        <f t="shared" si="319"/>
        <v>1+2.03215243126177i</v>
      </c>
      <c r="U513" s="17">
        <f t="shared" si="329"/>
        <v>2.2648716307736119</v>
      </c>
      <c r="V513" s="17">
        <f t="shared" si="330"/>
        <v>1.1134974665657844</v>
      </c>
      <c r="W513" s="31" t="str">
        <f t="shared" si="320"/>
        <v>1-35.2888308084518i</v>
      </c>
      <c r="X513" s="17">
        <f t="shared" si="331"/>
        <v>35.302996754206816</v>
      </c>
      <c r="Y513" s="17">
        <f t="shared" si="332"/>
        <v>-1.5424663302148933</v>
      </c>
      <c r="Z513" s="31" t="str">
        <f t="shared" si="321"/>
        <v>-261.587846189846+168.845276560063i</v>
      </c>
      <c r="AA513" s="17">
        <f t="shared" si="333"/>
        <v>311.34695869863049</v>
      </c>
      <c r="AB513" s="17">
        <f t="shared" si="334"/>
        <v>2.5684135016378513</v>
      </c>
      <c r="AC513" s="66" t="str">
        <f t="shared" si="335"/>
        <v>-0.000188050150686837+0.0012948626244448i</v>
      </c>
      <c r="AD513" s="64">
        <f t="shared" si="336"/>
        <v>-57.664881029648008</v>
      </c>
      <c r="AE513" s="61">
        <f t="shared" si="337"/>
        <v>98.263174379081249</v>
      </c>
      <c r="AF513" s="31" t="str">
        <f t="shared" si="322"/>
        <v>-6627.51882264077</v>
      </c>
      <c r="AG513" s="31" t="str">
        <f t="shared" si="338"/>
        <v>5599894.79949198i</v>
      </c>
      <c r="AH513" s="31">
        <f t="shared" si="339"/>
        <v>5599894.7994919801</v>
      </c>
      <c r="AI513" s="31">
        <f t="shared" si="340"/>
        <v>1.5707963267948966</v>
      </c>
      <c r="AJ513" s="31" t="str">
        <f t="shared" si="323"/>
        <v>-3741.36178948013+2733.56064689801i</v>
      </c>
      <c r="AK513" s="31">
        <f t="shared" si="341"/>
        <v>4633.5884420232478</v>
      </c>
      <c r="AL513" s="31">
        <f t="shared" si="342"/>
        <v>2.5106023815138885</v>
      </c>
      <c r="AM513" s="31" t="str">
        <f t="shared" si="324"/>
        <v>1+3247.54699106939i</v>
      </c>
      <c r="AN513" s="31">
        <f t="shared" si="343"/>
        <v>3247.5471450317464</v>
      </c>
      <c r="AO513" s="31">
        <f t="shared" si="344"/>
        <v>1.5704884020839858</v>
      </c>
      <c r="AP513" s="31" t="str">
        <f t="shared" si="325"/>
        <v>1+2620.75076616224i</v>
      </c>
      <c r="AQ513" s="31">
        <f t="shared" si="345"/>
        <v>2620.7509569472581</v>
      </c>
      <c r="AR513" s="31">
        <f t="shared" si="346"/>
        <v>1.5704147567637514</v>
      </c>
      <c r="AS513" s="58" t="str">
        <f t="shared" si="347"/>
        <v>-1.28125620087485+1.75616669552771i</v>
      </c>
      <c r="AT513" s="49">
        <f t="shared" si="348"/>
        <v>6.7446972427672316</v>
      </c>
      <c r="AU513" s="61">
        <f t="shared" si="349"/>
        <v>126.1135743650445</v>
      </c>
      <c r="AV513" s="58" t="str">
        <f t="shared" si="326"/>
        <v>-0.0020330541946906-0.00198929817857617i</v>
      </c>
      <c r="AW513" s="64">
        <f t="shared" si="350"/>
        <v>-50.920183786880798</v>
      </c>
      <c r="AX513" s="61">
        <f t="shared" si="351"/>
        <v>-135.62325125587421</v>
      </c>
    </row>
    <row r="514" spans="14:50" x14ac:dyDescent="0.35">
      <c r="N514" s="10">
        <v>96</v>
      </c>
      <c r="O514" s="50">
        <f t="shared" si="352"/>
        <v>912010.83935591124</v>
      </c>
      <c r="P514" s="48" t="str">
        <f t="shared" si="317"/>
        <v>547.187404092767</v>
      </c>
      <c r="Q514" s="17" t="str">
        <f t="shared" si="318"/>
        <v>1+109898.22549705i</v>
      </c>
      <c r="R514" s="17">
        <f t="shared" si="327"/>
        <v>109898.22550159968</v>
      </c>
      <c r="S514" s="17">
        <f t="shared" si="328"/>
        <v>1.5707872274669006</v>
      </c>
      <c r="T514" s="17" t="str">
        <f t="shared" si="319"/>
        <v>1+2.07948734215646i</v>
      </c>
      <c r="U514" s="17">
        <f t="shared" si="329"/>
        <v>2.3074374544478853</v>
      </c>
      <c r="V514" s="17">
        <f t="shared" si="330"/>
        <v>1.1225550839782361</v>
      </c>
      <c r="W514" s="31" t="str">
        <f t="shared" si="320"/>
        <v>1-36.1108132720699i</v>
      </c>
      <c r="X514" s="17">
        <f t="shared" si="331"/>
        <v>36.124656886540798</v>
      </c>
      <c r="Y514" s="17">
        <f t="shared" si="332"/>
        <v>-1.5431108663621813</v>
      </c>
      <c r="Z514" s="31" t="str">
        <f t="shared" si="321"/>
        <v>-273.963230116587+172.778188283618i</v>
      </c>
      <c r="AA514" s="17">
        <f t="shared" si="333"/>
        <v>323.89528215533392</v>
      </c>
      <c r="AB514" s="17">
        <f t="shared" si="334"/>
        <v>2.5789321716895683</v>
      </c>
      <c r="AC514" s="66" t="str">
        <f t="shared" si="335"/>
        <v>-0.00018148797805516+0.0012684520022241i</v>
      </c>
      <c r="AD514" s="64">
        <f t="shared" si="336"/>
        <v>-57.8465108371363</v>
      </c>
      <c r="AE514" s="61">
        <f t="shared" si="337"/>
        <v>98.142520884348102</v>
      </c>
      <c r="AF514" s="31" t="str">
        <f t="shared" si="322"/>
        <v>-6627.51882264077</v>
      </c>
      <c r="AG514" s="31" t="str">
        <f t="shared" si="338"/>
        <v>5730333.10582958i</v>
      </c>
      <c r="AH514" s="31">
        <f t="shared" si="339"/>
        <v>5730333.1058295798</v>
      </c>
      <c r="AI514" s="31">
        <f t="shared" si="340"/>
        <v>1.5707963267948966</v>
      </c>
      <c r="AJ514" s="31" t="str">
        <f t="shared" si="323"/>
        <v>-3917.73386689949+2797.23345394518i</v>
      </c>
      <c r="AK514" s="31">
        <f t="shared" si="341"/>
        <v>4813.8501895801983</v>
      </c>
      <c r="AL514" s="31">
        <f t="shared" si="342"/>
        <v>2.5215372052241491</v>
      </c>
      <c r="AM514" s="31" t="str">
        <f t="shared" si="324"/>
        <v>1+3323.19207806375i</v>
      </c>
      <c r="AN514" s="31">
        <f t="shared" si="343"/>
        <v>3323.1922285214955</v>
      </c>
      <c r="AO514" s="31">
        <f t="shared" si="344"/>
        <v>1.5704954113057146</v>
      </c>
      <c r="AP514" s="31" t="str">
        <f t="shared" si="325"/>
        <v>1+2681.79589352824i</v>
      </c>
      <c r="AQ514" s="31">
        <f t="shared" si="345"/>
        <v>2681.7960799704611</v>
      </c>
      <c r="AR514" s="31">
        <f t="shared" si="346"/>
        <v>1.5704234423572458</v>
      </c>
      <c r="AS514" s="58" t="str">
        <f t="shared" si="347"/>
        <v>-1.24304184921949+1.74345559881036i</v>
      </c>
      <c r="AT514" s="49">
        <f t="shared" si="348"/>
        <v>6.6131949214637276</v>
      </c>
      <c r="AU514" s="61">
        <f t="shared" si="349"/>
        <v>125.48795436339962</v>
      </c>
      <c r="AV514" s="58" t="str">
        <f t="shared" si="326"/>
        <v>-0.00198589259324703-0.00189315515394785i</v>
      </c>
      <c r="AW514" s="64">
        <f t="shared" si="350"/>
        <v>-51.23331591567257</v>
      </c>
      <c r="AX514" s="61">
        <f t="shared" si="351"/>
        <v>-136.36952475225232</v>
      </c>
    </row>
    <row r="515" spans="14:50" x14ac:dyDescent="0.35">
      <c r="N515" s="10">
        <v>97</v>
      </c>
      <c r="O515" s="50">
        <f t="shared" si="352"/>
        <v>933254.30079699249</v>
      </c>
      <c r="P515" s="48" t="str">
        <f t="shared" si="317"/>
        <v>547.187404092767</v>
      </c>
      <c r="Q515" s="17" t="str">
        <f t="shared" si="318"/>
        <v>1+112458.084015221i</v>
      </c>
      <c r="R515" s="17">
        <f t="shared" si="327"/>
        <v>112458.08401966709</v>
      </c>
      <c r="S515" s="17">
        <f t="shared" si="328"/>
        <v>1.5707874345928932</v>
      </c>
      <c r="T515" s="17" t="str">
        <f t="shared" si="319"/>
        <v>1+2.12792482476524i</v>
      </c>
      <c r="U515" s="17">
        <f t="shared" si="329"/>
        <v>2.3511835444839639</v>
      </c>
      <c r="V515" s="17">
        <f t="shared" si="330"/>
        <v>1.1314834269033116</v>
      </c>
      <c r="W515" s="31" t="str">
        <f t="shared" si="320"/>
        <v>1-36.951942166868i</v>
      </c>
      <c r="X515" s="17">
        <f t="shared" si="331"/>
        <v>36.965470778870881</v>
      </c>
      <c r="Y515" s="17">
        <f t="shared" si="332"/>
        <v>-1.5437407533090723</v>
      </c>
      <c r="Z515" s="31" t="str">
        <f t="shared" si="321"/>
        <v>-286.921847919367+176.802709289591i</v>
      </c>
      <c r="AA515" s="17">
        <f t="shared" si="333"/>
        <v>337.02128245201965</v>
      </c>
      <c r="AB515" s="17">
        <f t="shared" si="334"/>
        <v>2.5893427652103469</v>
      </c>
      <c r="AC515" s="66" t="str">
        <f t="shared" si="335"/>
        <v>-0.00017509903541768+0.00124251233426825i</v>
      </c>
      <c r="AD515" s="64">
        <f t="shared" si="336"/>
        <v>-58.028582802946275</v>
      </c>
      <c r="AE515" s="61">
        <f t="shared" si="337"/>
        <v>98.02149244996113</v>
      </c>
      <c r="AF515" s="31" t="str">
        <f t="shared" si="322"/>
        <v>-6627.51882264077</v>
      </c>
      <c r="AG515" s="31" t="str">
        <f t="shared" si="338"/>
        <v>5863809.71062982i</v>
      </c>
      <c r="AH515" s="31">
        <f t="shared" si="339"/>
        <v>5863809.7106298199</v>
      </c>
      <c r="AI515" s="31">
        <f t="shared" si="340"/>
        <v>1.5707963267948966</v>
      </c>
      <c r="AJ515" s="31" t="str">
        <f t="shared" si="323"/>
        <v>-4102.41810424436+2862.38939119539i</v>
      </c>
      <c r="AK515" s="31">
        <f t="shared" si="341"/>
        <v>5002.310199183953</v>
      </c>
      <c r="AL515" s="31">
        <f t="shared" si="342"/>
        <v>2.5323902949030441</v>
      </c>
      <c r="AM515" s="31" t="str">
        <f t="shared" si="324"/>
        <v>1+3400.59916548555i</v>
      </c>
      <c r="AN515" s="31">
        <f t="shared" si="343"/>
        <v>3400.59931251846</v>
      </c>
      <c r="AO515" s="31">
        <f t="shared" si="344"/>
        <v>1.5705022609781063</v>
      </c>
      <c r="AP515" s="31" t="str">
        <f t="shared" si="325"/>
        <v>1+2744.26294457475i</v>
      </c>
      <c r="AQ515" s="31">
        <f t="shared" si="345"/>
        <v>2744.263126773028</v>
      </c>
      <c r="AR515" s="31">
        <f t="shared" si="346"/>
        <v>1.5704319302425489</v>
      </c>
      <c r="AS515" s="58" t="str">
        <f t="shared" si="347"/>
        <v>-1.20539573412612+1.73001705270773i</v>
      </c>
      <c r="AT515" s="49">
        <f t="shared" si="348"/>
        <v>6.4796339016476301</v>
      </c>
      <c r="AU515" s="61">
        <f t="shared" si="349"/>
        <v>124.86699690744588</v>
      </c>
      <c r="AV515" s="58" t="str">
        <f t="shared" si="326"/>
        <v>-0.00193850389614169-0.0018006433845113i</v>
      </c>
      <c r="AW515" s="64">
        <f t="shared" si="350"/>
        <v>-51.548948901298637</v>
      </c>
      <c r="AX515" s="61">
        <f t="shared" si="351"/>
        <v>-137.11151064259295</v>
      </c>
    </row>
    <row r="516" spans="14:50" x14ac:dyDescent="0.35">
      <c r="N516" s="10">
        <v>98</v>
      </c>
      <c r="O516" s="50">
        <f t="shared" si="352"/>
        <v>954992.58602143743</v>
      </c>
      <c r="P516" s="48" t="str">
        <f t="shared" si="317"/>
        <v>547.187404092767</v>
      </c>
      <c r="Q516" s="17" t="str">
        <f t="shared" si="318"/>
        <v>1+115077.569298096i</v>
      </c>
      <c r="R516" s="17">
        <f t="shared" si="327"/>
        <v>115077.5693024409</v>
      </c>
      <c r="S516" s="17">
        <f t="shared" si="328"/>
        <v>1.5707876370041227</v>
      </c>
      <c r="T516" s="17" t="str">
        <f t="shared" si="319"/>
        <v>1+2.17749056128252i</v>
      </c>
      <c r="U516" s="17">
        <f t="shared" si="329"/>
        <v>2.3961354603766591</v>
      </c>
      <c r="V516" s="17">
        <f t="shared" si="330"/>
        <v>1.1402815344612041</v>
      </c>
      <c r="W516" s="31" t="str">
        <f t="shared" si="320"/>
        <v>1-37.8126634705197i</v>
      </c>
      <c r="X516" s="17">
        <f t="shared" si="331"/>
        <v>37.825884242602648</v>
      </c>
      <c r="Y516" s="17">
        <f t="shared" si="332"/>
        <v>-1.5443563230295194</v>
      </c>
      <c r="Z516" s="31" t="str">
        <f t="shared" si="321"/>
        <v>-300.491186563938+180.92097343229i</v>
      </c>
      <c r="AA516" s="17">
        <f t="shared" si="333"/>
        <v>350.75255071102589</v>
      </c>
      <c r="AB516" s="17">
        <f t="shared" si="334"/>
        <v>2.5996421166684405</v>
      </c>
      <c r="AC516" s="66" t="str">
        <f t="shared" si="335"/>
        <v>-0.000168881962373786+0.00121703607518286i</v>
      </c>
      <c r="AD516" s="64">
        <f t="shared" si="336"/>
        <v>-58.211099417182865</v>
      </c>
      <c r="AE516" s="61">
        <f t="shared" si="337"/>
        <v>97.900196366173034</v>
      </c>
      <c r="AF516" s="31" t="str">
        <f t="shared" si="322"/>
        <v>-6627.51882264077</v>
      </c>
      <c r="AG516" s="31" t="str">
        <f t="shared" si="338"/>
        <v>6000395.38495533i</v>
      </c>
      <c r="AH516" s="31">
        <f t="shared" si="339"/>
        <v>6000395.3849553298</v>
      </c>
      <c r="AI516" s="31">
        <f t="shared" si="340"/>
        <v>1.5707963267948966</v>
      </c>
      <c r="AJ516" s="31" t="str">
        <f t="shared" si="323"/>
        <v>-4295.80624154316+2929.06300518902i</v>
      </c>
      <c r="AK516" s="31">
        <f t="shared" si="341"/>
        <v>5199.3616293972182</v>
      </c>
      <c r="AL516" s="31">
        <f t="shared" si="342"/>
        <v>2.5431572010962742</v>
      </c>
      <c r="AM516" s="31" t="str">
        <f t="shared" si="324"/>
        <v>1+3479.80929559715i</v>
      </c>
      <c r="AN516" s="31">
        <f t="shared" si="343"/>
        <v>3479.8094392831817</v>
      </c>
      <c r="AO516" s="31">
        <f t="shared" si="344"/>
        <v>1.5705089547329456</v>
      </c>
      <c r="AP516" s="31" t="str">
        <f t="shared" si="325"/>
        <v>1+2808.18504015909i</v>
      </c>
      <c r="AQ516" s="31">
        <f t="shared" si="345"/>
        <v>2808.1852182100297</v>
      </c>
      <c r="AR516" s="31">
        <f t="shared" si="346"/>
        <v>1.5704402249200451</v>
      </c>
      <c r="AS516" s="58" t="str">
        <f t="shared" si="347"/>
        <v>-1.16834428040575+1.71588177479772i</v>
      </c>
      <c r="AT516" s="49">
        <f t="shared" si="348"/>
        <v>6.3440457493382194</v>
      </c>
      <c r="AU516" s="61">
        <f t="shared" si="349"/>
        <v>124.25095739807486</v>
      </c>
      <c r="AV516" s="58" t="str">
        <f t="shared" si="326"/>
        <v>-0.00189097774587451-0.00171169861881661i</v>
      </c>
      <c r="AW516" s="64">
        <f t="shared" si="350"/>
        <v>-51.86705366784463</v>
      </c>
      <c r="AX516" s="61">
        <f t="shared" si="351"/>
        <v>-137.84884623575218</v>
      </c>
    </row>
    <row r="517" spans="14:50" x14ac:dyDescent="0.35">
      <c r="N517" s="10">
        <v>99</v>
      </c>
      <c r="O517" s="50">
        <f t="shared" si="352"/>
        <v>977237.22095581202</v>
      </c>
      <c r="P517" s="48" t="str">
        <f t="shared" si="317"/>
        <v>547.187404092767</v>
      </c>
      <c r="Q517" s="17" t="str">
        <f t="shared" si="318"/>
        <v>1+117758.070231445i</v>
      </c>
      <c r="R517" s="17">
        <f t="shared" si="327"/>
        <v>117758.070235691</v>
      </c>
      <c r="S517" s="17">
        <f t="shared" si="328"/>
        <v>1.5707878348079101</v>
      </c>
      <c r="T517" s="17" t="str">
        <f t="shared" si="319"/>
        <v>1+2.22821083211789i</v>
      </c>
      <c r="U517" s="17">
        <f t="shared" si="329"/>
        <v>2.4423192896031218</v>
      </c>
      <c r="V517" s="17">
        <f t="shared" si="330"/>
        <v>1.1489486222451222</v>
      </c>
      <c r="W517" s="31" t="str">
        <f t="shared" si="320"/>
        <v>1-38.6934335488533i</v>
      </c>
      <c r="X517" s="17">
        <f t="shared" si="331"/>
        <v>38.706353481043983</v>
      </c>
      <c r="Y517" s="17">
        <f t="shared" si="332"/>
        <v>-1.5449579000396245</v>
      </c>
      <c r="Z517" s="31" t="str">
        <f t="shared" si="321"/>
        <v>-314.70002843684+185.135164269875i</v>
      </c>
      <c r="AA517" s="17">
        <f t="shared" si="333"/>
        <v>365.1179767518733</v>
      </c>
      <c r="AB517" s="17">
        <f t="shared" si="334"/>
        <v>2.6098272729296381</v>
      </c>
      <c r="AC517" s="66" t="str">
        <f t="shared" si="335"/>
        <v>-0.000162835257862743+0.00119201596936948i</v>
      </c>
      <c r="AD517" s="64">
        <f t="shared" si="336"/>
        <v>-58.394062131157945</v>
      </c>
      <c r="AE517" s="61">
        <f t="shared" si="337"/>
        <v>97.778738292359819</v>
      </c>
      <c r="AF517" s="31" t="str">
        <f t="shared" si="322"/>
        <v>-6627.51882264077</v>
      </c>
      <c r="AG517" s="31" t="str">
        <f t="shared" si="338"/>
        <v>6140162.54833857i</v>
      </c>
      <c r="AH517" s="31">
        <f t="shared" si="339"/>
        <v>6140162.5483385697</v>
      </c>
      <c r="AI517" s="31">
        <f t="shared" si="340"/>
        <v>1.5707963267948966</v>
      </c>
      <c r="AJ517" s="31" t="str">
        <f t="shared" si="323"/>
        <v>-4498.30848096314+2997.28964715873i</v>
      </c>
      <c r="AK517" s="31">
        <f t="shared" si="341"/>
        <v>5405.4162114373603</v>
      </c>
      <c r="AL517" s="31">
        <f t="shared" si="342"/>
        <v>2.5538336693860817</v>
      </c>
      <c r="AM517" s="31" t="str">
        <f t="shared" si="324"/>
        <v>1+3560.86446665799i</v>
      </c>
      <c r="AN517" s="31">
        <f t="shared" si="343"/>
        <v>3560.864607073328</v>
      </c>
      <c r="AO517" s="31">
        <f t="shared" si="344"/>
        <v>1.5705154961193473</v>
      </c>
      <c r="AP517" s="31" t="str">
        <f t="shared" si="325"/>
        <v>1+2873.59607262245i</v>
      </c>
      <c r="AQ517" s="31">
        <f t="shared" si="345"/>
        <v>2873.5962466204555</v>
      </c>
      <c r="AR517" s="31">
        <f t="shared" si="346"/>
        <v>1.5704483307876775</v>
      </c>
      <c r="AS517" s="58" t="str">
        <f t="shared" si="347"/>
        <v>-1.13191184474262+1.7010814525521i</v>
      </c>
      <c r="AT517" s="49">
        <f t="shared" si="348"/>
        <v>6.2064634087402437</v>
      </c>
      <c r="AU517" s="61">
        <f t="shared" si="349"/>
        <v>123.64008005080137</v>
      </c>
      <c r="AV517" s="58" t="str">
        <f t="shared" si="326"/>
        <v>-0.00184340109952378-0.00162625303182352i</v>
      </c>
      <c r="AW517" s="64">
        <f t="shared" si="350"/>
        <v>-52.18759872241769</v>
      </c>
      <c r="AX517" s="61">
        <f t="shared" si="351"/>
        <v>-138.58118165683885</v>
      </c>
    </row>
    <row r="518" spans="14:50" x14ac:dyDescent="0.35">
      <c r="N518" s="10">
        <v>100</v>
      </c>
      <c r="O518" s="50">
        <f t="shared" si="352"/>
        <v>1000000</v>
      </c>
      <c r="P518" s="48" t="str">
        <f t="shared" si="317"/>
        <v>547.187404092767</v>
      </c>
      <c r="Q518" s="17" t="str">
        <f t="shared" si="318"/>
        <v>1+120501.008052342i</v>
      </c>
      <c r="R518" s="17">
        <f t="shared" si="327"/>
        <v>120501.00805649137</v>
      </c>
      <c r="S518" s="17">
        <f t="shared" si="328"/>
        <v>1.5707880281091333</v>
      </c>
      <c r="T518" s="17" t="str">
        <f t="shared" si="319"/>
        <v>1+2.2801125298303i</v>
      </c>
      <c r="U518" s="17">
        <f t="shared" si="329"/>
        <v>2.4897616650372645</v>
      </c>
      <c r="V518" s="17">
        <f t="shared" si="330"/>
        <v>1.157484076161831</v>
      </c>
      <c r="W518" s="31" t="str">
        <f t="shared" si="320"/>
        <v>1-39.5947193978226i</v>
      </c>
      <c r="X518" s="17">
        <f t="shared" si="331"/>
        <v>39.607345331293153</v>
      </c>
      <c r="Y518" s="17">
        <f t="shared" si="332"/>
        <v>-1.5455458015608223</v>
      </c>
      <c r="Z518" s="31" t="str">
        <f t="shared" si="321"/>
        <v>-329.578512396695+189.447516222109i</v>
      </c>
      <c r="AA518" s="17">
        <f t="shared" si="333"/>
        <v>380.1478097218826</v>
      </c>
      <c r="AB518" s="17">
        <f t="shared" si="334"/>
        <v>2.6198954933193503</v>
      </c>
      <c r="AC518" s="66" t="str">
        <f t="shared" si="335"/>
        <v>-0.000156957279402853+0.00116744502574669i</v>
      </c>
      <c r="AD518" s="64">
        <f t="shared" si="336"/>
        <v>-58.577471404467829</v>
      </c>
      <c r="AE518" s="61">
        <f t="shared" si="337"/>
        <v>97.657221891199285</v>
      </c>
      <c r="AF518" s="31" t="str">
        <f t="shared" si="322"/>
        <v>-6627.51882264077</v>
      </c>
      <c r="AG518" s="31" t="str">
        <f t="shared" si="338"/>
        <v>6283185.30717959i</v>
      </c>
      <c r="AH518" s="31">
        <f t="shared" si="339"/>
        <v>6283185.3071795898</v>
      </c>
      <c r="AI518" s="31">
        <f t="shared" si="340"/>
        <v>1.5707963267948966</v>
      </c>
      <c r="AJ518" s="31" t="str">
        <f t="shared" si="323"/>
        <v>-4710.35435690402+3067.10549177318i</v>
      </c>
      <c r="AK518" s="31">
        <f t="shared" si="341"/>
        <v>5620.905110858027</v>
      </c>
      <c r="AL518" s="31">
        <f t="shared" si="342"/>
        <v>2.5644156459549232</v>
      </c>
      <c r="AM518" s="31" t="str">
        <f t="shared" si="324"/>
        <v>1+3643.80765519266i</v>
      </c>
      <c r="AN518" s="31">
        <f t="shared" si="343"/>
        <v>3643.8077924117556</v>
      </c>
      <c r="AO518" s="31">
        <f t="shared" si="344"/>
        <v>1.5705218886056389</v>
      </c>
      <c r="AP518" s="31" t="str">
        <f t="shared" si="325"/>
        <v>1+2940.53072376004i</v>
      </c>
      <c r="AQ518" s="31">
        <f t="shared" si="345"/>
        <v>2940.5308937973678</v>
      </c>
      <c r="AR518" s="31">
        <f t="shared" si="346"/>
        <v>1.5704562521432803</v>
      </c>
      <c r="AS518" s="58" t="str">
        <f t="shared" si="347"/>
        <v>-1.0961206872215+1.68564858444346i</v>
      </c>
      <c r="AT518" s="49">
        <f t="shared" si="348"/>
        <v>6.0669210891666756</v>
      </c>
      <c r="AU518" s="61">
        <f t="shared" si="349"/>
        <v>123.03459757722949</v>
      </c>
      <c r="AV518" s="58" t="str">
        <f t="shared" si="326"/>
        <v>-0.00179585793410199-0.0015442354597583i</v>
      </c>
      <c r="AW518" s="64">
        <f t="shared" si="350"/>
        <v>-52.51055031530116</v>
      </c>
      <c r="AX518" s="61">
        <f t="shared" si="351"/>
        <v>-139.30818053157114</v>
      </c>
    </row>
    <row r="519" spans="14:50" x14ac:dyDescent="0.35">
      <c r="N519" s="10">
        <v>1</v>
      </c>
      <c r="O519" s="50">
        <f>10^(6+(N519/100))</f>
        <v>1023292.9922807553</v>
      </c>
      <c r="P519" s="48" t="str">
        <f t="shared" si="317"/>
        <v>547.187404092767</v>
      </c>
      <c r="Q519" s="17" t="str">
        <f t="shared" si="318"/>
        <v>1+123307.837102728i</v>
      </c>
      <c r="R519" s="17">
        <f t="shared" si="327"/>
        <v>123307.8371067829</v>
      </c>
      <c r="S519" s="17">
        <f t="shared" si="328"/>
        <v>1.5707882170102838</v>
      </c>
      <c r="T519" s="17" t="str">
        <f t="shared" si="319"/>
        <v>1+2.3332231733869i</v>
      </c>
      <c r="U519" s="17">
        <f t="shared" si="329"/>
        <v>2.538489782691598</v>
      </c>
      <c r="V519" s="17">
        <f t="shared" si="330"/>
        <v>1.1658874460432023</v>
      </c>
      <c r="W519" s="31" t="str">
        <f t="shared" si="320"/>
        <v>1-40.5169988911147i</v>
      </c>
      <c r="X519" s="17">
        <f t="shared" si="331"/>
        <v>40.529337511765348</v>
      </c>
      <c r="Y519" s="17">
        <f t="shared" si="332"/>
        <v>-1.5461203376797874</v>
      </c>
      <c r="Z519" s="31" t="str">
        <f t="shared" si="321"/>
        <v>-345.158197702778+193.860315755079i</v>
      </c>
      <c r="AA519" s="17">
        <f t="shared" si="333"/>
        <v>395.87372161598319</v>
      </c>
      <c r="AB519" s="17">
        <f t="shared" si="334"/>
        <v>2.6298442488663825</v>
      </c>
      <c r="AC519" s="66" t="str">
        <f t="shared" si="335"/>
        <v>-0.000151246243936288+0.00114331649361958i</v>
      </c>
      <c r="AD519" s="64">
        <f t="shared" si="336"/>
        <v>-58.761326754444063</v>
      </c>
      <c r="AE519" s="61">
        <f t="shared" si="337"/>
        <v>97.535748496803762</v>
      </c>
      <c r="AF519" s="31" t="str">
        <f t="shared" si="322"/>
        <v>-6627.51882264077</v>
      </c>
      <c r="AG519" s="31" t="str">
        <f t="shared" si="338"/>
        <v>6429539.49403828i</v>
      </c>
      <c r="AH519" s="31">
        <f t="shared" si="339"/>
        <v>6429539.4940382801</v>
      </c>
      <c r="AI519" s="31">
        <f t="shared" si="340"/>
        <v>1.5707963267948966</v>
      </c>
      <c r="AJ519" s="31" t="str">
        <f t="shared" si="323"/>
        <v>-4932.3936470982+3138.54755631731i</v>
      </c>
      <c r="AK519" s="31">
        <f t="shared" si="341"/>
        <v>5846.279830216823</v>
      </c>
      <c r="AL519" s="31">
        <f t="shared" si="342"/>
        <v>2.5748992821601715</v>
      </c>
      <c r="AM519" s="31" t="str">
        <f t="shared" si="324"/>
        <v>1+3728.68283877762i</v>
      </c>
      <c r="AN519" s="31">
        <f t="shared" si="343"/>
        <v>3728.6829728732273</v>
      </c>
      <c r="AO519" s="31">
        <f t="shared" si="344"/>
        <v>1.5705281355811993</v>
      </c>
      <c r="AP519" s="31" t="str">
        <f t="shared" si="325"/>
        <v>1+3009.02448320991i</v>
      </c>
      <c r="AQ519" s="31">
        <f t="shared" si="345"/>
        <v>3009.0246493767158</v>
      </c>
      <c r="AR519" s="31">
        <f t="shared" si="346"/>
        <v>1.5704639931868569</v>
      </c>
      <c r="AS519" s="58" t="str">
        <f t="shared" si="347"/>
        <v>-1.06099095643136+1.66961632248745i</v>
      </c>
      <c r="AT519" s="49">
        <f t="shared" si="348"/>
        <v>5.9254541507857184</v>
      </c>
      <c r="AU519" s="61">
        <f t="shared" si="349"/>
        <v>122.43473092317853</v>
      </c>
      <c r="AV519" s="58" t="str">
        <f t="shared" si="326"/>
        <v>-0.00174842898250576-0.00146557165766013i</v>
      </c>
      <c r="AW519" s="64">
        <f t="shared" si="350"/>
        <v>-52.835872603658345</v>
      </c>
      <c r="AX519" s="61">
        <f t="shared" si="351"/>
        <v>-140.02952058001779</v>
      </c>
    </row>
    <row r="520" spans="14:50" x14ac:dyDescent="0.35">
      <c r="N520" s="10">
        <v>2</v>
      </c>
      <c r="O520" s="50">
        <f t="shared" ref="O520:O560" si="353">10^(6+(N520/100))</f>
        <v>1047128.5480509007</v>
      </c>
      <c r="P520" s="48" t="str">
        <f t="shared" si="317"/>
        <v>547.187404092767</v>
      </c>
      <c r="Q520" s="17" t="str">
        <f t="shared" si="318"/>
        <v>1+126180.045600519i</v>
      </c>
      <c r="R520" s="17">
        <f t="shared" si="327"/>
        <v>126180.04560448159</v>
      </c>
      <c r="S520" s="17">
        <f t="shared" si="328"/>
        <v>1.570788401611519</v>
      </c>
      <c r="T520" s="17" t="str">
        <f t="shared" si="319"/>
        <v>1+2.38757092275387i</v>
      </c>
      <c r="U520" s="17">
        <f t="shared" si="329"/>
        <v>2.5885314197783589</v>
      </c>
      <c r="V520" s="17">
        <f t="shared" si="330"/>
        <v>1.1741584390759339</v>
      </c>
      <c r="W520" s="31" t="str">
        <f t="shared" si="320"/>
        <v>1-41.4607610335247i</v>
      </c>
      <c r="X520" s="17">
        <f t="shared" si="331"/>
        <v>41.472818875488073</v>
      </c>
      <c r="Y520" s="17">
        <f t="shared" si="332"/>
        <v>-1.5466818115051089</v>
      </c>
      <c r="Z520" s="31" t="str">
        <f t="shared" si="321"/>
        <v>-361.472130956426+198.375902593506i</v>
      </c>
      <c r="AA520" s="17">
        <f t="shared" si="333"/>
        <v>412.32887382278693</v>
      </c>
      <c r="AB520" s="17">
        <f t="shared" si="334"/>
        <v>2.6396712207750648</v>
      </c>
      <c r="AC520" s="66" t="str">
        <f t="shared" si="335"/>
        <v>-0.000145700230129927+0.00111962383977635i</v>
      </c>
      <c r="AD520" s="64">
        <f t="shared" si="336"/>
        <v>-58.945626807457217</v>
      </c>
      <c r="AE520" s="61">
        <f t="shared" si="337"/>
        <v>97.414416816830609</v>
      </c>
      <c r="AF520" s="31" t="str">
        <f t="shared" si="322"/>
        <v>-6627.51882264077</v>
      </c>
      <c r="AG520" s="31" t="str">
        <f t="shared" si="338"/>
        <v>6579302.70784171i</v>
      </c>
      <c r="AH520" s="31">
        <f t="shared" si="339"/>
        <v>6579302.7078417102</v>
      </c>
      <c r="AI520" s="31">
        <f t="shared" si="340"/>
        <v>1.5707963267948966</v>
      </c>
      <c r="AJ520" s="31" t="str">
        <f t="shared" si="323"/>
        <v>-5164.89732664946+3211.65372031939i</v>
      </c>
      <c r="AK520" s="31">
        <f t="shared" si="341"/>
        <v>6082.0131547105457</v>
      </c>
      <c r="AL520" s="31">
        <f t="shared" si="342"/>
        <v>2.5852809381326471</v>
      </c>
      <c r="AM520" s="31" t="str">
        <f t="shared" si="324"/>
        <v>1+3815.53501935865i</v>
      </c>
      <c r="AN520" s="31">
        <f t="shared" si="343"/>
        <v>3815.535150401869</v>
      </c>
      <c r="AO520" s="31">
        <f t="shared" si="344"/>
        <v>1.5705342403582554</v>
      </c>
      <c r="AP520" s="31" t="str">
        <f t="shared" si="325"/>
        <v>1+3079.11366726992i</v>
      </c>
      <c r="AQ520" s="31">
        <f t="shared" si="345"/>
        <v>3079.1138296543077</v>
      </c>
      <c r="AR520" s="31">
        <f t="shared" si="346"/>
        <v>1.5704715580228077</v>
      </c>
      <c r="AS520" s="58" t="str">
        <f t="shared" si="347"/>
        <v>-1.02654068762509+1.65301831745533i</v>
      </c>
      <c r="AT520" s="49">
        <f t="shared" si="348"/>
        <v>5.7820989899164976</v>
      </c>
      <c r="AU520" s="61">
        <f t="shared" si="349"/>
        <v>121.84068906273184</v>
      </c>
      <c r="AV520" s="58" t="str">
        <f t="shared" si="326"/>
        <v>-0.00170119150138527-0.00139018457562768i</v>
      </c>
      <c r="AW520" s="64">
        <f t="shared" si="350"/>
        <v>-53.163527817540725</v>
      </c>
      <c r="AX520" s="61">
        <f t="shared" si="351"/>
        <v>-140.74489412043764</v>
      </c>
    </row>
    <row r="521" spans="14:50" x14ac:dyDescent="0.35">
      <c r="N521" s="10">
        <v>3</v>
      </c>
      <c r="O521" s="50">
        <f t="shared" si="353"/>
        <v>1071519.3052376076</v>
      </c>
      <c r="P521" s="48" t="str">
        <f t="shared" si="317"/>
        <v>547.187404092767</v>
      </c>
      <c r="Q521" s="17" t="str">
        <f t="shared" si="318"/>
        <v>1+129119.156428677i</v>
      </c>
      <c r="R521" s="17">
        <f t="shared" si="327"/>
        <v>129119.15643254937</v>
      </c>
      <c r="S521" s="17">
        <f t="shared" si="328"/>
        <v>1.570788582010717</v>
      </c>
      <c r="T521" s="17" t="str">
        <f t="shared" si="319"/>
        <v>1+2.44318459382733i</v>
      </c>
      <c r="U521" s="17">
        <f t="shared" si="329"/>
        <v>2.6399149530837573</v>
      </c>
      <c r="V521" s="17">
        <f t="shared" si="330"/>
        <v>1.182296913094198</v>
      </c>
      <c r="W521" s="31" t="str">
        <f t="shared" si="320"/>
        <v>1-42.4265062202328i</v>
      </c>
      <c r="X521" s="17">
        <f t="shared" si="331"/>
        <v>42.438289669300438</v>
      </c>
      <c r="Y521" s="17">
        <f t="shared" si="332"/>
        <v>-1.5472305193207796</v>
      </c>
      <c r="Z521" s="31" t="str">
        <f t="shared" si="321"/>
        <v>-378.554916197318+202.996670961304i</v>
      </c>
      <c r="AA521" s="17">
        <f t="shared" si="333"/>
        <v>429.5479868402719</v>
      </c>
      <c r="AB521" s="17">
        <f t="shared" si="334"/>
        <v>2.6493742981756321</v>
      </c>
      <c r="AC521" s="66" t="str">
        <f t="shared" si="335"/>
        <v>-0.000140317181980606+0.00109636072687304i</v>
      </c>
      <c r="AD521" s="64">
        <f t="shared" si="336"/>
        <v>-59.130369351581031</v>
      </c>
      <c r="AE521" s="61">
        <f t="shared" si="337"/>
        <v>97.293322668276218</v>
      </c>
      <c r="AF521" s="31" t="str">
        <f t="shared" si="322"/>
        <v>-6627.51882264077</v>
      </c>
      <c r="AG521" s="31" t="str">
        <f t="shared" si="338"/>
        <v>6732554.35502821i</v>
      </c>
      <c r="AH521" s="31">
        <f t="shared" si="339"/>
        <v>6732554.3550282102</v>
      </c>
      <c r="AI521" s="31">
        <f t="shared" si="340"/>
        <v>1.5707963267948966</v>
      </c>
      <c r="AJ521" s="31" t="str">
        <f t="shared" si="323"/>
        <v>-5408.35856703447+3286.46274563525i</v>
      </c>
      <c r="AK521" s="31">
        <f t="shared" si="341"/>
        <v>6328.600142848617</v>
      </c>
      <c r="AL521" s="31">
        <f t="shared" si="342"/>
        <v>2.5955571854193336</v>
      </c>
      <c r="AM521" s="31" t="str">
        <f t="shared" si="324"/>
        <v>1+3904.41024711151i</v>
      </c>
      <c r="AN521" s="31">
        <f t="shared" si="343"/>
        <v>3904.4103751718212</v>
      </c>
      <c r="AO521" s="31">
        <f t="shared" si="344"/>
        <v>1.5705402061736391</v>
      </c>
      <c r="AP521" s="31" t="str">
        <f t="shared" si="325"/>
        <v>1+3150.8354381532i</v>
      </c>
      <c r="AQ521" s="31">
        <f t="shared" si="345"/>
        <v>3150.8355968412675</v>
      </c>
      <c r="AR521" s="31">
        <f t="shared" si="346"/>
        <v>1.5704789506621049</v>
      </c>
      <c r="AS521" s="58" t="str">
        <f t="shared" si="347"/>
        <v>-0.992785813300773+1.63588856789433i</v>
      </c>
      <c r="AT521" s="49">
        <f t="shared" si="348"/>
        <v>5.636892924565081</v>
      </c>
      <c r="AU521" s="61">
        <f t="shared" si="349"/>
        <v>121.25266884704594</v>
      </c>
      <c r="AV521" s="58" t="str">
        <f t="shared" si="326"/>
        <v>-0.00165421907174724-0.0013179946497809i</v>
      </c>
      <c r="AW521" s="64">
        <f t="shared" si="350"/>
        <v>-53.493476427015935</v>
      </c>
      <c r="AX521" s="61">
        <f t="shared" si="351"/>
        <v>-141.4540084846779</v>
      </c>
    </row>
    <row r="522" spans="14:50" x14ac:dyDescent="0.35">
      <c r="N522" s="10">
        <v>4</v>
      </c>
      <c r="O522" s="50">
        <f t="shared" si="353"/>
        <v>1096478.196143186</v>
      </c>
      <c r="P522" s="48" t="str">
        <f t="shared" si="317"/>
        <v>547.187404092767</v>
      </c>
      <c r="Q522" s="17" t="str">
        <f t="shared" si="318"/>
        <v>1+132126.727942667i</v>
      </c>
      <c r="R522" s="17">
        <f t="shared" si="327"/>
        <v>132126.72794645125</v>
      </c>
      <c r="S522" s="17">
        <f t="shared" si="328"/>
        <v>1.570788758303528</v>
      </c>
      <c r="T522" s="17" t="str">
        <f t="shared" si="319"/>
        <v>1+2.50009367371181i</v>
      </c>
      <c r="U522" s="17">
        <f t="shared" si="329"/>
        <v>2.6926693776499584</v>
      </c>
      <c r="V522" s="17">
        <f t="shared" si="330"/>
        <v>1.1903028697771691</v>
      </c>
      <c r="W522" s="31" t="str">
        <f t="shared" si="320"/>
        <v>1-43.4147465021201i</v>
      </c>
      <c r="X522" s="17">
        <f t="shared" si="331"/>
        <v>43.426261799092842</v>
      </c>
      <c r="Y522" s="17">
        <f t="shared" si="332"/>
        <v>-1.5477667507365487</v>
      </c>
      <c r="Z522" s="31" t="str">
        <f t="shared" si="321"/>
        <v>-396.442788303279+207.725070851025i</v>
      </c>
      <c r="AA522" s="17">
        <f t="shared" si="333"/>
        <v>447.56741331082384</v>
      </c>
      <c r="AB522" s="17">
        <f t="shared" si="334"/>
        <v>2.6589515752051307</v>
      </c>
      <c r="AC522" s="66" t="str">
        <f t="shared" si="335"/>
        <v>-0.000135094913573083+0.00107352099315117i</v>
      </c>
      <c r="AD522" s="64">
        <f t="shared" si="336"/>
        <v>-59.315551390149331</v>
      </c>
      <c r="AE522" s="61">
        <f t="shared" si="337"/>
        <v>97.172558746357325</v>
      </c>
      <c r="AF522" s="31" t="str">
        <f t="shared" si="322"/>
        <v>-6627.51882264077</v>
      </c>
      <c r="AG522" s="31" t="str">
        <f t="shared" si="338"/>
        <v>6889375.69164964i</v>
      </c>
      <c r="AH522" s="31">
        <f t="shared" si="339"/>
        <v>6889375.69164964</v>
      </c>
      <c r="AI522" s="31">
        <f t="shared" si="340"/>
        <v>1.5707963267948966</v>
      </c>
      <c r="AJ522" s="31" t="str">
        <f t="shared" si="323"/>
        <v>-5663.2937821855+3363.01429700032i</v>
      </c>
      <c r="AK522" s="31">
        <f t="shared" si="341"/>
        <v>6586.5591643262042</v>
      </c>
      <c r="AL522" s="31">
        <f t="shared" si="342"/>
        <v>2.6057248086972997</v>
      </c>
      <c r="AM522" s="31" t="str">
        <f t="shared" si="324"/>
        <v>1+3995.35564485838i</v>
      </c>
      <c r="AN522" s="31">
        <f t="shared" si="343"/>
        <v>3995.3557700036831</v>
      </c>
      <c r="AO522" s="31">
        <f t="shared" si="344"/>
        <v>1.5705460361905033</v>
      </c>
      <c r="AP522" s="31" t="str">
        <f t="shared" si="325"/>
        <v>1+3224.22782369203i</v>
      </c>
      <c r="AQ522" s="31">
        <f t="shared" si="345"/>
        <v>3224.2279787679167</v>
      </c>
      <c r="AR522" s="31">
        <f t="shared" si="346"/>
        <v>1.5704861750244208</v>
      </c>
      <c r="AS522" s="58" t="str">
        <f t="shared" si="347"/>
        <v>-0.959740185472264+1.61826127398647i</v>
      </c>
      <c r="AT522" s="49">
        <f t="shared" si="348"/>
        <v>5.4898740808559898</v>
      </c>
      <c r="AU522" s="61">
        <f t="shared" si="349"/>
        <v>120.67085490637055</v>
      </c>
      <c r="AV522" s="58" t="str">
        <f t="shared" si="326"/>
        <v>-0.00160758143261904-0.00124892010402314i</v>
      </c>
      <c r="AW522" s="64">
        <f t="shared" si="350"/>
        <v>-53.825677309293347</v>
      </c>
      <c r="AX522" s="61">
        <f t="shared" si="351"/>
        <v>-142.15658634727208</v>
      </c>
    </row>
    <row r="523" spans="14:50" x14ac:dyDescent="0.35">
      <c r="N523" s="10">
        <v>5</v>
      </c>
      <c r="O523" s="50">
        <f t="shared" si="353"/>
        <v>1122018.4543019643</v>
      </c>
      <c r="P523" s="48" t="str">
        <f t="shared" si="317"/>
        <v>547.187404092767</v>
      </c>
      <c r="Q523" s="17" t="str">
        <f t="shared" si="318"/>
        <v>1+135204.354796717i</v>
      </c>
      <c r="R523" s="17">
        <f t="shared" si="327"/>
        <v>135204.35480041511</v>
      </c>
      <c r="S523" s="17">
        <f t="shared" si="328"/>
        <v>1.5707889305834248</v>
      </c>
      <c r="T523" s="17" t="str">
        <f t="shared" si="319"/>
        <v>1+2.55832833635474i</v>
      </c>
      <c r="U523" s="17">
        <f t="shared" si="329"/>
        <v>2.7468243257615899</v>
      </c>
      <c r="V523" s="17">
        <f t="shared" si="330"/>
        <v>1.1981764477907104</v>
      </c>
      <c r="W523" s="31" t="str">
        <f t="shared" si="320"/>
        <v>1-44.4260058572648i</v>
      </c>
      <c r="X523" s="17">
        <f t="shared" si="331"/>
        <v>44.437259101228626</v>
      </c>
      <c r="Y523" s="17">
        <f t="shared" si="332"/>
        <v>-1.5482907888351818</v>
      </c>
      <c r="Z523" s="31" t="str">
        <f t="shared" si="321"/>
        <v>-415.173689849312+212.563609322877i</v>
      </c>
      <c r="AA523" s="17">
        <f t="shared" si="333"/>
        <v>466.4252145322564</v>
      </c>
      <c r="AB523" s="17">
        <f t="shared" si="334"/>
        <v>2.6684013474728387</v>
      </c>
      <c r="AC523" s="66" t="str">
        <f t="shared" si="335"/>
        <v>-0.000130031114841124+0.0010510986335176i</v>
      </c>
      <c r="AD523" s="64">
        <f t="shared" si="336"/>
        <v>-59.501169195765591</v>
      </c>
      <c r="AE523" s="61">
        <f t="shared" si="337"/>
        <v>97.052214425634048</v>
      </c>
      <c r="AF523" s="31" t="str">
        <f t="shared" si="322"/>
        <v>-6627.51882264077</v>
      </c>
      <c r="AG523" s="31" t="str">
        <f t="shared" si="338"/>
        <v>7049849.86645445i</v>
      </c>
      <c r="AH523" s="31">
        <f t="shared" si="339"/>
        <v>7049849.8664544504</v>
      </c>
      <c r="AI523" s="31">
        <f t="shared" si="340"/>
        <v>1.5707963267948966</v>
      </c>
      <c r="AJ523" s="31" t="str">
        <f t="shared" si="323"/>
        <v>-5930.24372387363+3441.34896306041i</v>
      </c>
      <c r="AK523" s="31">
        <f t="shared" si="341"/>
        <v>6856.432987355709</v>
      </c>
      <c r="AL523" s="31">
        <f t="shared" si="342"/>
        <v>2.6157808065920101</v>
      </c>
      <c r="AM523" s="31" t="str">
        <f t="shared" si="324"/>
        <v>1+4088.41943305293i</v>
      </c>
      <c r="AN523" s="31">
        <f t="shared" si="343"/>
        <v>4088.4195553495774</v>
      </c>
      <c r="AO523" s="31">
        <f t="shared" si="344"/>
        <v>1.5705517334999979</v>
      </c>
      <c r="AP523" s="31" t="str">
        <f t="shared" si="325"/>
        <v>1+3299.32973750068i</v>
      </c>
      <c r="AQ523" s="31">
        <f t="shared" si="345"/>
        <v>3299.3298890466085</v>
      </c>
      <c r="AR523" s="31">
        <f t="shared" si="346"/>
        <v>1.570493234940205</v>
      </c>
      <c r="AS523" s="58" t="str">
        <f t="shared" si="347"/>
        <v>-0.927415608815132+1.60017069716203i</v>
      </c>
      <c r="AT523" s="49">
        <f t="shared" si="348"/>
        <v>5.3410812809701511</v>
      </c>
      <c r="AU523" s="61">
        <f t="shared" si="349"/>
        <v>120.09541960337793</v>
      </c>
      <c r="AV523" s="58" t="str">
        <f t="shared" si="326"/>
        <v>-0.00156134434764662-0.00118287725881656i</v>
      </c>
      <c r="AW523" s="64">
        <f t="shared" si="350"/>
        <v>-54.16008791479544</v>
      </c>
      <c r="AX523" s="61">
        <f t="shared" si="351"/>
        <v>-142.85236597098782</v>
      </c>
    </row>
    <row r="524" spans="14:50" x14ac:dyDescent="0.35">
      <c r="N524" s="10">
        <v>6</v>
      </c>
      <c r="O524" s="50">
        <f t="shared" si="353"/>
        <v>1148153.6214968837</v>
      </c>
      <c r="P524" s="48" t="str">
        <f t="shared" si="317"/>
        <v>547.187404092767</v>
      </c>
      <c r="Q524" s="17" t="str">
        <f t="shared" si="318"/>
        <v>1+138353.668789322i</v>
      </c>
      <c r="R524" s="17">
        <f t="shared" si="327"/>
        <v>138353.6687929359</v>
      </c>
      <c r="S524" s="17">
        <f t="shared" si="328"/>
        <v>1.5707890989417523</v>
      </c>
      <c r="T524" s="17" t="str">
        <f t="shared" si="319"/>
        <v>1+2.61791945854508i</v>
      </c>
      <c r="U524" s="17">
        <f t="shared" si="329"/>
        <v>2.8024100862345187</v>
      </c>
      <c r="V524" s="17">
        <f t="shared" si="330"/>
        <v>1.2059179159095248</v>
      </c>
      <c r="W524" s="31" t="str">
        <f t="shared" si="320"/>
        <v>1-45.4608204687629i</v>
      </c>
      <c r="X524" s="17">
        <f t="shared" si="331"/>
        <v>45.47181762029193</v>
      </c>
      <c r="Y524" s="17">
        <f t="shared" si="332"/>
        <v>-1.5488029103166823</v>
      </c>
      <c r="Z524" s="31" t="str">
        <f t="shared" si="321"/>
        <v>-434.787351588896+217.514851834004i</v>
      </c>
      <c r="AA524" s="17">
        <f t="shared" si="333"/>
        <v>486.16124060856083</v>
      </c>
      <c r="AB524" s="17">
        <f t="shared" si="334"/>
        <v>2.6777221079652476</v>
      </c>
      <c r="AC524" s="66" t="str">
        <f t="shared" si="335"/>
        <v>-0.000125123358185508+0.00102908778200067i</v>
      </c>
      <c r="AD524" s="64">
        <f t="shared" si="336"/>
        <v>-59.687218364360604</v>
      </c>
      <c r="AE524" s="61">
        <f t="shared" si="337"/>
        <v>96.932375592300303</v>
      </c>
      <c r="AF524" s="31" t="str">
        <f t="shared" si="322"/>
        <v>-6627.51882264077</v>
      </c>
      <c r="AG524" s="31" t="str">
        <f t="shared" si="338"/>
        <v>7214061.96497425i</v>
      </c>
      <c r="AH524" s="31">
        <f t="shared" si="339"/>
        <v>7214061.9649742497</v>
      </c>
      <c r="AI524" s="31">
        <f t="shared" si="340"/>
        <v>1.5707963267948966</v>
      </c>
      <c r="AJ524" s="31" t="str">
        <f t="shared" si="323"/>
        <v>-6209.77462871581+3521.50827789236i</v>
      </c>
      <c r="AK524" s="31">
        <f t="shared" si="341"/>
        <v>7138.7899178156922</v>
      </c>
      <c r="AL524" s="31">
        <f t="shared" si="342"/>
        <v>2.6257223916385337</v>
      </c>
      <c r="AM524" s="31" t="str">
        <f t="shared" si="324"/>
        <v>1+4183.65095534752i</v>
      </c>
      <c r="AN524" s="31">
        <f t="shared" si="343"/>
        <v>4183.6510748603559</v>
      </c>
      <c r="AO524" s="31">
        <f t="shared" si="344"/>
        <v>1.5705573011229108</v>
      </c>
      <c r="AP524" s="31" t="str">
        <f t="shared" si="325"/>
        <v>1+3376.18099960794i</v>
      </c>
      <c r="AQ524" s="31">
        <f t="shared" si="345"/>
        <v>3376.1811477042625</v>
      </c>
      <c r="AR524" s="31">
        <f t="shared" si="346"/>
        <v>1.5705001341527152</v>
      </c>
      <c r="AS524" s="58" t="str">
        <f t="shared" si="347"/>
        <v>-0.895821883810087+1.58165102626584i</v>
      </c>
      <c r="AT524" s="49">
        <f t="shared" si="348"/>
        <v>5.1905539331585269</v>
      </c>
      <c r="AU524" s="61">
        <f t="shared" si="349"/>
        <v>119.52652303559543</v>
      </c>
      <c r="AV524" s="58" t="str">
        <f t="shared" si="326"/>
        <v>-0.00151556950408061-0.00111978084336172i</v>
      </c>
      <c r="AW524" s="64">
        <f t="shared" si="350"/>
        <v>-54.496664431202085</v>
      </c>
      <c r="AX524" s="61">
        <f t="shared" si="351"/>
        <v>-143.54110137210427</v>
      </c>
    </row>
    <row r="525" spans="14:50" x14ac:dyDescent="0.35">
      <c r="N525" s="10">
        <v>7</v>
      </c>
      <c r="O525" s="50">
        <f t="shared" si="353"/>
        <v>1174897.5549395324</v>
      </c>
      <c r="P525" s="48" t="str">
        <f t="shared" si="317"/>
        <v>547.187404092767</v>
      </c>
      <c r="Q525" s="17" t="str">
        <f t="shared" si="318"/>
        <v>1+141576.339728445i</v>
      </c>
      <c r="R525" s="17">
        <f t="shared" si="327"/>
        <v>141576.33973197665</v>
      </c>
      <c r="S525" s="17">
        <f t="shared" si="328"/>
        <v>1.5707892634677765</v>
      </c>
      <c r="T525" s="17" t="str">
        <f t="shared" si="319"/>
        <v>1+2.67889863628461i</v>
      </c>
      <c r="U525" s="17">
        <f t="shared" si="329"/>
        <v>2.8594576240062635</v>
      </c>
      <c r="V525" s="17">
        <f t="shared" si="330"/>
        <v>1.2135276661531846</v>
      </c>
      <c r="W525" s="31" t="str">
        <f t="shared" si="320"/>
        <v>1-46.5197390090186i</v>
      </c>
      <c r="X525" s="17">
        <f t="shared" si="331"/>
        <v>46.530485893306626</v>
      </c>
      <c r="Y525" s="17">
        <f t="shared" si="332"/>
        <v>-1.5493033856395155</v>
      </c>
      <c r="Z525" s="31" t="str">
        <f t="shared" si="321"/>
        <v>-455.32537672823+222.581423598723i</v>
      </c>
      <c r="AA525" s="17">
        <f t="shared" si="333"/>
        <v>506.81721441160488</v>
      </c>
      <c r="AB525" s="17">
        <f t="shared" si="334"/>
        <v>2.6869125424460276</v>
      </c>
      <c r="AC525" s="66" t="str">
        <f t="shared" si="335"/>
        <v>-0.00012036910580771+0.00100748269558323i</v>
      </c>
      <c r="AD525" s="64">
        <f t="shared" si="336"/>
        <v>-59.873693868925514</v>
      </c>
      <c r="AE525" s="61">
        <f t="shared" si="337"/>
        <v>96.813124506374905</v>
      </c>
      <c r="AF525" s="31" t="str">
        <f t="shared" si="322"/>
        <v>-6627.51882264077</v>
      </c>
      <c r="AG525" s="31" t="str">
        <f t="shared" si="338"/>
        <v>7382099.05463729i</v>
      </c>
      <c r="AH525" s="31">
        <f t="shared" si="339"/>
        <v>7382099.0546372896</v>
      </c>
      <c r="AI525" s="31">
        <f t="shared" si="340"/>
        <v>1.5707963267948966</v>
      </c>
      <c r="AJ525" s="31" t="str">
        <f t="shared" si="323"/>
        <v>-6502.47941923858+3603.53474302592i</v>
      </c>
      <c r="AK525" s="31">
        <f t="shared" si="341"/>
        <v>7434.2249926818986</v>
      </c>
      <c r="AL525" s="31">
        <f t="shared" si="342"/>
        <v>2.6355469894287653</v>
      </c>
      <c r="AM525" s="31" t="str">
        <f t="shared" si="324"/>
        <v>1+4281.10070475581i</v>
      </c>
      <c r="AN525" s="31">
        <f t="shared" si="343"/>
        <v>4281.1008215482016</v>
      </c>
      <c r="AO525" s="31">
        <f t="shared" si="344"/>
        <v>1.570562742011268</v>
      </c>
      <c r="AP525" s="31" t="str">
        <f t="shared" si="325"/>
        <v>1+3454.82235757025i</v>
      </c>
      <c r="AQ525" s="31">
        <f t="shared" si="345"/>
        <v>3454.8225022954884</v>
      </c>
      <c r="AR525" s="31">
        <f t="shared" si="346"/>
        <v>1.5705068763200027</v>
      </c>
      <c r="AS525" s="58" t="str">
        <f t="shared" si="347"/>
        <v>-0.86496685895738+1.56273625095256i</v>
      </c>
      <c r="AT525" s="49">
        <f t="shared" si="348"/>
        <v>5.0383319243467897</v>
      </c>
      <c r="AU525" s="61">
        <f t="shared" si="349"/>
        <v>118.96431308447163</v>
      </c>
      <c r="AV525" s="58" t="str">
        <f t="shared" si="326"/>
        <v>-0.00147031444322931-0.00105954430779299i</v>
      </c>
      <c r="AW525" s="64">
        <f t="shared" si="350"/>
        <v>-54.835361944578736</v>
      </c>
      <c r="AX525" s="61">
        <f t="shared" si="351"/>
        <v>-144.22256240915351</v>
      </c>
    </row>
    <row r="526" spans="14:50" x14ac:dyDescent="0.35">
      <c r="N526" s="10">
        <v>8</v>
      </c>
      <c r="O526" s="50">
        <f t="shared" si="353"/>
        <v>1202264.4346174158</v>
      </c>
      <c r="P526" s="48" t="str">
        <f t="shared" si="317"/>
        <v>547.187404092767</v>
      </c>
      <c r="Q526" s="17" t="str">
        <f t="shared" si="318"/>
        <v>1+144874.076316878i</v>
      </c>
      <c r="R526" s="17">
        <f t="shared" si="327"/>
        <v>144874.0763203293</v>
      </c>
      <c r="S526" s="17">
        <f t="shared" si="328"/>
        <v>1.570789424248731</v>
      </c>
      <c r="T526" s="17" t="str">
        <f t="shared" si="319"/>
        <v>1+2.74129820154052i</v>
      </c>
      <c r="U526" s="17">
        <f t="shared" si="329"/>
        <v>2.917998600028672</v>
      </c>
      <c r="V526" s="17">
        <f t="shared" si="330"/>
        <v>1.2210062069665073</v>
      </c>
      <c r="W526" s="31" t="str">
        <f t="shared" si="320"/>
        <v>1-47.6033229306584i</v>
      </c>
      <c r="X526" s="17">
        <f t="shared" si="331"/>
        <v>47.613825240580582</v>
      </c>
      <c r="Y526" s="17">
        <f t="shared" si="332"/>
        <v>-1.5497924791588933</v>
      </c>
      <c r="Z526" s="31" t="str">
        <f t="shared" si="321"/>
        <v>-476.831329172211+227.766010980447i</v>
      </c>
      <c r="AA526" s="17">
        <f t="shared" si="333"/>
        <v>528.4368195329339</v>
      </c>
      <c r="AB526" s="17">
        <f t="shared" si="334"/>
        <v>2.6959715244062812</v>
      </c>
      <c r="AC526" s="66" t="str">
        <f t="shared" si="335"/>
        <v>-0.000115765717624225+0.000986277739400446i</v>
      </c>
      <c r="AD526" s="64">
        <f t="shared" si="336"/>
        <v>-60.060590112583732</v>
      </c>
      <c r="AE526" s="61">
        <f t="shared" si="337"/>
        <v>96.694539692369247</v>
      </c>
      <c r="AF526" s="31" t="str">
        <f t="shared" si="322"/>
        <v>-6627.51882264077</v>
      </c>
      <c r="AG526" s="31" t="str">
        <f t="shared" si="338"/>
        <v>7554050.23093272i</v>
      </c>
      <c r="AH526" s="31">
        <f t="shared" si="339"/>
        <v>7554050.23093272</v>
      </c>
      <c r="AI526" s="31">
        <f t="shared" si="340"/>
        <v>1.5707963267948966</v>
      </c>
      <c r="AJ526" s="31" t="str">
        <f t="shared" si="323"/>
        <v>-6808.9789615462+3687.47184997865i</v>
      </c>
      <c r="AK526" s="31">
        <f t="shared" si="341"/>
        <v>7743.3612303161817</v>
      </c>
      <c r="AL526" s="31">
        <f t="shared" si="342"/>
        <v>2.6452522369916287</v>
      </c>
      <c r="AM526" s="31" t="str">
        <f t="shared" si="324"/>
        <v>1+4380.82035042481i</v>
      </c>
      <c r="AN526" s="31">
        <f t="shared" si="343"/>
        <v>4380.8204645586829</v>
      </c>
      <c r="AO526" s="31">
        <f t="shared" si="344"/>
        <v>1.5705680590498989</v>
      </c>
      <c r="AP526" s="31" t="str">
        <f t="shared" si="325"/>
        <v>1+3535.29550807651i</v>
      </c>
      <c r="AQ526" s="31">
        <f t="shared" si="345"/>
        <v>3535.2956495074</v>
      </c>
      <c r="AR526" s="31">
        <f t="shared" si="346"/>
        <v>1.5705134650168515</v>
      </c>
      <c r="AS526" s="58" t="str">
        <f t="shared" si="347"/>
        <v>-0.834856491104041+1.54346004286662i</v>
      </c>
      <c r="AT526" s="49">
        <f t="shared" si="348"/>
        <v>4.8844555157985949</v>
      </c>
      <c r="AU526" s="61">
        <f t="shared" si="349"/>
        <v>118.40892550838497</v>
      </c>
      <c r="AV526" s="58" t="str">
        <f t="shared" si="326"/>
        <v>-0.0014256325211275-0.00100208013225665i</v>
      </c>
      <c r="AW526" s="64">
        <f t="shared" si="350"/>
        <v>-55.176134596785161</v>
      </c>
      <c r="AX526" s="61">
        <f t="shared" si="351"/>
        <v>-144.89653479924579</v>
      </c>
    </row>
    <row r="527" spans="14:50" x14ac:dyDescent="0.35">
      <c r="N527" s="10">
        <v>9</v>
      </c>
      <c r="O527" s="50">
        <f t="shared" si="353"/>
        <v>1230268.770812382</v>
      </c>
      <c r="P527" s="48" t="str">
        <f t="shared" si="317"/>
        <v>547.187404092767</v>
      </c>
      <c r="Q527" s="17" t="str">
        <f t="shared" si="318"/>
        <v>1+148248.627058208i</v>
      </c>
      <c r="R527" s="17">
        <f t="shared" si="327"/>
        <v>148248.62706158069</v>
      </c>
      <c r="S527" s="17">
        <f t="shared" si="328"/>
        <v>1.5707895813698642</v>
      </c>
      <c r="T527" s="17" t="str">
        <f t="shared" si="319"/>
        <v>1+2.80515123938824i</v>
      </c>
      <c r="U527" s="17">
        <f t="shared" si="329"/>
        <v>2.9780653914649653</v>
      </c>
      <c r="V527" s="17">
        <f t="shared" si="330"/>
        <v>1.228354156471859</v>
      </c>
      <c r="W527" s="31" t="str">
        <f t="shared" si="320"/>
        <v>1-48.7121467642203i</v>
      </c>
      <c r="X527" s="17">
        <f t="shared" si="331"/>
        <v>48.722410063326485</v>
      </c>
      <c r="Y527" s="17">
        <f t="shared" si="332"/>
        <v>-1.5502704492621584</v>
      </c>
      <c r="Z527" s="31" t="str">
        <f t="shared" si="321"/>
        <v>-499.350825929327+233.071362916033i</v>
      </c>
      <c r="AA527" s="17">
        <f t="shared" si="333"/>
        <v>551.06579241306406</v>
      </c>
      <c r="AB527" s="17">
        <f t="shared" si="334"/>
        <v>2.704898109619656</v>
      </c>
      <c r="AC527" s="66" t="str">
        <f t="shared" si="335"/>
        <v>-0.00011131045963373+0.000965467373279168i</v>
      </c>
      <c r="AD527" s="64">
        <f t="shared" si="336"/>
        <v>-60.247900980699285</v>
      </c>
      <c r="AE527" s="61">
        <f t="shared" si="337"/>
        <v>96.576695856882552</v>
      </c>
      <c r="AF527" s="31" t="str">
        <f t="shared" si="322"/>
        <v>-6627.51882264077</v>
      </c>
      <c r="AG527" s="31" t="str">
        <f t="shared" si="338"/>
        <v>7730006.66465025i</v>
      </c>
      <c r="AH527" s="31">
        <f t="shared" si="339"/>
        <v>7730006.6646502502</v>
      </c>
      <c r="AI527" s="31">
        <f t="shared" si="340"/>
        <v>1.5707963267948966</v>
      </c>
      <c r="AJ527" s="31" t="str">
        <f t="shared" si="323"/>
        <v>-7129.92338226102+3773.3641033157i</v>
      </c>
      <c r="AK527" s="31">
        <f t="shared" si="341"/>
        <v>8066.850940305264</v>
      </c>
      <c r="AL527" s="31">
        <f t="shared" si="342"/>
        <v>2.6548359804563395</v>
      </c>
      <c r="AM527" s="31" t="str">
        <f t="shared" si="324"/>
        <v>1+4482.86276503062i</v>
      </c>
      <c r="AN527" s="31">
        <f t="shared" si="343"/>
        <v>4482.8628765664889</v>
      </c>
      <c r="AO527" s="31">
        <f t="shared" si="344"/>
        <v>1.570573255057967</v>
      </c>
      <c r="AP527" s="31" t="str">
        <f t="shared" si="325"/>
        <v>1+3617.64311905631i</v>
      </c>
      <c r="AQ527" s="31">
        <f t="shared" si="345"/>
        <v>3617.64325726784</v>
      </c>
      <c r="AR527" s="31">
        <f t="shared" si="346"/>
        <v>1.5705199037366733</v>
      </c>
      <c r="AS527" s="58" t="str">
        <f t="shared" si="347"/>
        <v>-0.805494912908795+1.52385564504307i</v>
      </c>
      <c r="AT527" s="49">
        <f t="shared" si="348"/>
        <v>4.7289652422512498</v>
      </c>
      <c r="AU527" s="61">
        <f t="shared" si="349"/>
        <v>117.86048407672493</v>
      </c>
      <c r="AV527" s="58" t="str">
        <f t="shared" si="326"/>
        <v>-0.00138157289788786-0.000947300130020985i</v>
      </c>
      <c r="AW527" s="64">
        <f t="shared" si="350"/>
        <v>-55.518935738448015</v>
      </c>
      <c r="AX527" s="61">
        <f t="shared" si="351"/>
        <v>-145.56282006639262</v>
      </c>
    </row>
    <row r="528" spans="14:50" x14ac:dyDescent="0.35">
      <c r="N528" s="10">
        <v>10</v>
      </c>
      <c r="O528" s="50">
        <f t="shared" si="353"/>
        <v>1258925.4117941677</v>
      </c>
      <c r="P528" s="48" t="str">
        <f t="shared" si="317"/>
        <v>547.187404092767</v>
      </c>
      <c r="Q528" s="17" t="str">
        <f t="shared" si="318"/>
        <v>1+151701.781183907i</v>
      </c>
      <c r="R528" s="17">
        <f t="shared" si="327"/>
        <v>151701.78118720293</v>
      </c>
      <c r="S528" s="17">
        <f t="shared" si="328"/>
        <v>1.5707897349144837</v>
      </c>
      <c r="T528" s="17" t="str">
        <f t="shared" si="319"/>
        <v>1+2.87049160555365i</v>
      </c>
      <c r="U528" s="17">
        <f t="shared" si="329"/>
        <v>3.0396911121944559</v>
      </c>
      <c r="V528" s="17">
        <f t="shared" si="330"/>
        <v>1.2355722358181094</v>
      </c>
      <c r="W528" s="31" t="str">
        <f t="shared" si="320"/>
        <v>1-49.8467984227782i</v>
      </c>
      <c r="X528" s="17">
        <f t="shared" si="331"/>
        <v>49.856828148219407</v>
      </c>
      <c r="Y528" s="17">
        <f t="shared" si="332"/>
        <v>-1.5507375485013266</v>
      </c>
      <c r="Z528" s="31" t="str">
        <f t="shared" si="321"/>
        <v>-522.931633871444+238.500292373301i</v>
      </c>
      <c r="AA528" s="17">
        <f t="shared" si="333"/>
        <v>574.75201884430817</v>
      </c>
      <c r="AB528" s="17">
        <f t="shared" si="334"/>
        <v>2.7136915303557463</v>
      </c>
      <c r="AC528" s="66" t="str">
        <f t="shared" si="335"/>
        <v>-0.000107000512617206+0.000945046139585398i</v>
      </c>
      <c r="AD528" s="64">
        <f t="shared" si="336"/>
        <v>-60.435619891756467</v>
      </c>
      <c r="AE528" s="61">
        <f t="shared" si="337"/>
        <v>96.459663831475581</v>
      </c>
      <c r="AF528" s="31" t="str">
        <f t="shared" si="322"/>
        <v>-6627.51882264077</v>
      </c>
      <c r="AG528" s="31" t="str">
        <f t="shared" si="338"/>
        <v>7910061.65022012i</v>
      </c>
      <c r="AH528" s="31">
        <f t="shared" si="339"/>
        <v>7910061.6502201203</v>
      </c>
      <c r="AI528" s="31">
        <f t="shared" si="340"/>
        <v>1.5707963267948966</v>
      </c>
      <c r="AJ528" s="31" t="str">
        <f t="shared" si="323"/>
        <v>-7465.99344752919+3861.2570442467i</v>
      </c>
      <c r="AK528" s="31">
        <f t="shared" si="341"/>
        <v>8405.3770956628468</v>
      </c>
      <c r="AL528" s="31">
        <f t="shared" si="342"/>
        <v>2.6642962720511396</v>
      </c>
      <c r="AM528" s="31" t="str">
        <f t="shared" si="324"/>
        <v>1+4587.28205281216i</v>
      </c>
      <c r="AN528" s="31">
        <f t="shared" si="343"/>
        <v>4587.282161809163</v>
      </c>
      <c r="AO528" s="31">
        <f t="shared" si="344"/>
        <v>1.5705783327904628</v>
      </c>
      <c r="AP528" s="31" t="str">
        <f t="shared" si="325"/>
        <v>1+3701.90885230301i</v>
      </c>
      <c r="AQ528" s="31">
        <f t="shared" si="345"/>
        <v>3701.908987368462</v>
      </c>
      <c r="AR528" s="31">
        <f t="shared" si="346"/>
        <v>1.5705261958933607</v>
      </c>
      <c r="AS528" s="58" t="str">
        <f t="shared" si="347"/>
        <v>-0.776884506466915+1.50395576984999i</v>
      </c>
      <c r="AT528" s="49">
        <f t="shared" si="348"/>
        <v>4.5719018148843436</v>
      </c>
      <c r="AU528" s="61">
        <f t="shared" si="349"/>
        <v>117.31910074204345</v>
      </c>
      <c r="AV528" s="58" t="str">
        <f t="shared" si="326"/>
        <v>-0.00133818055396759-0.000895115742067819i</v>
      </c>
      <c r="AW528" s="64">
        <f t="shared" si="350"/>
        <v>-55.863718076872139</v>
      </c>
      <c r="AX528" s="61">
        <f t="shared" si="351"/>
        <v>-146.22123542648089</v>
      </c>
    </row>
    <row r="529" spans="14:50" x14ac:dyDescent="0.35">
      <c r="N529" s="10">
        <v>11</v>
      </c>
      <c r="O529" s="50">
        <f t="shared" si="353"/>
        <v>1288249.5516931366</v>
      </c>
      <c r="P529" s="48" t="str">
        <f t="shared" si="317"/>
        <v>547.187404092767</v>
      </c>
      <c r="Q529" s="17" t="str">
        <f t="shared" si="318"/>
        <v>1+155235.369602i</v>
      </c>
      <c r="R529" s="17">
        <f t="shared" si="327"/>
        <v>155235.36960522094</v>
      </c>
      <c r="S529" s="17">
        <f t="shared" si="328"/>
        <v>1.570789884964001</v>
      </c>
      <c r="T529" s="17" t="str">
        <f t="shared" si="319"/>
        <v>1+2.93735394436379i</v>
      </c>
      <c r="U529" s="17">
        <f t="shared" si="329"/>
        <v>3.1029096336293001</v>
      </c>
      <c r="V529" s="17">
        <f t="shared" si="330"/>
        <v>1.242661262648171</v>
      </c>
      <c r="W529" s="31" t="str">
        <f t="shared" si="320"/>
        <v>1-51.0078795136604i</v>
      </c>
      <c r="X529" s="17">
        <f t="shared" si="331"/>
        <v>51.017680979049764</v>
      </c>
      <c r="Y529" s="17">
        <f t="shared" si="332"/>
        <v>-1.5511940237228299</v>
      </c>
      <c r="Z529" s="31" t="str">
        <f t="shared" si="321"/>
        <v>-547.623771053742+244.05567784251i</v>
      </c>
      <c r="AA529" s="17">
        <f t="shared" si="333"/>
        <v>599.54563505231874</v>
      </c>
      <c r="AB529" s="17">
        <f t="shared" si="334"/>
        <v>2.7223511893036196</v>
      </c>
      <c r="AC529" s="66" t="str">
        <f t="shared" si="335"/>
        <v>-0.000102832981059843+0.000925008652337994i</v>
      </c>
      <c r="AD529" s="64">
        <f t="shared" si="336"/>
        <v>-60.623739846778626</v>
      </c>
      <c r="AE529" s="61">
        <f t="shared" si="337"/>
        <v>96.343510539108834</v>
      </c>
      <c r="AF529" s="31" t="str">
        <f t="shared" si="322"/>
        <v>-6627.51882264077</v>
      </c>
      <c r="AG529" s="31" t="str">
        <f t="shared" si="338"/>
        <v>8094310.655179i</v>
      </c>
      <c r="AH529" s="31">
        <f t="shared" si="339"/>
        <v>8094310.6551790005</v>
      </c>
      <c r="AI529" s="31">
        <f t="shared" si="340"/>
        <v>1.5707963267948966</v>
      </c>
      <c r="AJ529" s="31" t="str">
        <f t="shared" si="323"/>
        <v>-7817.90200701684+3951.19727477236i</v>
      </c>
      <c r="AK529" s="31">
        <f t="shared" si="341"/>
        <v>8759.6547703369251</v>
      </c>
      <c r="AL529" s="31">
        <f t="shared" si="342"/>
        <v>2.6736313664915876</v>
      </c>
      <c r="AM529" s="31" t="str">
        <f t="shared" si="324"/>
        <v>1+4694.13357825796i</v>
      </c>
      <c r="AN529" s="31">
        <f t="shared" si="343"/>
        <v>4694.1336847738885</v>
      </c>
      <c r="AO529" s="31">
        <f t="shared" si="344"/>
        <v>1.570583294939667</v>
      </c>
      <c r="AP529" s="31" t="str">
        <f t="shared" si="325"/>
        <v>1+3788.13738662376i</v>
      </c>
      <c r="AQ529" s="31">
        <f t="shared" si="345"/>
        <v>3788.1375186147461</v>
      </c>
      <c r="AR529" s="31">
        <f t="shared" si="346"/>
        <v>1.5705323448230963</v>
      </c>
      <c r="AS529" s="58" t="str">
        <f t="shared" si="347"/>
        <v>-0.749025982127506+1.48379250568297i</v>
      </c>
      <c r="AT529" s="49">
        <f t="shared" si="348"/>
        <v>4.4133060284290755</v>
      </c>
      <c r="AU529" s="61">
        <f t="shared" si="349"/>
        <v>116.78487584717878</v>
      </c>
      <c r="AV529" s="58" t="str">
        <f t="shared" si="326"/>
        <v>-0.00129549633139757-0.000845438320927541i</v>
      </c>
      <c r="AW529" s="64">
        <f t="shared" si="350"/>
        <v>-56.210433818349557</v>
      </c>
      <c r="AX529" s="61">
        <f t="shared" si="351"/>
        <v>-146.87161361371233</v>
      </c>
    </row>
    <row r="530" spans="14:50" x14ac:dyDescent="0.35">
      <c r="N530" s="10">
        <v>12</v>
      </c>
      <c r="O530" s="50">
        <f t="shared" si="353"/>
        <v>1318256.7385564097</v>
      </c>
      <c r="P530" s="48" t="str">
        <f t="shared" si="317"/>
        <v>547.187404092767</v>
      </c>
      <c r="Q530" s="17" t="str">
        <f t="shared" si="318"/>
        <v>1+158851.26586784i</v>
      </c>
      <c r="R530" s="17">
        <f t="shared" si="327"/>
        <v>158851.26587098761</v>
      </c>
      <c r="S530" s="17">
        <f t="shared" si="328"/>
        <v>1.5707900315979744</v>
      </c>
      <c r="T530" s="17" t="str">
        <f t="shared" si="319"/>
        <v>1+3.0057737071157i</v>
      </c>
      <c r="U530" s="17">
        <f t="shared" si="329"/>
        <v>3.1677556058490457</v>
      </c>
      <c r="V530" s="17">
        <f t="shared" si="330"/>
        <v>1.2496221447044236</v>
      </c>
      <c r="W530" s="31" t="str">
        <f t="shared" si="320"/>
        <v>1-52.1960056574298i</v>
      </c>
      <c r="X530" s="17">
        <f t="shared" si="331"/>
        <v>52.20558405563952</v>
      </c>
      <c r="Y530" s="17">
        <f t="shared" si="332"/>
        <v>-1.5516401161945119</v>
      </c>
      <c r="Z530" s="31" t="str">
        <f t="shared" si="321"/>
        <v>-573.479612809715+249.74046486257i</v>
      </c>
      <c r="AA530" s="17">
        <f t="shared" si="333"/>
        <v>625.49913357106527</v>
      </c>
      <c r="AB530" s="17">
        <f t="shared" si="334"/>
        <v>2.7308766532554305</v>
      </c>
      <c r="AC530" s="66" t="str">
        <f t="shared" si="335"/>
        <v>-0.0000988049021924732+0.000905349587539198i</v>
      </c>
      <c r="AD530" s="64">
        <f t="shared" si="336"/>
        <v>-60.812253477089484</v>
      </c>
      <c r="AE530" s="61">
        <f t="shared" si="337"/>
        <v>96.228298982383038</v>
      </c>
      <c r="AF530" s="31" t="str">
        <f t="shared" si="322"/>
        <v>-6627.51882264077</v>
      </c>
      <c r="AG530" s="31" t="str">
        <f t="shared" si="338"/>
        <v>8282851.37078812i</v>
      </c>
      <c r="AH530" s="31">
        <f t="shared" si="339"/>
        <v>8282851.3707881197</v>
      </c>
      <c r="AI530" s="31">
        <f t="shared" si="340"/>
        <v>1.5707963267948966</v>
      </c>
      <c r="AJ530" s="31" t="str">
        <f t="shared" si="323"/>
        <v>-8186.39550595982+4043.23248239336i</v>
      </c>
      <c r="AK530" s="31">
        <f t="shared" si="341"/>
        <v>9130.4326450984736</v>
      </c>
      <c r="AL530" s="31">
        <f t="shared" si="342"/>
        <v>2.6828397168135014</v>
      </c>
      <c r="AM530" s="31" t="str">
        <f t="shared" si="324"/>
        <v>1+4803.47399546116i</v>
      </c>
      <c r="AN530" s="31">
        <f t="shared" si="343"/>
        <v>4803.474099552489</v>
      </c>
      <c r="AO530" s="31">
        <f t="shared" si="344"/>
        <v>1.5705881441365752</v>
      </c>
      <c r="AP530" s="31" t="str">
        <f t="shared" si="325"/>
        <v>1+3876.37444152883i</v>
      </c>
      <c r="AQ530" s="31">
        <f t="shared" si="345"/>
        <v>3876.3745705153356</v>
      </c>
      <c r="AR530" s="31">
        <f t="shared" si="346"/>
        <v>1.5705383537861224</v>
      </c>
      <c r="AS530" s="58" t="str">
        <f t="shared" si="347"/>
        <v>-0.721918461557621+1.4633972325188i</v>
      </c>
      <c r="AT530" s="49">
        <f t="shared" si="348"/>
        <v>4.2532186726755858</v>
      </c>
      <c r="AU530" s="61">
        <f t="shared" si="349"/>
        <v>116.25789836419267</v>
      </c>
      <c r="AV530" s="58" t="str">
        <f t="shared" si="326"/>
        <v>-0.00125355699788176-0.000798179401835881i</v>
      </c>
      <c r="AW530" s="64">
        <f t="shared" si="350"/>
        <v>-56.559034804413891</v>
      </c>
      <c r="AX530" s="61">
        <f t="shared" si="351"/>
        <v>-147.51380265342434</v>
      </c>
    </row>
    <row r="531" spans="14:50" x14ac:dyDescent="0.35">
      <c r="N531" s="10">
        <v>13</v>
      </c>
      <c r="O531" s="50">
        <f t="shared" si="353"/>
        <v>1348962.8825916562</v>
      </c>
      <c r="P531" s="48" t="str">
        <f t="shared" ref="P531:P560" si="354">COMPLEX(Adc,0)</f>
        <v>547.187404092767</v>
      </c>
      <c r="Q531" s="17" t="str">
        <f t="shared" ref="Q531:Q560" si="355">IMSUM(COMPLEX(1,0),IMDIV(COMPLEX(0,2*PI()*O531),COMPLEX(wp_lf,0)))</f>
        <v>1+162551.387177487i</v>
      </c>
      <c r="R531" s="17">
        <f t="shared" si="327"/>
        <v>162551.38718056298</v>
      </c>
      <c r="S531" s="17">
        <f t="shared" si="328"/>
        <v>1.5707901748941508</v>
      </c>
      <c r="T531" s="17" t="str">
        <f t="shared" ref="T531:T560" si="356">IMSUM(COMPLEX(1,0),IMDIV(COMPLEX(0,2*PI()*O531),COMPLEX(wz_esr,0)))</f>
        <v>1+3.07578717087324i</v>
      </c>
      <c r="U531" s="17">
        <f t="shared" si="329"/>
        <v>3.23426447905987</v>
      </c>
      <c r="V531" s="17">
        <f t="shared" si="330"/>
        <v>1.256455873588763</v>
      </c>
      <c r="W531" s="31" t="str">
        <f t="shared" ref="W531:W560" si="357">IMSUB(COMPLEX(1,0),IMDIV(COMPLEX(0,2*PI()*O531),COMPLEX(wz_rhp,0)))</f>
        <v>1-53.4118068142944i</v>
      </c>
      <c r="X531" s="17">
        <f t="shared" si="331"/>
        <v>53.421167220190036</v>
      </c>
      <c r="Y531" s="17">
        <f t="shared" si="332"/>
        <v>-1.5520760617299245</v>
      </c>
      <c r="Z531" s="31" t="str">
        <f t="shared" ref="Z531:Z560" si="358">IMSUM(COMPLEX(1,0),IMDIV(COMPLEX(0,2*PI()*O531),COMPLEX(Q*(wsl/2),0)),IMDIV(IMPOWER(COMPLEX(0,2*PI()*O531),2),IMPOWER(COMPLEX(wsl/2,0),2)))</f>
        <v>-600.554002846278+255.557667582805i</v>
      </c>
      <c r="AA531" s="17">
        <f t="shared" si="333"/>
        <v>652.66747413598807</v>
      </c>
      <c r="AB531" s="17">
        <f t="shared" si="334"/>
        <v>2.739267646597825</v>
      </c>
      <c r="AC531" s="66" t="str">
        <f t="shared" si="335"/>
        <v>-0.0000949132550596985+0.000886063674666749i</v>
      </c>
      <c r="AD531" s="64">
        <f t="shared" si="336"/>
        <v>-61.001153090250462</v>
      </c>
      <c r="AE531" s="61">
        <f t="shared" si="337"/>
        <v>96.114088251807885</v>
      </c>
      <c r="AF531" s="31" t="str">
        <f t="shared" ref="AF531:AF560" si="359">COMPLEX(Adc_ea_iso,0)</f>
        <v>-6627.51882264077</v>
      </c>
      <c r="AG531" s="31" t="str">
        <f t="shared" si="338"/>
        <v>8475783.76383051i</v>
      </c>
      <c r="AH531" s="31">
        <f t="shared" si="339"/>
        <v>8475783.7638305109</v>
      </c>
      <c r="AI531" s="31">
        <f t="shared" si="340"/>
        <v>1.5707963267948966</v>
      </c>
      <c r="AJ531" s="31" t="str">
        <f t="shared" ref="AJ531:AJ560" si="360">IMSUM(IMPRODUCT(COMPLEX(wpA_ea_iso,0),IMPOWER(COMPLEX(0,2*PI()*O531),2)),COMPLEX(0,wpB_ea_iso*2*PI()*O531),COMPLEX(1,0))</f>
        <v>-8572.25556847415+4137.41146539505i</v>
      </c>
      <c r="AK531" s="31">
        <f t="shared" si="341"/>
        <v>9518.4945850285822</v>
      </c>
      <c r="AL531" s="31">
        <f t="shared" si="342"/>
        <v>2.691919969705951</v>
      </c>
      <c r="AM531" s="31" t="str">
        <f t="shared" ref="AM531:AM560" si="361">IMSUM(COMPLEX(1,0),IMDIV(COMPLEX(0,2*PI()*O531),COMPLEX(wz1_ea_iso,0)))</f>
        <v>1+4915.36127815823i</v>
      </c>
      <c r="AN531" s="31">
        <f t="shared" si="343"/>
        <v>4915.3613798801507</v>
      </c>
      <c r="AO531" s="31">
        <f t="shared" si="344"/>
        <v>1.570592882952295</v>
      </c>
      <c r="AP531" s="31" t="str">
        <f t="shared" ref="AP531:AP560" si="362">IMSUM(COMPLEX(1,0),IMDIV(COMPLEX(0,2*PI()*O531),COMPLEX(wz2_ea_iso,0)))</f>
        <v>1+3966.66680147267i</v>
      </c>
      <c r="AQ531" s="31">
        <f t="shared" si="345"/>
        <v>3966.6669275230843</v>
      </c>
      <c r="AR531" s="31">
        <f t="shared" si="346"/>
        <v>1.5705442259684688</v>
      </c>
      <c r="AS531" s="58" t="str">
        <f t="shared" si="347"/>
        <v>-0.695559564139535+1.4428005463388i</v>
      </c>
      <c r="AT531" s="49">
        <f t="shared" si="348"/>
        <v>4.0916804485817773</v>
      </c>
      <c r="AU531" s="61">
        <f t="shared" si="349"/>
        <v>115.7382461619495</v>
      </c>
      <c r="AV531" s="58" t="str">
        <f t="shared" ref="AV531:AV560" si="363">IMPRODUCT(AC531,AS531)</f>
        <v>-0.00121239533157976-0.000753250959606006i</v>
      </c>
      <c r="AW531" s="64">
        <f t="shared" si="350"/>
        <v>-56.909472641668692</v>
      </c>
      <c r="AX531" s="61">
        <f t="shared" si="351"/>
        <v>-148.14766558624257</v>
      </c>
    </row>
    <row r="532" spans="14:50" x14ac:dyDescent="0.35">
      <c r="N532" s="10">
        <v>14</v>
      </c>
      <c r="O532" s="50">
        <f t="shared" si="353"/>
        <v>1380384.2646028849</v>
      </c>
      <c r="P532" s="48" t="str">
        <f t="shared" si="354"/>
        <v>547.187404092767</v>
      </c>
      <c r="Q532" s="17" t="str">
        <f t="shared" si="355"/>
        <v>1+166337.695384238i</v>
      </c>
      <c r="R532" s="17">
        <f t="shared" ref="R532:R560" si="364">IMABS(Q532)</f>
        <v>166337.69538724393</v>
      </c>
      <c r="S532" s="17">
        <f t="shared" ref="S532:S560" si="365">IMARGUMENT(Q532)</f>
        <v>1.5707903149285083</v>
      </c>
      <c r="T532" s="17" t="str">
        <f t="shared" si="356"/>
        <v>1+3.14743145770163i</v>
      </c>
      <c r="U532" s="17">
        <f t="shared" ref="U532:U560" si="366">IMABS(T532)</f>
        <v>3.3024725253860638</v>
      </c>
      <c r="V532" s="17">
        <f t="shared" ref="V532:V560" si="367">IMARGUMENT(T532)</f>
        <v>1.2631635186915591</v>
      </c>
      <c r="W532" s="31" t="str">
        <f t="shared" si="357"/>
        <v>1-54.6559276181208i</v>
      </c>
      <c r="X532" s="17">
        <f t="shared" ref="X532:X560" si="368">IMABS(W532)</f>
        <v>54.665074991234206</v>
      </c>
      <c r="Y532" s="17">
        <f t="shared" ref="Y532:Y560" si="369">IMARGUMENT(W532)</f>
        <v>-1.5525020908099747</v>
      </c>
      <c r="Z532" s="31" t="str">
        <f t="shared" si="358"/>
        <v>-628.904369574628+261.510370361099i</v>
      </c>
      <c r="AA532" s="17">
        <f t="shared" ref="AA532:AA560" si="370">IMABS(Z532)</f>
        <v>681.10819983058457</v>
      </c>
      <c r="AB532" s="17">
        <f t="shared" ref="AB532:AB560" si="371">IMARGUMENT(Z532)</f>
        <v>2.7475240446563816</v>
      </c>
      <c r="AC532" s="66" t="str">
        <f t="shared" ref="AC532:AC560" si="372">(IMDIV(IMPRODUCT(P532,T532,W532),IMPRODUCT(Q532,Z532)))</f>
        <v>-0.0000911549695310937+0.0008671456892672i</v>
      </c>
      <c r="AD532" s="64">
        <f t="shared" ref="AD532:AD560" si="373">20*LOG(IMABS(AC532))</f>
        <v>-61.190430714041959</v>
      </c>
      <c r="AE532" s="61">
        <f t="shared" ref="AE532:AE560" si="374">(180/PI())*IMARGUMENT(AC532)</f>
        <v>96.00093355232012</v>
      </c>
      <c r="AF532" s="31" t="str">
        <f t="shared" si="359"/>
        <v>-6627.51882264077</v>
      </c>
      <c r="AG532" s="31" t="str">
        <f t="shared" ref="AG532:AG560" si="375">COMPLEX(0,1*2*PI()*O532)</f>
        <v>8673210.12961474i</v>
      </c>
      <c r="AH532" s="31">
        <f t="shared" ref="AH532:AH560" si="376">IMABS(AG532)</f>
        <v>8673210.1296147406</v>
      </c>
      <c r="AI532" s="31">
        <f t="shared" ref="AI532:AI560" si="377">IMARGUMENT(AG532)</f>
        <v>1.5707963267948966</v>
      </c>
      <c r="AJ532" s="31" t="str">
        <f t="shared" si="360"/>
        <v>-8976.3006554856+4233.78415872079i</v>
      </c>
      <c r="AK532" s="31">
        <f t="shared" ref="AK532:AK560" si="378">IMABS(AJ532)</f>
        <v>9924.6612919689269</v>
      </c>
      <c r="AL532" s="31">
        <f t="shared" ref="AL532:AL560" si="379">IMARGUMENT(AJ532)</f>
        <v>2.7008709603995777</v>
      </c>
      <c r="AM532" s="31" t="str">
        <f t="shared" si="361"/>
        <v>1+5029.85475046748i</v>
      </c>
      <c r="AN532" s="31">
        <f t="shared" ref="AN532:AN560" si="380">IMABS(AM532)</f>
        <v>5029.8548498739283</v>
      </c>
      <c r="AO532" s="31">
        <f t="shared" ref="AO532:AO560" si="381">IMARGUMENT(AM532)</f>
        <v>1.5705975138994086</v>
      </c>
      <c r="AP532" s="31" t="str">
        <f t="shared" si="362"/>
        <v>1+4059.06234065969i</v>
      </c>
      <c r="AQ532" s="31">
        <f t="shared" ref="AQ532:AQ560" si="382">IMABS(AP532)</f>
        <v>4059.0624638408462</v>
      </c>
      <c r="AR532" s="31">
        <f t="shared" ref="AR532:AR560" si="383">IMARGUMENT(AP532)</f>
        <v>1.5705499644836427</v>
      </c>
      <c r="AS532" s="58" t="str">
        <f t="shared" ref="AS532:AS560" si="384">IMDIV(IMPRODUCT(AF532,AM532,AP532),IMPRODUCT(AG532,AJ532))</f>
        <v>-0.669945495828276+1.42203219234536i</v>
      </c>
      <c r="AT532" s="49">
        <f t="shared" ref="AT532:AT560" si="385">20*LOG(IMABS(AS532))</f>
        <v>3.9287318891426528</v>
      </c>
      <c r="AU532" s="61">
        <f t="shared" ref="AU532:AU560" si="386">(180/PI())*IMARGUMENT(AS532)</f>
        <v>115.22598629916874</v>
      </c>
      <c r="AV532" s="58" t="str">
        <f t="shared" si="363"/>
        <v>-0.00117204022433174-0.000710565649916942i</v>
      </c>
      <c r="AW532" s="64">
        <f t="shared" ref="AW532:AW560" si="387">20*LOG(IMABS(AV532))</f>
        <v>-57.261698824899341</v>
      </c>
      <c r="AX532" s="61">
        <f t="shared" ref="AX532:AX560" si="388">(180/PI())*IMARGUMENT(AV532)</f>
        <v>-148.77308014851101</v>
      </c>
    </row>
    <row r="533" spans="14:50" x14ac:dyDescent="0.35">
      <c r="N533" s="10">
        <v>15</v>
      </c>
      <c r="O533" s="50">
        <f t="shared" si="353"/>
        <v>1412537.5446227565</v>
      </c>
      <c r="P533" s="48" t="str">
        <f t="shared" si="354"/>
        <v>547.187404092767</v>
      </c>
      <c r="Q533" s="17" t="str">
        <f t="shared" si="355"/>
        <v>1+170212.198038822i</v>
      </c>
      <c r="R533" s="17">
        <f t="shared" si="364"/>
        <v>170212.19804175952</v>
      </c>
      <c r="S533" s="17">
        <f t="shared" si="365"/>
        <v>1.5707904517752946</v>
      </c>
      <c r="T533" s="17" t="str">
        <f t="shared" si="356"/>
        <v>1+3.22074455435008i</v>
      </c>
      <c r="U533" s="17">
        <f t="shared" si="366"/>
        <v>3.3724168610027578</v>
      </c>
      <c r="V533" s="17">
        <f t="shared" si="367"/>
        <v>1.2697462213015636</v>
      </c>
      <c r="W533" s="31" t="str">
        <f t="shared" si="357"/>
        <v>1-55.9290277182273i</v>
      </c>
      <c r="X533" s="17">
        <f t="shared" si="368"/>
        <v>55.937966905369713</v>
      </c>
      <c r="Y533" s="17">
        <f t="shared" si="369"/>
        <v>-1.5529184287019679</v>
      </c>
      <c r="Z533" s="31" t="str">
        <f t="shared" si="358"/>
        <v>-658.5908479236+267.601729399257i</v>
      </c>
      <c r="AA533" s="17">
        <f t="shared" si="370"/>
        <v>710.88155873267635</v>
      </c>
      <c r="AB533" s="17">
        <f t="shared" si="371"/>
        <v>2.7556458669357298</v>
      </c>
      <c r="AC533" s="66" t="str">
        <f t="shared" si="372"/>
        <v>-0.0000875269351812699+0.000848590446586785i</v>
      </c>
      <c r="AD533" s="64">
        <f t="shared" si="373"/>
        <v>-61.380078138381286</v>
      </c>
      <c r="AE533" s="61">
        <f t="shared" si="374"/>
        <v>95.888886246295186</v>
      </c>
      <c r="AF533" s="31" t="str">
        <f t="shared" si="359"/>
        <v>-6627.51882264077</v>
      </c>
      <c r="AG533" s="31" t="str">
        <f t="shared" si="375"/>
        <v>8875235.14621323i</v>
      </c>
      <c r="AH533" s="31">
        <f t="shared" si="376"/>
        <v>8875235.1462132297</v>
      </c>
      <c r="AI533" s="31">
        <f t="shared" si="377"/>
        <v>1.5707963267948966</v>
      </c>
      <c r="AJ533" s="31" t="str">
        <f t="shared" si="360"/>
        <v>-9399.38780079505+4332.40166044826i</v>
      </c>
      <c r="AK533" s="31">
        <f t="shared" si="378"/>
        <v>10349.792035456057</v>
      </c>
      <c r="AL533" s="31">
        <f t="shared" si="379"/>
        <v>2.7096917071646738</v>
      </c>
      <c r="AM533" s="31" t="str">
        <f t="shared" si="361"/>
        <v>1+5147.01511834344i</v>
      </c>
      <c r="AN533" s="31">
        <f t="shared" si="380"/>
        <v>5147.0152154871203</v>
      </c>
      <c r="AO533" s="31">
        <f t="shared" si="381"/>
        <v>1.5706020394333045</v>
      </c>
      <c r="AP533" s="31" t="str">
        <f t="shared" si="362"/>
        <v>1+4153.61004842779i</v>
      </c>
      <c r="AQ533" s="31">
        <f t="shared" si="382"/>
        <v>4153.6101688050012</v>
      </c>
      <c r="AR533" s="31">
        <f t="shared" si="383"/>
        <v>1.5705555723742795</v>
      </c>
      <c r="AS533" s="58" t="str">
        <f t="shared" si="384"/>
        <v>-0.645071139644331+1.40112100681579i</v>
      </c>
      <c r="AT533" s="49">
        <f t="shared" si="385"/>
        <v>3.7644132851297134</v>
      </c>
      <c r="AU533" s="61">
        <f t="shared" si="386"/>
        <v>114.72117533983288</v>
      </c>
      <c r="AV533" s="58" t="str">
        <f t="shared" si="363"/>
        <v>-0.00113251680106898-0.000670037034015711i</v>
      </c>
      <c r="AW533" s="64">
        <f t="shared" si="387"/>
        <v>-57.615664853251559</v>
      </c>
      <c r="AX533" s="61">
        <f t="shared" si="388"/>
        <v>-149.38993841387193</v>
      </c>
    </row>
    <row r="534" spans="14:50" x14ac:dyDescent="0.35">
      <c r="N534" s="10">
        <v>16</v>
      </c>
      <c r="O534" s="50">
        <f t="shared" si="353"/>
        <v>1445439.7707459298</v>
      </c>
      <c r="P534" s="48" t="str">
        <f t="shared" si="354"/>
        <v>547.187404092767</v>
      </c>
      <c r="Q534" s="17" t="str">
        <f t="shared" si="355"/>
        <v>1+174176.949453831i</v>
      </c>
      <c r="R534" s="17">
        <f t="shared" si="364"/>
        <v>174176.94945670164</v>
      </c>
      <c r="S534" s="17">
        <f t="shared" si="365"/>
        <v>1.5707905855070676</v>
      </c>
      <c r="T534" s="17" t="str">
        <f t="shared" si="356"/>
        <v>1+3.29576533239284i</v>
      </c>
      <c r="U534" s="17">
        <f t="shared" si="366"/>
        <v>3.4441354686194461</v>
      </c>
      <c r="V534" s="17">
        <f t="shared" si="367"/>
        <v>1.2762051889066348</v>
      </c>
      <c r="W534" s="31" t="str">
        <f t="shared" si="357"/>
        <v>1-57.2317821291381i</v>
      </c>
      <c r="X534" s="17">
        <f t="shared" si="368"/>
        <v>57.240517866954441</v>
      </c>
      <c r="Y534" s="17">
        <f t="shared" si="369"/>
        <v>-1.5533252955760997</v>
      </c>
      <c r="Z534" s="31" t="str">
        <f t="shared" si="358"/>
        <v>-689.676406893901+273.834974416471i</v>
      </c>
      <c r="AA534" s="17">
        <f t="shared" si="370"/>
        <v>742.05063131820805</v>
      </c>
      <c r="AB534" s="17">
        <f t="shared" si="371"/>
        <v>2.7636332702951414</v>
      </c>
      <c r="AC534" s="66" t="str">
        <f t="shared" si="372"/>
        <v>-0.0000840260099737302+0.000830392796173307i</v>
      </c>
      <c r="AD534" s="64">
        <f t="shared" si="373"/>
        <v>-61.57008695510018</v>
      </c>
      <c r="AE534" s="61">
        <f t="shared" si="374"/>
        <v>95.777993911337006</v>
      </c>
      <c r="AF534" s="31" t="str">
        <f t="shared" si="359"/>
        <v>-6627.51882264077</v>
      </c>
      <c r="AG534" s="31" t="str">
        <f t="shared" si="375"/>
        <v>9081965.92996386i</v>
      </c>
      <c r="AH534" s="31">
        <f t="shared" si="376"/>
        <v>9081965.9299638607</v>
      </c>
      <c r="AI534" s="31">
        <f t="shared" si="377"/>
        <v>1.5707963267948966</v>
      </c>
      <c r="AJ534" s="31" t="str">
        <f t="shared" si="360"/>
        <v>-9842.41442896192+4433.31625888221i</v>
      </c>
      <c r="AK534" s="31">
        <f t="shared" si="378"/>
        <v>10794.786465822617</v>
      </c>
      <c r="AL534" s="31">
        <f t="shared" si="379"/>
        <v>2.7183814054723774</v>
      </c>
      <c r="AM534" s="31" t="str">
        <f t="shared" si="361"/>
        <v>1+5266.90450176395i</v>
      </c>
      <c r="AN534" s="31">
        <f t="shared" si="380"/>
        <v>5266.9045966963713</v>
      </c>
      <c r="AO534" s="31">
        <f t="shared" si="381"/>
        <v>1.5706064619534801</v>
      </c>
      <c r="AP534" s="31" t="str">
        <f t="shared" si="362"/>
        <v>1+4250.36005522308i</v>
      </c>
      <c r="AQ534" s="31">
        <f t="shared" si="382"/>
        <v>4250.3601728601707</v>
      </c>
      <c r="AR534" s="31">
        <f t="shared" si="383"/>
        <v>1.5705610526137552</v>
      </c>
      <c r="AS534" s="58" t="str">
        <f t="shared" si="384"/>
        <v>-0.620930147029906+1.38009486736844i</v>
      </c>
      <c r="AT534" s="49">
        <f t="shared" si="385"/>
        <v>3.5987646157684199</v>
      </c>
      <c r="AU534" s="61">
        <f t="shared" si="386"/>
        <v>114.22385968789298</v>
      </c>
      <c r="AV534" s="58" t="str">
        <f t="shared" si="363"/>
        <v>-0.00109384655317118-0.000631579786110661i</v>
      </c>
      <c r="AW534" s="64">
        <f t="shared" si="387"/>
        <v>-57.97132233933177</v>
      </c>
      <c r="AX534" s="61">
        <f t="shared" si="388"/>
        <v>-149.99814640076991</v>
      </c>
    </row>
    <row r="535" spans="14:50" x14ac:dyDescent="0.35">
      <c r="N535" s="10">
        <v>17</v>
      </c>
      <c r="O535" s="50">
        <f t="shared" si="353"/>
        <v>1479108.3881682095</v>
      </c>
      <c r="P535" s="48" t="str">
        <f t="shared" si="354"/>
        <v>547.187404092767</v>
      </c>
      <c r="Q535" s="17" t="str">
        <f t="shared" si="355"/>
        <v>1+178234.051792944i</v>
      </c>
      <c r="R535" s="17">
        <f t="shared" si="364"/>
        <v>178234.05179574928</v>
      </c>
      <c r="S535" s="17">
        <f t="shared" si="365"/>
        <v>1.5707907161947339</v>
      </c>
      <c r="T535" s="17" t="str">
        <f t="shared" si="356"/>
        <v>1+3.37253356883944i</v>
      </c>
      <c r="U535" s="17">
        <f t="shared" si="366"/>
        <v>3.517667220324983</v>
      </c>
      <c r="V535" s="17">
        <f t="shared" si="367"/>
        <v>1.2825416896931803</v>
      </c>
      <c r="W535" s="31" t="str">
        <f t="shared" si="357"/>
        <v>1-58.5648815884858i</v>
      </c>
      <c r="X535" s="17">
        <f t="shared" si="368"/>
        <v>58.573418505951679</v>
      </c>
      <c r="Y535" s="17">
        <f t="shared" si="369"/>
        <v>-1.5537229066194387</v>
      </c>
      <c r="Z535" s="31" t="str">
        <f t="shared" si="358"/>
        <v>-722.226983123822+280.213410361754i</v>
      </c>
      <c r="AA535" s="17">
        <f t="shared" si="370"/>
        <v>774.68146389254866</v>
      </c>
      <c r="AB535" s="17">
        <f t="shared" si="371"/>
        <v>2.7714865420966155</v>
      </c>
      <c r="AC535" s="66" t="str">
        <f t="shared" si="372"/>
        <v>-0.0000806490286921637+0.000812547617381069i</v>
      </c>
      <c r="AD535" s="64">
        <f t="shared" si="373"/>
        <v>-61.760448595528707</v>
      </c>
      <c r="AE535" s="61">
        <f t="shared" si="374"/>
        <v>95.668300411170947</v>
      </c>
      <c r="AF535" s="31" t="str">
        <f t="shared" si="359"/>
        <v>-6627.51882264077</v>
      </c>
      <c r="AG535" s="31" t="str">
        <f t="shared" si="375"/>
        <v>9293512.09226457i</v>
      </c>
      <c r="AH535" s="31">
        <f t="shared" si="376"/>
        <v>9293512.0922645703</v>
      </c>
      <c r="AI535" s="31">
        <f t="shared" si="377"/>
        <v>1.5707963267948966</v>
      </c>
      <c r="AJ535" s="31" t="str">
        <f t="shared" si="360"/>
        <v>-10306.3202588622+4536.58146027849i</v>
      </c>
      <c r="AK535" s="31">
        <f t="shared" si="378"/>
        <v>11260.586513320519</v>
      </c>
      <c r="AL535" s="31">
        <f t="shared" si="379"/>
        <v>2.7269394218706502</v>
      </c>
      <c r="AM535" s="31" t="str">
        <f t="shared" si="361"/>
        <v>1+5389.586467667i</v>
      </c>
      <c r="AN535" s="31">
        <f t="shared" si="380"/>
        <v>5389.5865604384944</v>
      </c>
      <c r="AO535" s="31">
        <f t="shared" si="381"/>
        <v>1.5706107838048131</v>
      </c>
      <c r="AP535" s="31" t="str">
        <f t="shared" si="362"/>
        <v>1+4349.36365917981i</v>
      </c>
      <c r="AQ535" s="31">
        <f t="shared" si="382"/>
        <v>4349.363774139154</v>
      </c>
      <c r="AR535" s="31">
        <f t="shared" si="383"/>
        <v>1.5705664081077644</v>
      </c>
      <c r="AS535" s="58" t="str">
        <f t="shared" si="384"/>
        <v>-0.597515029355166+1.35898065135573i</v>
      </c>
      <c r="AT535" s="49">
        <f t="shared" si="385"/>
        <v>3.43182548438137</v>
      </c>
      <c r="AU535" s="61">
        <f t="shared" si="386"/>
        <v>113.73407593831318</v>
      </c>
      <c r="AV535" s="58" t="str">
        <f t="shared" si="363"/>
        <v>-0.00105604748357961-0.000595109882995203i</v>
      </c>
      <c r="AW535" s="64">
        <f t="shared" si="387"/>
        <v>-58.328623111147323</v>
      </c>
      <c r="AX535" s="61">
        <f t="shared" si="388"/>
        <v>-150.59762365051591</v>
      </c>
    </row>
    <row r="536" spans="14:50" x14ac:dyDescent="0.35">
      <c r="N536" s="10">
        <v>18</v>
      </c>
      <c r="O536" s="50">
        <f t="shared" si="353"/>
        <v>1513561.2484362102</v>
      </c>
      <c r="P536" s="48" t="str">
        <f t="shared" si="354"/>
        <v>547.187404092767</v>
      </c>
      <c r="Q536" s="17" t="str">
        <f t="shared" si="355"/>
        <v>1+182385.656185525i</v>
      </c>
      <c r="R536" s="17">
        <f t="shared" si="364"/>
        <v>182385.65618826647</v>
      </c>
      <c r="S536" s="17">
        <f t="shared" si="365"/>
        <v>1.5707908439075857</v>
      </c>
      <c r="T536" s="17" t="str">
        <f t="shared" si="356"/>
        <v>1+3.451089967225i</v>
      </c>
      <c r="U536" s="17">
        <f t="shared" si="366"/>
        <v>3.5930519008053659</v>
      </c>
      <c r="V536" s="17">
        <f t="shared" si="367"/>
        <v>1.2887570472503569</v>
      </c>
      <c r="W536" s="31" t="str">
        <f t="shared" si="357"/>
        <v>1-59.9290329232497i</v>
      </c>
      <c r="X536" s="17">
        <f t="shared" si="368"/>
        <v>59.937375544112257</v>
      </c>
      <c r="Y536" s="17">
        <f t="shared" si="369"/>
        <v>-1.5541114721474536</v>
      </c>
      <c r="Z536" s="31" t="str">
        <f t="shared" si="358"/>
        <v>-756.311620749681+286.740419166274i</v>
      </c>
      <c r="AA536" s="17">
        <f t="shared" si="370"/>
        <v>808.84320833191134</v>
      </c>
      <c r="AB536" s="17">
        <f t="shared" si="371"/>
        <v>2.779206093359432</v>
      </c>
      <c r="AC536" s="66" t="str">
        <f t="shared" si="372"/>
        <v>-0.0000773928110715195+0.000795049815710221i</v>
      </c>
      <c r="AD536" s="64">
        <f t="shared" si="373"/>
        <v>-61.951154365854478</v>
      </c>
      <c r="AE536" s="61">
        <f t="shared" si="374"/>
        <v>95.559845978040826</v>
      </c>
      <c r="AF536" s="31" t="str">
        <f t="shared" si="359"/>
        <v>-6627.51882264077</v>
      </c>
      <c r="AG536" s="31" t="str">
        <f t="shared" si="375"/>
        <v>9509985.79769079i</v>
      </c>
      <c r="AH536" s="31">
        <f t="shared" si="376"/>
        <v>9509985.7976907901</v>
      </c>
      <c r="AI536" s="31">
        <f t="shared" si="377"/>
        <v>1.5707963267948966</v>
      </c>
      <c r="AJ536" s="31" t="str">
        <f t="shared" si="360"/>
        <v>-10792.089296958+4642.25201721377i</v>
      </c>
      <c r="AK536" s="31">
        <f t="shared" si="378"/>
        <v>11748.178377299211</v>
      </c>
      <c r="AL536" s="31">
        <f t="shared" si="379"/>
        <v>2.7353652876248016</v>
      </c>
      <c r="AM536" s="31" t="str">
        <f t="shared" si="361"/>
        <v>1+5515.12606365482i</v>
      </c>
      <c r="AN536" s="31">
        <f t="shared" si="380"/>
        <v>5515.1261543145783</v>
      </c>
      <c r="AO536" s="31">
        <f t="shared" si="381"/>
        <v>1.5706150072788059</v>
      </c>
      <c r="AP536" s="31" t="str">
        <f t="shared" si="362"/>
        <v>1+4450.67335331928i</v>
      </c>
      <c r="AQ536" s="31">
        <f t="shared" si="382"/>
        <v>4450.6734656618301</v>
      </c>
      <c r="AR536" s="31">
        <f t="shared" si="383"/>
        <v>1.5705716416958595</v>
      </c>
      <c r="AS536" s="58" t="str">
        <f t="shared" si="384"/>
        <v>-0.574817248921501+1.33780420204756i</v>
      </c>
      <c r="AT536" s="49">
        <f t="shared" si="385"/>
        <v>3.2636350589864973</v>
      </c>
      <c r="AU536" s="61">
        <f t="shared" si="386"/>
        <v>113.25185124160083</v>
      </c>
      <c r="AV536" s="58" t="str">
        <f t="shared" si="363"/>
        <v>-0.00101913426154784-0.000560544775681847i</v>
      </c>
      <c r="AW536" s="64">
        <f t="shared" si="387"/>
        <v>-58.687519306867983</v>
      </c>
      <c r="AX536" s="61">
        <f t="shared" si="388"/>
        <v>-151.18830278035836</v>
      </c>
    </row>
    <row r="537" spans="14:50" x14ac:dyDescent="0.35">
      <c r="N537" s="10">
        <v>19</v>
      </c>
      <c r="O537" s="50">
        <f t="shared" si="353"/>
        <v>1548816.6189124861</v>
      </c>
      <c r="P537" s="48" t="str">
        <f t="shared" si="354"/>
        <v>547.187404092767</v>
      </c>
      <c r="Q537" s="17" t="str">
        <f t="shared" si="355"/>
        <v>1+186633.963867175i</v>
      </c>
      <c r="R537" s="17">
        <f t="shared" si="364"/>
        <v>186633.96386985405</v>
      </c>
      <c r="S537" s="17">
        <f t="shared" si="365"/>
        <v>1.5707909687133381</v>
      </c>
      <c r="T537" s="17" t="str">
        <f t="shared" si="356"/>
        <v>1+3.53147617919177i</v>
      </c>
      <c r="U537" s="17">
        <f t="shared" si="366"/>
        <v>3.6703302309463792</v>
      </c>
      <c r="V537" s="17">
        <f t="shared" si="367"/>
        <v>1.2948526354833825</v>
      </c>
      <c r="W537" s="31" t="str">
        <f t="shared" si="357"/>
        <v>1-61.3249594245242i</v>
      </c>
      <c r="X537" s="17">
        <f t="shared" si="368"/>
        <v>61.333112169688071</v>
      </c>
      <c r="Y537" s="17">
        <f t="shared" si="369"/>
        <v>-1.5544911977131268</v>
      </c>
      <c r="Z537" s="31" t="str">
        <f t="shared" si="358"/>
        <v>-792.00261785769+293.419461536495i</v>
      </c>
      <c r="AA537" s="17">
        <f t="shared" si="370"/>
        <v>844.60826843087489</v>
      </c>
      <c r="AB537" s="17">
        <f t="shared" si="371"/>
        <v>2.7867924519523277</v>
      </c>
      <c r="AC537" s="66" t="str">
        <f t="shared" si="372"/>
        <v>-0.0000742541695890301+0.000777894319912033i</v>
      </c>
      <c r="AD537" s="64">
        <f t="shared" si="373"/>
        <v>-62.142195480247047</v>
      </c>
      <c r="AE537" s="61">
        <f t="shared" si="374"/>
        <v>95.452667305067692</v>
      </c>
      <c r="AF537" s="31" t="str">
        <f t="shared" si="359"/>
        <v>-6627.51882264077</v>
      </c>
      <c r="AG537" s="31" t="str">
        <f t="shared" si="375"/>
        <v>9731501.8234665i</v>
      </c>
      <c r="AH537" s="31">
        <f t="shared" si="376"/>
        <v>9731501.8234665003</v>
      </c>
      <c r="AI537" s="31">
        <f t="shared" si="377"/>
        <v>1.5707963267948966</v>
      </c>
      <c r="AJ537" s="31" t="str">
        <f t="shared" si="360"/>
        <v>-11300.7519245073+4750.38395761605i</v>
      </c>
      <c r="AK537" s="31">
        <f t="shared" si="378"/>
        <v>12258.594609661885</v>
      </c>
      <c r="AL537" s="31">
        <f t="shared" si="379"/>
        <v>2.743658692170079</v>
      </c>
      <c r="AM537" s="31" t="str">
        <f t="shared" si="361"/>
        <v>1+5643.58985248293i</v>
      </c>
      <c r="AN537" s="31">
        <f t="shared" si="380"/>
        <v>5643.5899410790198</v>
      </c>
      <c r="AO537" s="31">
        <f t="shared" si="381"/>
        <v>1.5706191346147997</v>
      </c>
      <c r="AP537" s="31" t="str">
        <f t="shared" si="362"/>
        <v>1+4554.34285338232i</v>
      </c>
      <c r="AQ537" s="31">
        <f t="shared" si="382"/>
        <v>4554.3429631676418</v>
      </c>
      <c r="AR537" s="31">
        <f t="shared" si="383"/>
        <v>1.5705767561529571</v>
      </c>
      <c r="AS537" s="58" t="str">
        <f t="shared" si="384"/>
        <v>-0.552827308871629+1.3165903022268i</v>
      </c>
      <c r="AT537" s="49">
        <f t="shared" si="385"/>
        <v>3.0942320178072631</v>
      </c>
      <c r="AU537" s="61">
        <f t="shared" si="386"/>
        <v>112.77720367910098</v>
      </c>
      <c r="AV537" s="58" t="str">
        <f t="shared" si="363"/>
        <v>-0.000983118385007093-0.000527803543044316i</v>
      </c>
      <c r="AW537" s="64">
        <f t="shared" si="387"/>
        <v>-59.047963462439782</v>
      </c>
      <c r="AX537" s="61">
        <f t="shared" si="388"/>
        <v>-151.77012901583132</v>
      </c>
    </row>
    <row r="538" spans="14:50" x14ac:dyDescent="0.35">
      <c r="N538" s="10">
        <v>20</v>
      </c>
      <c r="O538" s="50">
        <f t="shared" si="353"/>
        <v>1584893.1924611153</v>
      </c>
      <c r="P538" s="48" t="str">
        <f t="shared" si="354"/>
        <v>547.187404092767</v>
      </c>
      <c r="Q538" s="17" t="str">
        <f t="shared" si="355"/>
        <v>1+190981.227346859i</v>
      </c>
      <c r="R538" s="17">
        <f t="shared" si="364"/>
        <v>190981.22734947709</v>
      </c>
      <c r="S538" s="17">
        <f t="shared" si="365"/>
        <v>1.5707910906781648</v>
      </c>
      <c r="T538" s="17" t="str">
        <f t="shared" si="356"/>
        <v>1+3.61373482657334i</v>
      </c>
      <c r="U538" s="17">
        <f t="shared" si="366"/>
        <v>3.7495438918339183</v>
      </c>
      <c r="V538" s="17">
        <f t="shared" si="367"/>
        <v>1.3008298737387738</v>
      </c>
      <c r="W538" s="31" t="str">
        <f t="shared" si="357"/>
        <v>1-62.753401231017i</v>
      </c>
      <c r="X538" s="17">
        <f t="shared" si="368"/>
        <v>62.7613684208766</v>
      </c>
      <c r="Y538" s="17">
        <f t="shared" si="369"/>
        <v>-1.5548622842137021</v>
      </c>
      <c r="Z538" s="31" t="str">
        <f t="shared" si="358"/>
        <v>-829.375679837881+300.254078789087i</v>
      </c>
      <c r="AA538" s="17">
        <f t="shared" si="370"/>
        <v>882.05245316592732</v>
      </c>
      <c r="AB538" s="17">
        <f t="shared" si="371"/>
        <v>2.7942462558514678</v>
      </c>
      <c r="AC538" s="66" t="str">
        <f t="shared" si="372"/>
        <v>-0.000071229916883094+0.000761076079792437i</v>
      </c>
      <c r="AD538" s="64">
        <f t="shared" si="373"/>
        <v>-62.333563091755494</v>
      </c>
      <c r="AE538" s="61">
        <f t="shared" si="374"/>
        <v>95.346797647119956</v>
      </c>
      <c r="AF538" s="31" t="str">
        <f t="shared" si="359"/>
        <v>-6627.51882264077</v>
      </c>
      <c r="AG538" s="31" t="str">
        <f t="shared" si="375"/>
        <v>9958177.62032063i</v>
      </c>
      <c r="AH538" s="31">
        <f t="shared" si="376"/>
        <v>9958177.6203206293</v>
      </c>
      <c r="AI538" s="31">
        <f t="shared" si="377"/>
        <v>1.5707963267948966</v>
      </c>
      <c r="AJ538" s="31" t="str">
        <f t="shared" si="360"/>
        <v>-11833.3870831408+4861.03461447141i</v>
      </c>
      <c r="AK538" s="31">
        <f t="shared" si="378"/>
        <v>12792.916297018937</v>
      </c>
      <c r="AL538" s="31">
        <f t="shared" si="379"/>
        <v>2.7518194764213582</v>
      </c>
      <c r="AM538" s="31" t="str">
        <f t="shared" si="361"/>
        <v>1+5775.04594735255i</v>
      </c>
      <c r="AN538" s="31">
        <f t="shared" si="380"/>
        <v>5775.046033931947</v>
      </c>
      <c r="AO538" s="31">
        <f t="shared" si="381"/>
        <v>1.570623168001162</v>
      </c>
      <c r="AP538" s="31" t="str">
        <f t="shared" si="362"/>
        <v>1+4660.42712631005i</v>
      </c>
      <c r="AQ538" s="31">
        <f t="shared" si="382"/>
        <v>4660.4272335963524</v>
      </c>
      <c r="AR538" s="31">
        <f t="shared" si="383"/>
        <v>1.5705817541908089</v>
      </c>
      <c r="AS538" s="58" t="str">
        <f t="shared" si="384"/>
        <v>-0.531534841479574+1.29536265478501i</v>
      </c>
      <c r="AT538" s="49">
        <f t="shared" si="385"/>
        <v>2.9236544996206204</v>
      </c>
      <c r="AU538" s="61">
        <f t="shared" si="386"/>
        <v>112.31014264647624</v>
      </c>
      <c r="AV538" s="58" t="str">
        <f t="shared" si="363"/>
        <v>-0.000948008348634241-0.000496807027660169i</v>
      </c>
      <c r="AW538" s="64">
        <f t="shared" si="387"/>
        <v>-59.409908592134869</v>
      </c>
      <c r="AX538" s="61">
        <f t="shared" si="388"/>
        <v>-152.34305970640378</v>
      </c>
    </row>
    <row r="539" spans="14:50" x14ac:dyDescent="0.35">
      <c r="N539" s="10">
        <v>21</v>
      </c>
      <c r="O539" s="50">
        <f t="shared" si="353"/>
        <v>1621810.0973589318</v>
      </c>
      <c r="P539" s="48" t="str">
        <f t="shared" si="354"/>
        <v>547.187404092767</v>
      </c>
      <c r="Q539" s="17" t="str">
        <f t="shared" si="355"/>
        <v>1+195429.751601217i</v>
      </c>
      <c r="R539" s="17">
        <f t="shared" si="364"/>
        <v>195429.75160377545</v>
      </c>
      <c r="S539" s="17">
        <f t="shared" si="365"/>
        <v>1.5707912098667329</v>
      </c>
      <c r="T539" s="17" t="str">
        <f t="shared" si="356"/>
        <v>1+3.69790952399339i</v>
      </c>
      <c r="U539" s="17">
        <f t="shared" si="366"/>
        <v>3.8307355491655932</v>
      </c>
      <c r="V539" s="17">
        <f t="shared" si="367"/>
        <v>1.3066902221429344</v>
      </c>
      <c r="W539" s="31" t="str">
        <f t="shared" si="357"/>
        <v>1-64.215115721482i</v>
      </c>
      <c r="X539" s="17">
        <f t="shared" si="368"/>
        <v>64.222901578201245</v>
      </c>
      <c r="Y539" s="17">
        <f t="shared" si="369"/>
        <v>-1.5552249279951151</v>
      </c>
      <c r="Z539" s="31" t="str">
        <f t="shared" si="358"/>
        <v>-868.510079965413+307.247894728585i</v>
      </c>
      <c r="AA539" s="17">
        <f t="shared" si="370"/>
        <v>921.2551371996118</v>
      </c>
      <c r="AB539" s="17">
        <f t="shared" si="371"/>
        <v>2.8015682464895466</v>
      </c>
      <c r="AC539" s="66" t="str">
        <f t="shared" si="372"/>
        <v>-0.0000683168727747467+0.000744590064647541i</v>
      </c>
      <c r="AD539" s="64">
        <f t="shared" si="373"/>
        <v>-62.525248321005087</v>
      </c>
      <c r="AE539" s="61">
        <f t="shared" si="374"/>
        <v>95.242266928814772</v>
      </c>
      <c r="AF539" s="31" t="str">
        <f t="shared" si="359"/>
        <v>-6627.51882264077</v>
      </c>
      <c r="AG539" s="31" t="str">
        <f t="shared" si="375"/>
        <v>10190133.3747611i</v>
      </c>
      <c r="AH539" s="31">
        <f t="shared" si="376"/>
        <v>10190133.374761101</v>
      </c>
      <c r="AI539" s="31">
        <f t="shared" si="377"/>
        <v>1.5707963267948966</v>
      </c>
      <c r="AJ539" s="31" t="str">
        <f t="shared" si="360"/>
        <v>-12391.1245634414+4974.26265622278i</v>
      </c>
      <c r="AK539" s="31">
        <f t="shared" si="378"/>
        <v>13352.275346165288</v>
      </c>
      <c r="AL539" s="31">
        <f t="shared" si="379"/>
        <v>2.759847625982307</v>
      </c>
      <c r="AM539" s="31" t="str">
        <f t="shared" si="361"/>
        <v>1+5909.56404802521i</v>
      </c>
      <c r="AN539" s="31">
        <f t="shared" si="380"/>
        <v>5909.5641326338182</v>
      </c>
      <c r="AO539" s="31">
        <f t="shared" si="381"/>
        <v>1.5706271095764472</v>
      </c>
      <c r="AP539" s="31" t="str">
        <f t="shared" si="362"/>
        <v>1+4768.98241938819i</v>
      </c>
      <c r="AQ539" s="31">
        <f t="shared" si="382"/>
        <v>4768.9825242323577</v>
      </c>
      <c r="AR539" s="31">
        <f t="shared" si="383"/>
        <v>1.57058663845944</v>
      </c>
      <c r="AS539" s="58" t="str">
        <f t="shared" si="384"/>
        <v>-0.510928694356455+1.27414386988158i</v>
      </c>
      <c r="AT539" s="49">
        <f t="shared" si="385"/>
        <v>2.7519400588429663</v>
      </c>
      <c r="AU539" s="61">
        <f t="shared" si="386"/>
        <v>111.85066924294117</v>
      </c>
      <c r="AV539" s="58" t="str">
        <f t="shared" si="363"/>
        <v>-0.000913809815836076-0.00046747795421658i</v>
      </c>
      <c r="AW539" s="64">
        <f t="shared" si="387"/>
        <v>-59.773308262162118</v>
      </c>
      <c r="AX539" s="61">
        <f t="shared" si="388"/>
        <v>-152.90706382824405</v>
      </c>
    </row>
    <row r="540" spans="14:50" x14ac:dyDescent="0.35">
      <c r="N540" s="10">
        <v>22</v>
      </c>
      <c r="O540" s="50">
        <f t="shared" si="353"/>
        <v>1659586.9074375622</v>
      </c>
      <c r="P540" s="48" t="str">
        <f t="shared" si="354"/>
        <v>547.187404092767</v>
      </c>
      <c r="Q540" s="17" t="str">
        <f t="shared" si="355"/>
        <v>1+199981.895296695i</v>
      </c>
      <c r="R540" s="17">
        <f t="shared" si="364"/>
        <v>199981.89529919522</v>
      </c>
      <c r="S540" s="17">
        <f t="shared" si="365"/>
        <v>1.5707913263422382</v>
      </c>
      <c r="T540" s="17" t="str">
        <f t="shared" si="356"/>
        <v>1+3.78404490199071i</v>
      </c>
      <c r="U540" s="17">
        <f t="shared" si="366"/>
        <v>3.9139488780874334</v>
      </c>
      <c r="V540" s="17">
        <f t="shared" si="367"/>
        <v>1.3124351771542324</v>
      </c>
      <c r="W540" s="31" t="str">
        <f t="shared" si="357"/>
        <v>1-65.7108779162904i</v>
      </c>
      <c r="X540" s="17">
        <f t="shared" si="368"/>
        <v>65.718486566031189</v>
      </c>
      <c r="Y540" s="17">
        <f t="shared" si="369"/>
        <v>-1.5555793209541489</v>
      </c>
      <c r="Z540" s="31" t="str">
        <f t="shared" si="358"/>
        <v>-909.488827549809+314.404617568777i</v>
      </c>
      <c r="AA540" s="17">
        <f t="shared" si="370"/>
        <v>962.29942896506759</v>
      </c>
      <c r="AB540" s="17">
        <f t="shared" si="371"/>
        <v>2.8087592622185595</v>
      </c>
      <c r="AC540" s="66" t="str">
        <f t="shared" si="372"/>
        <v>-0.0000655118708731596+0.000728431262267134i</v>
      </c>
      <c r="AD540" s="64">
        <f t="shared" si="373"/>
        <v>-62.717242282728655</v>
      </c>
      <c r="AE540" s="61">
        <f t="shared" si="374"/>
        <v>95.139101858373451</v>
      </c>
      <c r="AF540" s="31" t="str">
        <f t="shared" si="359"/>
        <v>-6627.51882264077</v>
      </c>
      <c r="AG540" s="31" t="str">
        <f t="shared" si="375"/>
        <v>10427492.0727993i</v>
      </c>
      <c r="AH540" s="31">
        <f t="shared" si="376"/>
        <v>10427492.072799301</v>
      </c>
      <c r="AI540" s="31">
        <f t="shared" si="377"/>
        <v>1.5707963267948966</v>
      </c>
      <c r="AJ540" s="31" t="str">
        <f t="shared" si="360"/>
        <v>-12975.1474013824+5090.12811787661i</v>
      </c>
      <c r="AK540" s="31">
        <f t="shared" si="378"/>
        <v>13937.856877726881</v>
      </c>
      <c r="AL540" s="31">
        <f t="shared" si="379"/>
        <v>2.7677432642936837</v>
      </c>
      <c r="AM540" s="31" t="str">
        <f t="shared" si="361"/>
        <v>1+6047.2154777785i</v>
      </c>
      <c r="AN540" s="31">
        <f t="shared" si="380"/>
        <v>6047.2155604611817</v>
      </c>
      <c r="AO540" s="31">
        <f t="shared" si="381"/>
        <v>1.5706309614305303</v>
      </c>
      <c r="AP540" s="31" t="str">
        <f t="shared" si="362"/>
        <v>1+4880.06629007006i</v>
      </c>
      <c r="AQ540" s="31">
        <f t="shared" si="382"/>
        <v>4880.0663925276831</v>
      </c>
      <c r="AR540" s="31">
        <f t="shared" si="383"/>
        <v>1.5705914115485529</v>
      </c>
      <c r="AS540" s="58" t="str">
        <f t="shared" si="384"/>
        <v>-0.49099701416955+1.25295545821131i</v>
      </c>
      <c r="AT540" s="49">
        <f t="shared" si="385"/>
        <v>2.5791256252273582</v>
      </c>
      <c r="AU540" s="61">
        <f t="shared" si="386"/>
        <v>111.39877666398115</v>
      </c>
      <c r="AV540" s="58" t="str">
        <f t="shared" si="363"/>
        <v>-0.000880525792997977-0.000439741030989079i</v>
      </c>
      <c r="AW540" s="64">
        <f t="shared" si="387"/>
        <v>-60.138116657501293</v>
      </c>
      <c r="AX540" s="61">
        <f t="shared" si="388"/>
        <v>-153.46212147764538</v>
      </c>
    </row>
    <row r="541" spans="14:50" x14ac:dyDescent="0.35">
      <c r="N541" s="10">
        <v>23</v>
      </c>
      <c r="O541" s="50">
        <f t="shared" si="353"/>
        <v>1698243.6524617488</v>
      </c>
      <c r="P541" s="48" t="str">
        <f t="shared" si="354"/>
        <v>547.187404092767</v>
      </c>
      <c r="Q541" s="17" t="str">
        <f t="shared" si="355"/>
        <v>1+204640.072040133i</v>
      </c>
      <c r="R541" s="17">
        <f t="shared" si="364"/>
        <v>204640.07204257633</v>
      </c>
      <c r="S541" s="17">
        <f t="shared" si="365"/>
        <v>1.5707914401664371</v>
      </c>
      <c r="T541" s="17" t="str">
        <f t="shared" si="356"/>
        <v>1+3.87218663068283i</v>
      </c>
      <c r="U541" s="17">
        <f t="shared" si="366"/>
        <v>3.9992285884703875</v>
      </c>
      <c r="V541" s="17">
        <f t="shared" si="367"/>
        <v>1.3180662673276031</v>
      </c>
      <c r="W541" s="31" t="str">
        <f t="shared" si="357"/>
        <v>1-67.2414808883565i</v>
      </c>
      <c r="X541" s="17">
        <f t="shared" si="368"/>
        <v>67.248916363456829</v>
      </c>
      <c r="Y541" s="17">
        <f t="shared" si="369"/>
        <v>-1.5559256506383581</v>
      </c>
      <c r="Z541" s="31" t="str">
        <f t="shared" si="358"/>
        <v>-952.398844008807+321.728041898842i</v>
      </c>
      <c r="AA541" s="17">
        <f t="shared" si="370"/>
        <v>1005.272346686894</v>
      </c>
      <c r="AB541" s="17">
        <f t="shared" si="371"/>
        <v>2.8158202319060934</v>
      </c>
      <c r="AC541" s="66" t="str">
        <f t="shared" si="372"/>
        <v>-0.0000628117647522379+0.000712594678444204i</v>
      </c>
      <c r="AD541" s="64">
        <f t="shared" si="373"/>
        <v>-62.909536110185577</v>
      </c>
      <c r="AE541" s="61">
        <f t="shared" si="374"/>
        <v>95.037326046128143</v>
      </c>
      <c r="AF541" s="31" t="str">
        <f t="shared" si="359"/>
        <v>-6627.51882264077</v>
      </c>
      <c r="AG541" s="31" t="str">
        <f t="shared" si="375"/>
        <v>10670379.5651587i</v>
      </c>
      <c r="AH541" s="31">
        <f t="shared" si="376"/>
        <v>10670379.565158701</v>
      </c>
      <c r="AI541" s="31">
        <f t="shared" si="377"/>
        <v>1.5707963267948966</v>
      </c>
      <c r="AJ541" s="31" t="str">
        <f t="shared" si="360"/>
        <v>-13586.6943877041+5208.69243283437i</v>
      </c>
      <c r="AK541" s="31">
        <f t="shared" si="378"/>
        <v>14550.901733045142</v>
      </c>
      <c r="AL541" s="31">
        <f t="shared" si="379"/>
        <v>2.7755066457573578</v>
      </c>
      <c r="AM541" s="31" t="str">
        <f t="shared" si="361"/>
        <v>1+6188.07322122249i</v>
      </c>
      <c r="AN541" s="31">
        <f t="shared" si="380"/>
        <v>6188.0733020230855</v>
      </c>
      <c r="AO541" s="31">
        <f t="shared" si="381"/>
        <v>1.5706347256057145</v>
      </c>
      <c r="AP541" s="31" t="str">
        <f t="shared" si="362"/>
        <v>1+4993.73763649426i</v>
      </c>
      <c r="AQ541" s="31">
        <f t="shared" si="382"/>
        <v>4993.7377366196642</v>
      </c>
      <c r="AR541" s="31">
        <f t="shared" si="383"/>
        <v>1.5705960759889022</v>
      </c>
      <c r="AS541" s="58" t="str">
        <f t="shared" si="384"/>
        <v>-0.471727327532452+1.23181782991556i</v>
      </c>
      <c r="AT541" s="49">
        <f t="shared" si="385"/>
        <v>2.4052474680307241</v>
      </c>
      <c r="AU541" s="61">
        <f t="shared" si="386"/>
        <v>110.95445059545972</v>
      </c>
      <c r="AV541" s="58" t="str">
        <f t="shared" si="363"/>
        <v>-0.000848156804486345-0.0004135230350266i</v>
      </c>
      <c r="AW541" s="64">
        <f t="shared" si="387"/>
        <v>-60.504288642154847</v>
      </c>
      <c r="AX541" s="61">
        <f t="shared" si="388"/>
        <v>-154.00822335841212</v>
      </c>
    </row>
    <row r="542" spans="14:50" x14ac:dyDescent="0.35">
      <c r="N542" s="10">
        <v>24</v>
      </c>
      <c r="O542" s="50">
        <f t="shared" si="353"/>
        <v>1737800.8287493798</v>
      </c>
      <c r="P542" s="48" t="str">
        <f t="shared" si="354"/>
        <v>547.187404092767</v>
      </c>
      <c r="Q542" s="17" t="str">
        <f t="shared" si="355"/>
        <v>1+209406.751658495i</v>
      </c>
      <c r="R542" s="17">
        <f t="shared" si="364"/>
        <v>209406.7516608827</v>
      </c>
      <c r="S542" s="17">
        <f t="shared" si="365"/>
        <v>1.5707915513996811</v>
      </c>
      <c r="T542" s="17" t="str">
        <f t="shared" si="356"/>
        <v>1+3.96238144398094i</v>
      </c>
      <c r="U542" s="17">
        <f t="shared" si="366"/>
        <v>4.0866204506418855</v>
      </c>
      <c r="V542" s="17">
        <f t="shared" si="367"/>
        <v>1.3235850492897263</v>
      </c>
      <c r="W542" s="31" t="str">
        <f t="shared" si="357"/>
        <v>1-68.8077361836351i</v>
      </c>
      <c r="X542" s="17">
        <f t="shared" si="368"/>
        <v>68.815002424738225</v>
      </c>
      <c r="Y542" s="17">
        <f t="shared" si="369"/>
        <v>-1.5562641003438129</v>
      </c>
      <c r="Z542" s="31" t="str">
        <f t="shared" si="358"/>
        <v>-997.331147240342+329.222050695292i</v>
      </c>
      <c r="AA542" s="17">
        <f t="shared" si="370"/>
        <v>1050.2650027111015</v>
      </c>
      <c r="AB542" s="17">
        <f t="shared" si="371"/>
        <v>2.8227521686824191</v>
      </c>
      <c r="AC542" s="66" t="str">
        <f t="shared" si="372"/>
        <v>-0.0000602134336909182+0.000697075336931544i</v>
      </c>
      <c r="AD542" s="64">
        <f t="shared" si="373"/>
        <v>-63.102120977528074</v>
      </c>
      <c r="AE542" s="61">
        <f t="shared" si="374"/>
        <v>94.936960126580303</v>
      </c>
      <c r="AF542" s="31" t="str">
        <f t="shared" si="359"/>
        <v>-6627.51882264077</v>
      </c>
      <c r="AG542" s="31" t="str">
        <f t="shared" si="375"/>
        <v>10918924.6340026i</v>
      </c>
      <c r="AH542" s="31">
        <f t="shared" si="376"/>
        <v>10918924.6340026</v>
      </c>
      <c r="AI542" s="31">
        <f t="shared" si="377"/>
        <v>1.5707963267948966</v>
      </c>
      <c r="AJ542" s="31" t="str">
        <f t="shared" si="360"/>
        <v>-14227.0626955559+5330.01846546521i</v>
      </c>
      <c r="AK542" s="31">
        <f t="shared" si="378"/>
        <v>15192.709099613485</v>
      </c>
      <c r="AL542" s="31">
        <f t="shared" si="379"/>
        <v>2.7831381488700178</v>
      </c>
      <c r="AM542" s="31" t="str">
        <f t="shared" si="361"/>
        <v>1+6332.21196299713i</v>
      </c>
      <c r="AN542" s="31">
        <f t="shared" si="380"/>
        <v>6332.2120419584789</v>
      </c>
      <c r="AO542" s="31">
        <f t="shared" si="381"/>
        <v>1.5706384040978154</v>
      </c>
      <c r="AP542" s="31" t="str">
        <f t="shared" si="362"/>
        <v>1+5110.05672871321i</v>
      </c>
      <c r="AQ542" s="31">
        <f t="shared" si="382"/>
        <v>5110.0568265594802</v>
      </c>
      <c r="AR542" s="31">
        <f t="shared" si="383"/>
        <v>1.5706006342536347</v>
      </c>
      <c r="AS542" s="58" t="str">
        <f t="shared" si="384"/>
        <v>-0.453106618780578+1.21075029866697i</v>
      </c>
      <c r="AT542" s="49">
        <f t="shared" si="385"/>
        <v>2.2303411644864979</v>
      </c>
      <c r="AU542" s="61">
        <f t="shared" si="386"/>
        <v>110.51766960716672</v>
      </c>
      <c r="AV542" s="58" t="str">
        <f t="shared" si="363"/>
        <v>-0.000816701067038385-0.000388752881777427i</v>
      </c>
      <c r="AW542" s="64">
        <f t="shared" si="387"/>
        <v>-60.871779813041584</v>
      </c>
      <c r="AX542" s="61">
        <f t="shared" si="388"/>
        <v>-154.54537026625297</v>
      </c>
    </row>
    <row r="543" spans="14:50" x14ac:dyDescent="0.35">
      <c r="N543" s="10">
        <v>25</v>
      </c>
      <c r="O543" s="50">
        <f t="shared" si="353"/>
        <v>1778279.4100389241</v>
      </c>
      <c r="P543" s="48" t="str">
        <f t="shared" si="354"/>
        <v>547.187404092767</v>
      </c>
      <c r="Q543" s="17" t="str">
        <f t="shared" si="355"/>
        <v>1+214284.461508413i</v>
      </c>
      <c r="R543" s="17">
        <f t="shared" si="364"/>
        <v>214284.46151074636</v>
      </c>
      <c r="S543" s="17">
        <f t="shared" si="365"/>
        <v>1.5707916601009471</v>
      </c>
      <c r="T543" s="17" t="str">
        <f t="shared" si="356"/>
        <v>1+4.05467716436897i</v>
      </c>
      <c r="U543" s="17">
        <f t="shared" si="366"/>
        <v>4.1761713215881349</v>
      </c>
      <c r="V543" s="17">
        <f t="shared" si="367"/>
        <v>1.3289931039219385</v>
      </c>
      <c r="W543" s="31" t="str">
        <f t="shared" si="357"/>
        <v>1-70.4104742514163i</v>
      </c>
      <c r="X543" s="17">
        <f t="shared" si="368"/>
        <v>70.41757510955172</v>
      </c>
      <c r="Y543" s="17">
        <f t="shared" si="369"/>
        <v>-1.5565948492106989</v>
      </c>
      <c r="Z543" s="31" t="str">
        <f t="shared" si="358"/>
        <v>-1044.38104468376+336.89061738079i</v>
      </c>
      <c r="AA543" s="17">
        <f t="shared" si="370"/>
        <v>1097.372796534501</v>
      </c>
      <c r="AB543" s="17">
        <f t="shared" si="371"/>
        <v>2.8295561638531974</v>
      </c>
      <c r="AC543" s="66" t="str">
        <f t="shared" si="372"/>
        <v>-0.0000577137879743997+0.000681868279789375i</v>
      </c>
      <c r="AD543" s="64">
        <f t="shared" si="373"/>
        <v>-63.294988120184868</v>
      </c>
      <c r="AE543" s="61">
        <f t="shared" si="374"/>
        <v>94.838021882994241</v>
      </c>
      <c r="AF543" s="31" t="str">
        <f t="shared" si="359"/>
        <v>-6627.51882264077</v>
      </c>
      <c r="AG543" s="31" t="str">
        <f t="shared" si="375"/>
        <v>11173259.0612165i</v>
      </c>
      <c r="AH543" s="31">
        <f t="shared" si="376"/>
        <v>11173259.0612165</v>
      </c>
      <c r="AI543" s="31">
        <f t="shared" si="377"/>
        <v>1.5707963267948966</v>
      </c>
      <c r="AJ543" s="31" t="str">
        <f t="shared" si="360"/>
        <v>-14897.6106319745+5454.17054443755i</v>
      </c>
      <c r="AK543" s="31">
        <f t="shared" si="378"/>
        <v>15864.639260623921</v>
      </c>
      <c r="AL543" s="31">
        <f t="shared" si="379"/>
        <v>2.790638269397296</v>
      </c>
      <c r="AM543" s="31" t="str">
        <f t="shared" si="361"/>
        <v>1+6479.70812737129i</v>
      </c>
      <c r="AN543" s="31">
        <f t="shared" si="380"/>
        <v>6479.7082045352599</v>
      </c>
      <c r="AO543" s="31">
        <f t="shared" si="381"/>
        <v>1.5706419988572173</v>
      </c>
      <c r="AP543" s="31" t="str">
        <f t="shared" si="362"/>
        <v>1+5229.08524064931i</v>
      </c>
      <c r="AQ543" s="31">
        <f t="shared" si="382"/>
        <v>5229.0853362683283</v>
      </c>
      <c r="AR543" s="31">
        <f t="shared" si="383"/>
        <v>1.5706050887596021</v>
      </c>
      <c r="AS543" s="58" t="str">
        <f t="shared" si="384"/>
        <v>-0.435121404401295+1.18977109045962i</v>
      </c>
      <c r="AT543" s="49">
        <f t="shared" si="385"/>
        <v>2.0544415724094538</v>
      </c>
      <c r="AU543" s="61">
        <f t="shared" si="386"/>
        <v>110.08840554404821</v>
      </c>
      <c r="AV543" s="58" t="str">
        <f t="shared" si="363"/>
        <v>-0.000786154662318091-0.000365361679971505i</v>
      </c>
      <c r="AW543" s="64">
        <f t="shared" si="387"/>
        <v>-61.240546547775409</v>
      </c>
      <c r="AX543" s="61">
        <f t="shared" si="388"/>
        <v>-155.07357257295754</v>
      </c>
    </row>
    <row r="544" spans="14:50" x14ac:dyDescent="0.35">
      <c r="N544" s="10">
        <v>26</v>
      </c>
      <c r="O544" s="50">
        <f t="shared" si="353"/>
        <v>1819700.8586099846</v>
      </c>
      <c r="P544" s="48" t="str">
        <f t="shared" si="354"/>
        <v>547.187404092767</v>
      </c>
      <c r="Q544" s="17" t="str">
        <f t="shared" si="355"/>
        <v>1+219275.787816215i</v>
      </c>
      <c r="R544" s="17">
        <f t="shared" si="364"/>
        <v>219275.78781849518</v>
      </c>
      <c r="S544" s="17">
        <f t="shared" si="365"/>
        <v>1.5707917663278703</v>
      </c>
      <c r="T544" s="17" t="str">
        <f t="shared" si="356"/>
        <v>1+4.14912272825957i</v>
      </c>
      <c r="U544" s="17">
        <f t="shared" si="366"/>
        <v>4.2679291716428631</v>
      </c>
      <c r="V544" s="17">
        <f t="shared" si="367"/>
        <v>1.3342920327472576</v>
      </c>
      <c r="W544" s="31" t="str">
        <f t="shared" si="357"/>
        <v>1-72.0505448846389i</v>
      </c>
      <c r="X544" s="17">
        <f t="shared" si="368"/>
        <v>72.057484123256515</v>
      </c>
      <c r="Y544" s="17">
        <f t="shared" si="369"/>
        <v>-1.5569180723168192</v>
      </c>
      <c r="Z544" s="31" t="str">
        <f t="shared" si="358"/>
        <v>-1093.64833547964+344.737807930899i</v>
      </c>
      <c r="AA544" s="17">
        <f t="shared" si="370"/>
        <v>1146.6956169421721</v>
      </c>
      <c r="AB544" s="17">
        <f t="shared" si="371"/>
        <v>2.8362333809903015</v>
      </c>
      <c r="AC544" s="66" t="str">
        <f t="shared" si="372"/>
        <v>-0.0000553097737577936+0.000666968568071355i</v>
      </c>
      <c r="AD544" s="64">
        <f t="shared" si="373"/>
        <v>-63.488128853336832</v>
      </c>
      <c r="AE544" s="61">
        <f t="shared" si="374"/>
        <v>94.740526373600588</v>
      </c>
      <c r="AF544" s="31" t="str">
        <f t="shared" si="359"/>
        <v>-6627.51882264077</v>
      </c>
      <c r="AG544" s="31" t="str">
        <f t="shared" si="375"/>
        <v>11433517.6982803i</v>
      </c>
      <c r="AH544" s="31">
        <f t="shared" si="376"/>
        <v>11433517.698280299</v>
      </c>
      <c r="AI544" s="31">
        <f t="shared" si="377"/>
        <v>1.5707963267948966</v>
      </c>
      <c r="AJ544" s="31" t="str">
        <f t="shared" si="360"/>
        <v>-15599.7605190351+5581.21449682705i</v>
      </c>
      <c r="AK544" s="31">
        <f t="shared" si="378"/>
        <v>16568.116474446899</v>
      </c>
      <c r="AL544" s="31">
        <f t="shared" si="379"/>
        <v>2.7980076136163126</v>
      </c>
      <c r="AM544" s="31" t="str">
        <f t="shared" si="361"/>
        <v>1+6630.6399187637i</v>
      </c>
      <c r="AN544" s="31">
        <f t="shared" si="380"/>
        <v>6630.6399941712016</v>
      </c>
      <c r="AO544" s="31">
        <f t="shared" si="381"/>
        <v>1.5706455117899092</v>
      </c>
      <c r="AP544" s="31" t="str">
        <f t="shared" si="362"/>
        <v>1+5350.88628279517i</v>
      </c>
      <c r="AQ544" s="31">
        <f t="shared" si="382"/>
        <v>5350.8863762376341</v>
      </c>
      <c r="AR544" s="31">
        <f t="shared" si="383"/>
        <v>1.5706094418686418</v>
      </c>
      <c r="AS544" s="58" t="str">
        <f t="shared" si="384"/>
        <v>-0.41775780393824+1.16889735664222i</v>
      </c>
      <c r="AT544" s="49">
        <f t="shared" si="385"/>
        <v>1.8775828067443001</v>
      </c>
      <c r="AU544" s="61">
        <f t="shared" si="386"/>
        <v>109.66662391351205</v>
      </c>
      <c r="AV544" s="58" t="str">
        <f t="shared" si="363"/>
        <v>-0.000756511706560677-0.000343282772635286i</v>
      </c>
      <c r="AW544" s="64">
        <f t="shared" si="387"/>
        <v>-61.610546046592532</v>
      </c>
      <c r="AX544" s="61">
        <f t="shared" si="388"/>
        <v>-155.59284971288736</v>
      </c>
    </row>
    <row r="545" spans="14:50" x14ac:dyDescent="0.35">
      <c r="N545" s="10">
        <v>27</v>
      </c>
      <c r="O545" s="50">
        <f t="shared" si="353"/>
        <v>1862087.1366628683</v>
      </c>
      <c r="P545" s="48" t="str">
        <f t="shared" si="354"/>
        <v>547.187404092767</v>
      </c>
      <c r="Q545" s="17" t="str">
        <f t="shared" si="355"/>
        <v>1+224383.377049174i</v>
      </c>
      <c r="R545" s="17">
        <f t="shared" si="364"/>
        <v>224383.37705140235</v>
      </c>
      <c r="S545" s="17">
        <f t="shared" si="365"/>
        <v>1.5707918701367736</v>
      </c>
      <c r="T545" s="17" t="str">
        <f t="shared" si="356"/>
        <v>1+4.24576821194082i</v>
      </c>
      <c r="U545" s="17">
        <f t="shared" si="366"/>
        <v>4.3619431116793752</v>
      </c>
      <c r="V545" s="17">
        <f t="shared" si="367"/>
        <v>1.3394834545172958</v>
      </c>
      <c r="W545" s="31" t="str">
        <f t="shared" si="357"/>
        <v>1-73.7288176704609i</v>
      </c>
      <c r="X545" s="17">
        <f t="shared" si="368"/>
        <v>73.735598967419165</v>
      </c>
      <c r="Y545" s="17">
        <f t="shared" si="369"/>
        <v>-1.557233940769043</v>
      </c>
      <c r="Z545" s="31" t="str">
        <f t="shared" si="358"/>
        <v>-1145.23752215713+352.767783029918i</v>
      </c>
      <c r="AA545" s="17">
        <f t="shared" si="370"/>
        <v>1198.3380536811997</v>
      </c>
      <c r="AB545" s="17">
        <f t="shared" si="371"/>
        <v>2.842785050211083</v>
      </c>
      <c r="AC545" s="66" t="str">
        <f t="shared" si="372"/>
        <v>-0.0000529983774973577+0.000652371282799442i</v>
      </c>
      <c r="AD545" s="64">
        <f t="shared" si="373"/>
        <v>-63.681534588567629</v>
      </c>
      <c r="AE545" s="61">
        <f t="shared" si="374"/>
        <v>94.64448605857379</v>
      </c>
      <c r="AF545" s="31" t="str">
        <f t="shared" si="359"/>
        <v>-6627.51882264077</v>
      </c>
      <c r="AG545" s="31" t="str">
        <f t="shared" si="375"/>
        <v>11699838.5377682i</v>
      </c>
      <c r="AH545" s="31">
        <f t="shared" si="376"/>
        <v>11699838.5377682</v>
      </c>
      <c r="AI545" s="31">
        <f t="shared" si="377"/>
        <v>1.5707963267948966</v>
      </c>
      <c r="AJ545" s="31" t="str">
        <f t="shared" si="360"/>
        <v>-16335.001710787+5711.21768301888i</v>
      </c>
      <c r="AK545" s="31">
        <f t="shared" si="378"/>
        <v>17304.631990141883</v>
      </c>
      <c r="AL545" s="31">
        <f t="shared" si="379"/>
        <v>2.8052468916517359</v>
      </c>
      <c r="AM545" s="31" t="str">
        <f t="shared" si="361"/>
        <v>1+6785.08736320792i</v>
      </c>
      <c r="AN545" s="31">
        <f t="shared" si="380"/>
        <v>6785.0874368989389</v>
      </c>
      <c r="AO545" s="31">
        <f t="shared" si="381"/>
        <v>1.5706489447584939</v>
      </c>
      <c r="AP545" s="31" t="str">
        <f t="shared" si="362"/>
        <v>1+5475.52443567551i</v>
      </c>
      <c r="AQ545" s="31">
        <f t="shared" si="382"/>
        <v>5475.5245269909637</v>
      </c>
      <c r="AR545" s="31">
        <f t="shared" si="383"/>
        <v>1.570613695888829</v>
      </c>
      <c r="AS545" s="58" t="str">
        <f t="shared" si="384"/>
        <v>-0.401001607236914+1.14814519074276i</v>
      </c>
      <c r="AT545" s="49">
        <f t="shared" si="385"/>
        <v>1.6997982198642456</v>
      </c>
      <c r="AU545" s="61">
        <f t="shared" si="386"/>
        <v>109.25228426737436</v>
      </c>
      <c r="AV545" s="58" t="str">
        <f t="shared" si="363"/>
        <v>-0.000727764516367475-0.000322451765158544i</v>
      </c>
      <c r="AW545" s="64">
        <f t="shared" si="387"/>
        <v>-61.981736368703373</v>
      </c>
      <c r="AX545" s="61">
        <f t="shared" si="388"/>
        <v>-156.10322967405185</v>
      </c>
    </row>
    <row r="546" spans="14:50" x14ac:dyDescent="0.35">
      <c r="N546" s="10">
        <v>28</v>
      </c>
      <c r="O546" s="50">
        <f t="shared" si="353"/>
        <v>1905460.7179632513</v>
      </c>
      <c r="P546" s="48" t="str">
        <f t="shared" si="354"/>
        <v>547.187404092767</v>
      </c>
      <c r="Q546" s="17" t="str">
        <f t="shared" si="355"/>
        <v>1+229609.937318712i</v>
      </c>
      <c r="R546" s="17">
        <f t="shared" si="364"/>
        <v>229609.93732088961</v>
      </c>
      <c r="S546" s="17">
        <f t="shared" si="365"/>
        <v>1.5707919715826977</v>
      </c>
      <c r="T546" s="17" t="str">
        <f t="shared" si="356"/>
        <v>1+4.34466485812747i</v>
      </c>
      <c r="U546" s="17">
        <f t="shared" si="366"/>
        <v>4.4582634208229326</v>
      </c>
      <c r="V546" s="17">
        <f t="shared" si="367"/>
        <v>1.3445690019942502</v>
      </c>
      <c r="W546" s="31" t="str">
        <f t="shared" si="357"/>
        <v>1-75.4461824513287i</v>
      </c>
      <c r="X546" s="17">
        <f t="shared" si="368"/>
        <v>75.45280940083795</v>
      </c>
      <c r="Y546" s="17">
        <f t="shared" si="369"/>
        <v>-1.5575426217927393</v>
      </c>
      <c r="Z546" s="31" t="str">
        <f t="shared" si="358"/>
        <v>-1199.25803229787+360.984800276935i</v>
      </c>
      <c r="AA546" s="17">
        <f t="shared" si="370"/>
        <v>1252.4096191190554</v>
      </c>
      <c r="AB546" s="17">
        <f t="shared" si="371"/>
        <v>2.8492124626544104</v>
      </c>
      <c r="AC546" s="66" t="str">
        <f t="shared" si="372"/>
        <v>-0.000050776629957602+0.000638071526181672i</v>
      </c>
      <c r="AD546" s="64">
        <f t="shared" si="373"/>
        <v>-63.875196848774287</v>
      </c>
      <c r="AE546" s="61">
        <f t="shared" si="374"/>
        <v>94.549910927027184</v>
      </c>
      <c r="AF546" s="31" t="str">
        <f t="shared" si="359"/>
        <v>-6627.51882264077</v>
      </c>
      <c r="AG546" s="31" t="str">
        <f t="shared" si="375"/>
        <v>11972362.7865146i</v>
      </c>
      <c r="AH546" s="31">
        <f t="shared" si="376"/>
        <v>11972362.786514601</v>
      </c>
      <c r="AI546" s="31">
        <f t="shared" si="377"/>
        <v>1.5707963267948966</v>
      </c>
      <c r="AJ546" s="31" t="str">
        <f t="shared" si="360"/>
        <v>-17104.8937523737+5844.24903242315i</v>
      </c>
      <c r="AK546" s="31">
        <f t="shared" si="378"/>
        <v>18075.747205384672</v>
      </c>
      <c r="AL546" s="31">
        <f t="shared" si="379"/>
        <v>2.8123569109276714</v>
      </c>
      <c r="AM546" s="31" t="str">
        <f t="shared" si="361"/>
        <v>1+6943.13235078342i</v>
      </c>
      <c r="AN546" s="31">
        <f t="shared" si="380"/>
        <v>6943.1324227970263</v>
      </c>
      <c r="AO546" s="31">
        <f t="shared" si="381"/>
        <v>1.5706522995831766</v>
      </c>
      <c r="AP546" s="31" t="str">
        <f t="shared" si="362"/>
        <v>1+5603.06578408883i</v>
      </c>
      <c r="AQ546" s="31">
        <f t="shared" si="382"/>
        <v>5603.0658733256896</v>
      </c>
      <c r="AR546" s="31">
        <f t="shared" si="383"/>
        <v>1.5706178530757013</v>
      </c>
      <c r="AS546" s="58" t="str">
        <f t="shared" si="384"/>
        <v>-0.384838337941701+1.12752964864684i</v>
      </c>
      <c r="AT546" s="49">
        <f t="shared" si="385"/>
        <v>1.5211203854175896</v>
      </c>
      <c r="AU546" s="61">
        <f t="shared" si="386"/>
        <v>108.84534057716429</v>
      </c>
      <c r="AV546" s="58" t="str">
        <f t="shared" si="363"/>
        <v>-0.000699903769848009-0.000302806541359245i</v>
      </c>
      <c r="AW546" s="64">
        <f t="shared" si="387"/>
        <v>-62.354076463356698</v>
      </c>
      <c r="AX546" s="61">
        <f t="shared" si="388"/>
        <v>-156.60474849580851</v>
      </c>
    </row>
    <row r="547" spans="14:50" x14ac:dyDescent="0.35">
      <c r="N547" s="10">
        <v>29</v>
      </c>
      <c r="O547" s="50">
        <f t="shared" si="353"/>
        <v>1949844.5997580495</v>
      </c>
      <c r="P547" s="48" t="str">
        <f t="shared" si="354"/>
        <v>547.187404092767</v>
      </c>
      <c r="Q547" s="17" t="str">
        <f t="shared" si="355"/>
        <v>1+234958.239816259i</v>
      </c>
      <c r="R547" s="17">
        <f t="shared" si="364"/>
        <v>234958.23981838708</v>
      </c>
      <c r="S547" s="17">
        <f t="shared" si="365"/>
        <v>1.5707920707194307</v>
      </c>
      <c r="T547" s="17" t="str">
        <f t="shared" si="356"/>
        <v>1+4.44586510313027i</v>
      </c>
      <c r="U547" s="17">
        <f t="shared" si="366"/>
        <v>4.5569415747002431</v>
      </c>
      <c r="V547" s="17">
        <f t="shared" si="367"/>
        <v>1.3495503189226798</v>
      </c>
      <c r="W547" s="31" t="str">
        <f t="shared" si="357"/>
        <v>1-77.2035497967793i</v>
      </c>
      <c r="X547" s="17">
        <f t="shared" si="368"/>
        <v>77.210025911301059</v>
      </c>
      <c r="Y547" s="17">
        <f t="shared" si="369"/>
        <v>-1.5578442788192381</v>
      </c>
      <c r="Z547" s="31" t="str">
        <f t="shared" si="358"/>
        <v>-1255.82445064648+369.393216443253i</v>
      </c>
      <c r="AA547" s="17">
        <f t="shared" si="370"/>
        <v>1309.0249803559232</v>
      </c>
      <c r="AB547" s="17">
        <f t="shared" si="371"/>
        <v>2.8555169651598753</v>
      </c>
      <c r="AC547" s="66" t="str">
        <f t="shared" si="372"/>
        <v>-0.0000486416098053037+0.000624064423030397i</v>
      </c>
      <c r="AD547" s="64">
        <f t="shared" si="373"/>
        <v>-64.06910728142546</v>
      </c>
      <c r="AE547" s="61">
        <f t="shared" si="374"/>
        <v>94.456808623355215</v>
      </c>
      <c r="AF547" s="31" t="str">
        <f t="shared" si="359"/>
        <v>-6627.51882264077</v>
      </c>
      <c r="AG547" s="31" t="str">
        <f t="shared" si="375"/>
        <v>12251234.9404832i</v>
      </c>
      <c r="AH547" s="31">
        <f t="shared" si="376"/>
        <v>12251234.940483199</v>
      </c>
      <c r="AI547" s="31">
        <f t="shared" si="377"/>
        <v>1.5707963267948966</v>
      </c>
      <c r="AJ547" s="31" t="str">
        <f t="shared" si="360"/>
        <v>-17911.0696880358+5980.37908002219i</v>
      </c>
      <c r="AK547" s="31">
        <f t="shared" si="378"/>
        <v>18883.096973495685</v>
      </c>
      <c r="AL547" s="31">
        <f t="shared" si="379"/>
        <v>2.8193385697549758</v>
      </c>
      <c r="AM547" s="31" t="str">
        <f t="shared" si="361"/>
        <v>1+7104.85867903443i</v>
      </c>
      <c r="AN547" s="31">
        <f t="shared" si="380"/>
        <v>7104.8587494088051</v>
      </c>
      <c r="AO547" s="31">
        <f t="shared" si="381"/>
        <v>1.5706555780427296</v>
      </c>
      <c r="AP547" s="31" t="str">
        <f t="shared" si="362"/>
        <v>1+5733.57795214613i</v>
      </c>
      <c r="AQ547" s="31">
        <f t="shared" si="382"/>
        <v>5733.5780393517098</v>
      </c>
      <c r="AR547" s="31">
        <f t="shared" si="383"/>
        <v>1.5706219156334531</v>
      </c>
      <c r="AS547" s="58" t="str">
        <f t="shared" si="384"/>
        <v>-0.369253313194127+1.10706477170898i</v>
      </c>
      <c r="AT547" s="49">
        <f t="shared" si="385"/>
        <v>1.3415810855174837</v>
      </c>
      <c r="AU547" s="61">
        <f t="shared" si="386"/>
        <v>108.44574160166847</v>
      </c>
      <c r="AV547" s="58" t="str">
        <f t="shared" si="363"/>
        <v>-0.000672918662434138-0.000284287268505221i</v>
      </c>
      <c r="AW547" s="64">
        <f t="shared" si="387"/>
        <v>-62.727526195907977</v>
      </c>
      <c r="AX547" s="61">
        <f t="shared" si="388"/>
        <v>-157.0974497749763</v>
      </c>
    </row>
    <row r="548" spans="14:50" x14ac:dyDescent="0.35">
      <c r="N548" s="10">
        <v>30</v>
      </c>
      <c r="O548" s="50">
        <f t="shared" si="353"/>
        <v>1995262.31496888</v>
      </c>
      <c r="P548" s="48" t="str">
        <f t="shared" si="354"/>
        <v>547.187404092767</v>
      </c>
      <c r="Q548" s="17" t="str">
        <f t="shared" si="355"/>
        <v>1+240431.1202826i</v>
      </c>
      <c r="R548" s="17">
        <f t="shared" si="364"/>
        <v>240431.12028467961</v>
      </c>
      <c r="S548" s="17">
        <f t="shared" si="365"/>
        <v>1.5707921675995362</v>
      </c>
      <c r="T548" s="17" t="str">
        <f t="shared" si="356"/>
        <v>1+4.54942260465876i</v>
      </c>
      <c r="U548" s="17">
        <f t="shared" si="366"/>
        <v>4.6580302742446946</v>
      </c>
      <c r="V548" s="17">
        <f t="shared" si="367"/>
        <v>1.3544290571854627</v>
      </c>
      <c r="W548" s="31" t="str">
        <f t="shared" si="357"/>
        <v>1-79.0018514862427i</v>
      </c>
      <c r="X548" s="17">
        <f t="shared" si="368"/>
        <v>79.008180198346224</v>
      </c>
      <c r="Y548" s="17">
        <f t="shared" si="369"/>
        <v>-1.5581390715713634</v>
      </c>
      <c r="Z548" s="31" t="str">
        <f t="shared" si="358"/>
        <v>-1315.05676216032+377.99748978243i</v>
      </c>
      <c r="AA548" s="17">
        <f t="shared" si="370"/>
        <v>1368.3042022830311</v>
      </c>
      <c r="AB548" s="17">
        <f t="shared" si="371"/>
        <v>2.8616999551549354</v>
      </c>
      <c r="AC548" s="66" t="str">
        <f t="shared" si="372"/>
        <v>-0.0000465904468036415+0.000610345122341769i</v>
      </c>
      <c r="AD548" s="64">
        <f t="shared" si="373"/>
        <v>-64.263257670258881</v>
      </c>
      <c r="AE548" s="61">
        <f t="shared" si="374"/>
        <v>94.365184572324168</v>
      </c>
      <c r="AF548" s="31" t="str">
        <f t="shared" si="359"/>
        <v>-6627.51882264077</v>
      </c>
      <c r="AG548" s="31" t="str">
        <f t="shared" si="375"/>
        <v>12536602.8613816i</v>
      </c>
      <c r="AH548" s="31">
        <f t="shared" si="376"/>
        <v>12536602.8613816</v>
      </c>
      <c r="AI548" s="31">
        <f t="shared" si="377"/>
        <v>1.5707963267948966</v>
      </c>
      <c r="AJ548" s="31" t="str">
        <f t="shared" si="360"/>
        <v>-18755.2395250195+6119.68000376912i</v>
      </c>
      <c r="AK548" s="31">
        <f t="shared" si="378"/>
        <v>19728.393066577555</v>
      </c>
      <c r="AL548" s="31">
        <f t="shared" si="379"/>
        <v>2.8261928510711631</v>
      </c>
      <c r="AM548" s="31" t="str">
        <f t="shared" si="361"/>
        <v>1+7270.35209740104i</v>
      </c>
      <c r="AN548" s="31">
        <f t="shared" si="380"/>
        <v>7270.3521661734994</v>
      </c>
      <c r="AO548" s="31">
        <f t="shared" si="381"/>
        <v>1.5706587818754352</v>
      </c>
      <c r="AP548" s="31" t="str">
        <f t="shared" si="362"/>
        <v>1+5867.13013912658i</v>
      </c>
      <c r="AQ548" s="31">
        <f t="shared" si="382"/>
        <v>5867.13022434712</v>
      </c>
      <c r="AR548" s="31">
        <f t="shared" si="383"/>
        <v>1.5706258857161062</v>
      </c>
      <c r="AS548" s="58" t="str">
        <f t="shared" si="384"/>
        <v>-0.354231699517317+1.0867636123957i</v>
      </c>
      <c r="AT548" s="49">
        <f t="shared" si="385"/>
        <v>1.1612113010681018</v>
      </c>
      <c r="AU548" s="61">
        <f t="shared" si="386"/>
        <v>108.05343124572808</v>
      </c>
      <c r="AV548" s="58" t="str">
        <f t="shared" si="363"/>
        <v>-0.000646797056811711-0.000266836392250685i</v>
      </c>
      <c r="AW548" s="64">
        <f t="shared" si="387"/>
        <v>-63.102046369190774</v>
      </c>
      <c r="AX548" s="61">
        <f t="shared" si="388"/>
        <v>-157.58138418194773</v>
      </c>
    </row>
    <row r="549" spans="14:50" x14ac:dyDescent="0.35">
      <c r="N549" s="10">
        <v>31</v>
      </c>
      <c r="O549" s="50">
        <f t="shared" si="353"/>
        <v>2041737.9446695296</v>
      </c>
      <c r="P549" s="48" t="str">
        <f t="shared" si="354"/>
        <v>547.187404092767</v>
      </c>
      <c r="Q549" s="17" t="str">
        <f t="shared" si="355"/>
        <v>1+246031.480511394i</v>
      </c>
      <c r="R549" s="17">
        <f t="shared" si="364"/>
        <v>246031.48051342624</v>
      </c>
      <c r="S549" s="17">
        <f t="shared" si="365"/>
        <v>1.5707922622743811</v>
      </c>
      <c r="T549" s="17" t="str">
        <f t="shared" si="356"/>
        <v>1+4.65539227027095i</v>
      </c>
      <c r="U549" s="17">
        <f t="shared" si="366"/>
        <v>4.7615834750740751</v>
      </c>
      <c r="V549" s="17">
        <f t="shared" si="367"/>
        <v>1.35920687413792</v>
      </c>
      <c r="W549" s="31" t="str">
        <f t="shared" si="357"/>
        <v>1-80.8420410030767i</v>
      </c>
      <c r="X549" s="17">
        <f t="shared" si="368"/>
        <v>80.848225667253416</v>
      </c>
      <c r="Y549" s="17">
        <f t="shared" si="369"/>
        <v>-1.5584271561470702</v>
      </c>
      <c r="Z549" s="31" t="str">
        <f t="shared" si="358"/>
        <v>-1377.0806065135+386.802182394075i</v>
      </c>
      <c r="AA549" s="17">
        <f t="shared" si="370"/>
        <v>1430.3730021013428</v>
      </c>
      <c r="AB549" s="17">
        <f t="shared" si="371"/>
        <v>2.8677628757530549</v>
      </c>
      <c r="AC549" s="66" t="str">
        <f t="shared" si="372"/>
        <v>-0.0000446203246215726+0.000596908799000979i</v>
      </c>
      <c r="AD549" s="64">
        <f t="shared" si="373"/>
        <v>-64.457639945506102</v>
      </c>
      <c r="AE549" s="61">
        <f t="shared" si="374"/>
        <v>94.275042102391012</v>
      </c>
      <c r="AF549" s="31" t="str">
        <f t="shared" si="359"/>
        <v>-6627.51882264077</v>
      </c>
      <c r="AG549" s="31" t="str">
        <f t="shared" si="375"/>
        <v>12828617.8550586i</v>
      </c>
      <c r="AH549" s="31">
        <f t="shared" si="376"/>
        <v>12828617.855058599</v>
      </c>
      <c r="AI549" s="31">
        <f t="shared" si="377"/>
        <v>1.5707963267948966</v>
      </c>
      <c r="AJ549" s="31" t="str">
        <f t="shared" si="360"/>
        <v>-19639.1938607284+6262.2256628576i</v>
      </c>
      <c r="AK549" s="31">
        <f t="shared" si="378"/>
        <v>20613.427802086298</v>
      </c>
      <c r="AL549" s="31">
        <f t="shared" si="379"/>
        <v>2.8329208163473516</v>
      </c>
      <c r="AM549" s="31" t="str">
        <f t="shared" si="361"/>
        <v>1+7439.70035268414i</v>
      </c>
      <c r="AN549" s="31">
        <f t="shared" si="380"/>
        <v>7439.7004198911472</v>
      </c>
      <c r="AO549" s="31">
        <f t="shared" si="381"/>
        <v>1.5706619127800072</v>
      </c>
      <c r="AP549" s="31" t="str">
        <f t="shared" si="362"/>
        <v>1+6003.79315616742i</v>
      </c>
      <c r="AQ549" s="31">
        <f t="shared" si="382"/>
        <v>6003.793239448104</v>
      </c>
      <c r="AR549" s="31">
        <f t="shared" si="383"/>
        <v>1.5706297654286501</v>
      </c>
      <c r="AS549" s="58" t="str">
        <f t="shared" si="384"/>
        <v>-0.339758564903616+1.06663826208025i</v>
      </c>
      <c r="AT549" s="49">
        <f t="shared" si="385"/>
        <v>0.98004120502055658</v>
      </c>
      <c r="AU549" s="61">
        <f t="shared" si="386"/>
        <v>107.66834890946461</v>
      </c>
      <c r="AV549" s="58" t="str">
        <f t="shared" si="363"/>
        <v>-0.000621525626527854-0.000250398622434724i</v>
      </c>
      <c r="AW549" s="64">
        <f t="shared" si="387"/>
        <v>-63.477598740485554</v>
      </c>
      <c r="AX549" s="61">
        <f t="shared" si="388"/>
        <v>-158.05660898814438</v>
      </c>
    </row>
    <row r="550" spans="14:50" x14ac:dyDescent="0.35">
      <c r="N550" s="10">
        <v>32</v>
      </c>
      <c r="O550" s="50">
        <f t="shared" si="353"/>
        <v>2089296.1308540432</v>
      </c>
      <c r="P550" s="48" t="str">
        <f t="shared" si="354"/>
        <v>547.187404092767</v>
      </c>
      <c r="Q550" s="17" t="str">
        <f t="shared" si="355"/>
        <v>1+251762.28988777i</v>
      </c>
      <c r="R550" s="17">
        <f t="shared" si="364"/>
        <v>251762.28988975598</v>
      </c>
      <c r="S550" s="17">
        <f t="shared" si="365"/>
        <v>1.5707923547941636</v>
      </c>
      <c r="T550" s="17" t="str">
        <f t="shared" si="356"/>
        <v>1+4.76383028648628i</v>
      </c>
      <c r="U550" s="17">
        <f t="shared" si="366"/>
        <v>4.867656417460454</v>
      </c>
      <c r="V550" s="17">
        <f t="shared" si="367"/>
        <v>1.3638854301139818</v>
      </c>
      <c r="W550" s="31" t="str">
        <f t="shared" si="357"/>
        <v>1-82.7250940401223i</v>
      </c>
      <c r="X550" s="17">
        <f t="shared" si="368"/>
        <v>82.731137934559314</v>
      </c>
      <c r="Y550" s="17">
        <f t="shared" si="369"/>
        <v>-1.5587086851012324</v>
      </c>
      <c r="Z550" s="31" t="str">
        <f t="shared" si="358"/>
        <v>-1442.0275445956+395.811962642761i</v>
      </c>
      <c r="AA550" s="17">
        <f t="shared" si="370"/>
        <v>1495.3630158404778</v>
      </c>
      <c r="AB550" s="17">
        <f t="shared" si="371"/>
        <v>2.8737072110646178</v>
      </c>
      <c r="AC550" s="66" t="str">
        <f t="shared" si="372"/>
        <v>-0.0000427284832749603+0.000583750655580625i</v>
      </c>
      <c r="AD550" s="64">
        <f t="shared" si="373"/>
        <v>-64.652246192738147</v>
      </c>
      <c r="AE550" s="61">
        <f t="shared" si="374"/>
        <v>94.186382566794634</v>
      </c>
      <c r="AF550" s="31" t="str">
        <f t="shared" si="359"/>
        <v>-6627.51882264077</v>
      </c>
      <c r="AG550" s="31" t="str">
        <f t="shared" si="375"/>
        <v>13127434.7517293i</v>
      </c>
      <c r="AH550" s="31">
        <f t="shared" si="376"/>
        <v>13127434.7517293</v>
      </c>
      <c r="AI550" s="31">
        <f t="shared" si="377"/>
        <v>1.5707963267948966</v>
      </c>
      <c r="AJ550" s="31" t="str">
        <f t="shared" si="360"/>
        <v>-20564.807680823+6408.09163688289i</v>
      </c>
      <c r="AK550" s="31">
        <f t="shared" si="378"/>
        <v>21540.077840526137</v>
      </c>
      <c r="AL550" s="31">
        <f t="shared" si="379"/>
        <v>2.8395235996747541</v>
      </c>
      <c r="AM550" s="31" t="str">
        <f t="shared" si="361"/>
        <v>1+7612.99323557038i</v>
      </c>
      <c r="AN550" s="31">
        <f t="shared" si="380"/>
        <v>7612.9933012475703</v>
      </c>
      <c r="AO550" s="31">
        <f t="shared" si="381"/>
        <v>1.5706649724164932</v>
      </c>
      <c r="AP550" s="31" t="str">
        <f t="shared" si="362"/>
        <v>1+6143.6394638093i</v>
      </c>
      <c r="AQ550" s="31">
        <f t="shared" si="382"/>
        <v>6143.6395451942835</v>
      </c>
      <c r="AR550" s="31">
        <f t="shared" si="383"/>
        <v>1.5706335568281595</v>
      </c>
      <c r="AS550" s="58" t="str">
        <f t="shared" si="384"/>
        <v>-0.325818927149561+1.04669988063175i</v>
      </c>
      <c r="AT550" s="49">
        <f t="shared" si="385"/>
        <v>0.79810015835430481</v>
      </c>
      <c r="AU550" s="61">
        <f t="shared" si="386"/>
        <v>107.29042982721278</v>
      </c>
      <c r="AV550" s="58" t="str">
        <f t="shared" si="363"/>
        <v>-0.00059708999293557-0.000234920910667609i</v>
      </c>
      <c r="AW550" s="64">
        <f t="shared" si="387"/>
        <v>-63.854146034383852</v>
      </c>
      <c r="AX550" s="61">
        <f t="shared" si="388"/>
        <v>-158.52318760599252</v>
      </c>
    </row>
    <row r="551" spans="14:50" x14ac:dyDescent="0.35">
      <c r="N551" s="10">
        <v>33</v>
      </c>
      <c r="O551" s="50">
        <f t="shared" si="353"/>
        <v>2137962.0895022359</v>
      </c>
      <c r="P551" s="48" t="str">
        <f t="shared" si="354"/>
        <v>547.187404092767</v>
      </c>
      <c r="Q551" s="17" t="str">
        <f t="shared" si="355"/>
        <v>1+257626.58696271i</v>
      </c>
      <c r="R551" s="17">
        <f t="shared" si="364"/>
        <v>257626.58696465078</v>
      </c>
      <c r="S551" s="17">
        <f t="shared" si="365"/>
        <v>1.5707924452079387</v>
      </c>
      <c r="T551" s="17" t="str">
        <f t="shared" si="356"/>
        <v>1+4.87479414857622i</v>
      </c>
      <c r="U551" s="17">
        <f t="shared" si="366"/>
        <v>4.9763056569098483</v>
      </c>
      <c r="V551" s="17">
        <f t="shared" si="367"/>
        <v>1.36846638609799</v>
      </c>
      <c r="W551" s="31" t="str">
        <f t="shared" si="357"/>
        <v>1-84.6520090170233i</v>
      </c>
      <c r="X551" s="17">
        <f t="shared" si="368"/>
        <v>84.65791534533669</v>
      </c>
      <c r="Y551" s="17">
        <f t="shared" si="369"/>
        <v>-1.5589838075256168</v>
      </c>
      <c r="Z551" s="31" t="str">
        <f t="shared" si="358"/>
        <v>-1510.03533756984+405.031607633228i</v>
      </c>
      <c r="AA551" s="17">
        <f t="shared" si="370"/>
        <v>1563.4120774420346</v>
      </c>
      <c r="AB551" s="17">
        <f t="shared" si="371"/>
        <v>2.8795344817209925</v>
      </c>
      <c r="AC551" s="66" t="str">
        <f t="shared" si="372"/>
        <v>-0.0000409122212171059+0.000570865924203192i</v>
      </c>
      <c r="AD551" s="64">
        <f t="shared" si="373"/>
        <v>-64.847068660418842</v>
      </c>
      <c r="AE551" s="61">
        <f t="shared" si="374"/>
        <v>94.099205462028522</v>
      </c>
      <c r="AF551" s="31" t="str">
        <f t="shared" si="359"/>
        <v>-6627.51882264077</v>
      </c>
      <c r="AG551" s="31" t="str">
        <f t="shared" si="375"/>
        <v>13433211.9880674i</v>
      </c>
      <c r="AH551" s="31">
        <f t="shared" si="376"/>
        <v>13433211.9880674</v>
      </c>
      <c r="AI551" s="31">
        <f t="shared" si="377"/>
        <v>1.5707963267948966</v>
      </c>
      <c r="AJ551" s="31" t="str">
        <f t="shared" si="360"/>
        <v>-21534.0443363142+6557.35526591517i</v>
      </c>
      <c r="AK551" s="31">
        <f t="shared" si="378"/>
        <v>22510.308162301357</v>
      </c>
      <c r="AL551" s="31">
        <f t="shared" si="379"/>
        <v>2.8460024020407046</v>
      </c>
      <c r="AM551" s="31" t="str">
        <f t="shared" si="361"/>
        <v>1+7790.32262823993i</v>
      </c>
      <c r="AN551" s="31">
        <f t="shared" si="380"/>
        <v>7790.3226924221244</v>
      </c>
      <c r="AO551" s="31">
        <f t="shared" si="381"/>
        <v>1.570667962407152</v>
      </c>
      <c r="AP551" s="31" t="str">
        <f t="shared" si="362"/>
        <v>1+6286.74321041553i</v>
      </c>
      <c r="AQ551" s="31">
        <f t="shared" si="382"/>
        <v>6286.7432899479654</v>
      </c>
      <c r="AR551" s="31">
        <f t="shared" si="383"/>
        <v>1.5706372619248843</v>
      </c>
      <c r="AS551" s="58" t="str">
        <f t="shared" si="384"/>
        <v>-0.312397798507005+1.02695872746446i</v>
      </c>
      <c r="AT551" s="49">
        <f t="shared" si="385"/>
        <v>0.61541670858035458</v>
      </c>
      <c r="AU551" s="61">
        <f t="shared" si="386"/>
        <v>106.91960539559501</v>
      </c>
      <c r="AV551" s="58" t="str">
        <f t="shared" si="363"/>
        <v>-0.000573474855232277-0.000220352420602608i</v>
      </c>
      <c r="AW551" s="64">
        <f t="shared" si="387"/>
        <v>-64.231651951838501</v>
      </c>
      <c r="AX551" s="61">
        <f t="shared" si="388"/>
        <v>-158.98118914237642</v>
      </c>
    </row>
    <row r="552" spans="14:50" x14ac:dyDescent="0.35">
      <c r="N552" s="10">
        <v>34</v>
      </c>
      <c r="O552" s="50">
        <f t="shared" si="353"/>
        <v>2187761.6239495561</v>
      </c>
      <c r="P552" s="48" t="str">
        <f t="shared" si="354"/>
        <v>547.187404092767</v>
      </c>
      <c r="Q552" s="17" t="str">
        <f t="shared" si="355"/>
        <v>1+263627.48106415i</v>
      </c>
      <c r="R552" s="17">
        <f t="shared" si="364"/>
        <v>263627.48106604657</v>
      </c>
      <c r="S552" s="17">
        <f t="shared" si="365"/>
        <v>1.5707925335636448</v>
      </c>
      <c r="T552" s="17" t="str">
        <f t="shared" si="356"/>
        <v>1+4.98834269104927i</v>
      </c>
      <c r="U552" s="17">
        <f t="shared" si="366"/>
        <v>5.0875890953716638</v>
      </c>
      <c r="V552" s="17">
        <f t="shared" si="367"/>
        <v>1.3729514015557098</v>
      </c>
      <c r="W552" s="31" t="str">
        <f t="shared" si="357"/>
        <v>1-86.6238076096072i</v>
      </c>
      <c r="X552" s="17">
        <f t="shared" si="368"/>
        <v>86.629579502536203</v>
      </c>
      <c r="Y552" s="17">
        <f t="shared" si="369"/>
        <v>-1.559252669127082</v>
      </c>
      <c r="Z552" s="31" t="str">
        <f t="shared" si="358"/>
        <v>-1581.24823908311+414.466005743291i</v>
      </c>
      <c r="AA552" s="17">
        <f t="shared" si="370"/>
        <v>1634.6645109991941</v>
      </c>
      <c r="AB552" s="17">
        <f t="shared" si="371"/>
        <v>2.8852462406110444</v>
      </c>
      <c r="AC552" s="66" t="str">
        <f t="shared" si="372"/>
        <v>-0.0000391688970971295+0.000558249868441288i</v>
      </c>
      <c r="AD552" s="64">
        <f t="shared" si="373"/>
        <v>-65.042099766256683</v>
      </c>
      <c r="AE552" s="61">
        <f t="shared" si="374"/>
        <v>94.013508543364182</v>
      </c>
      <c r="AF552" s="31" t="str">
        <f t="shared" si="359"/>
        <v>-6627.51882264077</v>
      </c>
      <c r="AG552" s="31" t="str">
        <f t="shared" si="375"/>
        <v>13746111.6912112i</v>
      </c>
      <c r="AH552" s="31">
        <f t="shared" si="376"/>
        <v>13746111.691211199</v>
      </c>
      <c r="AI552" s="31">
        <f t="shared" si="377"/>
        <v>1.5707963267948966</v>
      </c>
      <c r="AJ552" s="31" t="str">
        <f t="shared" si="360"/>
        <v>-22548.9597080964+6710.09569150629i</v>
      </c>
      <c r="AK552" s="31">
        <f t="shared" si="378"/>
        <v>23526.17623215737</v>
      </c>
      <c r="AL552" s="31">
        <f t="shared" si="379"/>
        <v>2.8523584858025073</v>
      </c>
      <c r="AM552" s="31" t="str">
        <f t="shared" si="361"/>
        <v>1+7971.78255308412i</v>
      </c>
      <c r="AN552" s="31">
        <f t="shared" si="380"/>
        <v>7971.7826158053495</v>
      </c>
      <c r="AO552" s="31">
        <f t="shared" si="381"/>
        <v>1.5706708843373163</v>
      </c>
      <c r="AP552" s="31" t="str">
        <f t="shared" si="362"/>
        <v>1+6433.18027148683i</v>
      </c>
      <c r="AQ552" s="31">
        <f t="shared" si="382"/>
        <v>6433.1803492088866</v>
      </c>
      <c r="AR552" s="31">
        <f t="shared" si="383"/>
        <v>1.5706408826833149</v>
      </c>
      <c r="AS552" s="58" t="str">
        <f t="shared" si="384"/>
        <v>-0.299480226739394+1.00742419373762i</v>
      </c>
      <c r="AT552" s="49">
        <f t="shared" si="385"/>
        <v>0.43201859057127667</v>
      </c>
      <c r="AU552" s="61">
        <f t="shared" si="386"/>
        <v>106.55580349025523</v>
      </c>
      <c r="AV552" s="58" t="str">
        <f t="shared" si="363"/>
        <v>-0.000550664113434817-0.000206644491755701i</v>
      </c>
      <c r="AW552" s="64">
        <f t="shared" si="387"/>
        <v>-64.610081175685394</v>
      </c>
      <c r="AX552" s="61">
        <f t="shared" si="388"/>
        <v>-159.43068796638059</v>
      </c>
    </row>
    <row r="553" spans="14:50" x14ac:dyDescent="0.35">
      <c r="N553" s="10">
        <v>35</v>
      </c>
      <c r="O553" s="50">
        <f t="shared" si="353"/>
        <v>2238721.1385683389</v>
      </c>
      <c r="P553" s="48" t="str">
        <f t="shared" si="354"/>
        <v>547.187404092767</v>
      </c>
      <c r="Q553" s="17" t="str">
        <f t="shared" si="355"/>
        <v>1+269768.153945571i</v>
      </c>
      <c r="R553" s="17">
        <f t="shared" si="364"/>
        <v>269768.15394742443</v>
      </c>
      <c r="S553" s="17">
        <f t="shared" si="365"/>
        <v>1.5707926199081297</v>
      </c>
      <c r="T553" s="17" t="str">
        <f t="shared" si="356"/>
        <v>1+5.10453611884562i</v>
      </c>
      <c r="U553" s="17">
        <f t="shared" si="366"/>
        <v>5.201566013096393</v>
      </c>
      <c r="V553" s="17">
        <f t="shared" si="367"/>
        <v>1.3773421324179755</v>
      </c>
      <c r="W553" s="31" t="str">
        <f t="shared" si="357"/>
        <v>1-88.6415352915869i</v>
      </c>
      <c r="X553" s="17">
        <f t="shared" si="368"/>
        <v>88.647175808649692</v>
      </c>
      <c r="Y553" s="17">
        <f t="shared" si="369"/>
        <v>-1.5595154123040376</v>
      </c>
      <c r="Z553" s="31" t="str">
        <f t="shared" si="358"/>
        <v>-1655.81730124718+424.120159215702i</v>
      </c>
      <c r="AA553" s="17">
        <f t="shared" si="370"/>
        <v>1709.2714367714236</v>
      </c>
      <c r="AB553" s="17">
        <f t="shared" si="371"/>
        <v>2.8908440688283115</v>
      </c>
      <c r="AC553" s="66" t="str">
        <f t="shared" si="372"/>
        <v>-0.0000374959312052034+0.000545897785232549i</v>
      </c>
      <c r="AD553" s="64">
        <f t="shared" si="373"/>
        <v>-65.237332102438771</v>
      </c>
      <c r="AE553" s="61">
        <f t="shared" si="374"/>
        <v>93.929287937151344</v>
      </c>
      <c r="AF553" s="31" t="str">
        <f t="shared" si="359"/>
        <v>-6627.51882264077</v>
      </c>
      <c r="AG553" s="31" t="str">
        <f t="shared" si="375"/>
        <v>14066299.7647249i</v>
      </c>
      <c r="AH553" s="31">
        <f t="shared" si="376"/>
        <v>14066299.764724899</v>
      </c>
      <c r="AI553" s="31">
        <f t="shared" si="377"/>
        <v>1.5707963267948966</v>
      </c>
      <c r="AJ553" s="31" t="str">
        <f t="shared" si="360"/>
        <v>-23611.7065677451+6866.39389865166i</v>
      </c>
      <c r="AK553" s="31">
        <f t="shared" si="378"/>
        <v>24589.836360023579</v>
      </c>
      <c r="AL553" s="31">
        <f t="shared" si="379"/>
        <v>2.8585931693652706</v>
      </c>
      <c r="AM553" s="31" t="str">
        <f t="shared" si="361"/>
        <v>1+8157.46922255692i</v>
      </c>
      <c r="AN553" s="31">
        <f t="shared" si="380"/>
        <v>8157.4692838504398</v>
      </c>
      <c r="AO553" s="31">
        <f t="shared" si="381"/>
        <v>1.570673739756232</v>
      </c>
      <c r="AP553" s="31" t="str">
        <f t="shared" si="362"/>
        <v>1+6583.02828989124i</v>
      </c>
      <c r="AQ553" s="31">
        <f t="shared" si="382"/>
        <v>6583.0283658441267</v>
      </c>
      <c r="AR553" s="31">
        <f t="shared" si="383"/>
        <v>1.5706444210232255</v>
      </c>
      <c r="AS553" s="58" t="str">
        <f t="shared" si="384"/>
        <v>-0.287051332689862+0.988104835419549i</v>
      </c>
      <c r="AT553" s="49">
        <f t="shared" si="385"/>
        <v>0.24793272952257392</v>
      </c>
      <c r="AU553" s="61">
        <f t="shared" si="386"/>
        <v>106.19894877090539</v>
      </c>
      <c r="AV553" s="58" t="str">
        <f t="shared" si="363"/>
        <v>-0.000528640984210203-0.000193750597695867i</v>
      </c>
      <c r="AW553" s="64">
        <f t="shared" si="387"/>
        <v>-64.989399372916196</v>
      </c>
      <c r="AX553" s="61">
        <f t="shared" si="388"/>
        <v>-159.87176329194332</v>
      </c>
    </row>
    <row r="554" spans="14:50" x14ac:dyDescent="0.35">
      <c r="N554" s="10">
        <v>36</v>
      </c>
      <c r="O554" s="50">
        <f t="shared" si="353"/>
        <v>2290867.6527677765</v>
      </c>
      <c r="P554" s="48" t="str">
        <f t="shared" si="354"/>
        <v>547.187404092767</v>
      </c>
      <c r="Q554" s="17" t="str">
        <f t="shared" si="355"/>
        <v>1+276051.86147302i</v>
      </c>
      <c r="R554" s="17">
        <f t="shared" si="364"/>
        <v>276051.8614748313</v>
      </c>
      <c r="S554" s="17">
        <f t="shared" si="365"/>
        <v>1.5707927042871741</v>
      </c>
      <c r="T554" s="17" t="str">
        <f t="shared" si="356"/>
        <v>1+5.22343603925875i</v>
      </c>
      <c r="U554" s="17">
        <f t="shared" si="366"/>
        <v>5.3182971011619067</v>
      </c>
      <c r="V554" s="17">
        <f t="shared" si="367"/>
        <v>1.381640229210447</v>
      </c>
      <c r="W554" s="31" t="str">
        <f t="shared" si="357"/>
        <v>1-90.7062618888886i</v>
      </c>
      <c r="X554" s="17">
        <f t="shared" si="368"/>
        <v>90.711774020000547</v>
      </c>
      <c r="Y554" s="17">
        <f t="shared" si="369"/>
        <v>-1.5597721762212049</v>
      </c>
      <c r="Z554" s="31" t="str">
        <f t="shared" si="358"/>
        <v>-1733.90069504059+433.999186810428i</v>
      </c>
      <c r="AA554" s="17">
        <f t="shared" si="370"/>
        <v>1787.3910916233062</v>
      </c>
      <c r="AB554" s="17">
        <f t="shared" si="371"/>
        <v>2.8963295718262105</v>
      </c>
      <c r="AC554" s="66" t="str">
        <f t="shared" si="372"/>
        <v>-0.0000358908066238501+0.000533805006788514i</v>
      </c>
      <c r="AD554" s="64">
        <f t="shared" si="373"/>
        <v>-65.43275843983298</v>
      </c>
      <c r="AE554" s="61">
        <f t="shared" si="374"/>
        <v>93.846538249664633</v>
      </c>
      <c r="AF554" s="31" t="str">
        <f t="shared" si="359"/>
        <v>-6627.51882264077</v>
      </c>
      <c r="AG554" s="31" t="str">
        <f t="shared" si="375"/>
        <v>14393945.9765635i</v>
      </c>
      <c r="AH554" s="31">
        <f t="shared" si="376"/>
        <v>14393945.9765635</v>
      </c>
      <c r="AI554" s="31">
        <f t="shared" si="377"/>
        <v>1.5707963267948966</v>
      </c>
      <c r="AJ554" s="31" t="str">
        <f t="shared" si="360"/>
        <v>-24724.5391438352+7026.33275872958i</v>
      </c>
      <c r="AK554" s="31">
        <f t="shared" si="378"/>
        <v>25703.544267502013</v>
      </c>
      <c r="AL554" s="31">
        <f t="shared" si="379"/>
        <v>2.8647078220683806</v>
      </c>
      <c r="AM554" s="31" t="str">
        <f t="shared" si="361"/>
        <v>1+8347.48109018848i</v>
      </c>
      <c r="AN554" s="31">
        <f t="shared" si="380"/>
        <v>8347.4811500867872</v>
      </c>
      <c r="AO554" s="31">
        <f t="shared" si="381"/>
        <v>1.5706765301778798</v>
      </c>
      <c r="AP554" s="31" t="str">
        <f t="shared" si="362"/>
        <v>1+6736.36671703171i</v>
      </c>
      <c r="AQ554" s="31">
        <f t="shared" si="382"/>
        <v>6736.3667912556975</v>
      </c>
      <c r="AR554" s="31">
        <f t="shared" si="383"/>
        <v>1.5706478788206903</v>
      </c>
      <c r="AS554" s="58" t="str">
        <f t="shared" si="384"/>
        <v>-0.275096344481927+0.96900840695456i</v>
      </c>
      <c r="AT554" s="49">
        <f t="shared" si="385"/>
        <v>6.3185245862591902E-2</v>
      </c>
      <c r="AU554" s="61">
        <f t="shared" si="386"/>
        <v>105.8489629744135</v>
      </c>
      <c r="AV554" s="58" t="str">
        <f t="shared" si="363"/>
        <v>-0.000507388109549777-0.000181626299384562i</v>
      </c>
      <c r="AW554" s="64">
        <f t="shared" si="387"/>
        <v>-65.369573193970382</v>
      </c>
      <c r="AX554" s="61">
        <f t="shared" si="388"/>
        <v>-160.30449877592181</v>
      </c>
    </row>
    <row r="555" spans="14:50" x14ac:dyDescent="0.35">
      <c r="N555" s="10">
        <v>37</v>
      </c>
      <c r="O555" s="50">
        <f t="shared" si="353"/>
        <v>2344228.8153199251</v>
      </c>
      <c r="P555" s="48" t="str">
        <f t="shared" si="354"/>
        <v>547.187404092767</v>
      </c>
      <c r="Q555" s="17" t="str">
        <f t="shared" si="355"/>
        <v>1+282481.935351399i</v>
      </c>
      <c r="R555" s="17">
        <f t="shared" si="364"/>
        <v>282481.93535316904</v>
      </c>
      <c r="S555" s="17">
        <f t="shared" si="365"/>
        <v>1.5707927867455169</v>
      </c>
      <c r="T555" s="17" t="str">
        <f t="shared" si="356"/>
        <v>1+5.34510549460022i</v>
      </c>
      <c r="U555" s="17">
        <f t="shared" si="366"/>
        <v>5.4378444946877122</v>
      </c>
      <c r="V555" s="17">
        <f t="shared" si="367"/>
        <v>1.3858473353229184</v>
      </c>
      <c r="W555" s="31" t="str">
        <f t="shared" si="357"/>
        <v>1-92.8190821468827i</v>
      </c>
      <c r="X555" s="17">
        <f t="shared" si="368"/>
        <v>92.824468813938068</v>
      </c>
      <c r="Y555" s="17">
        <f t="shared" si="369"/>
        <v>-1.5600230968827111</v>
      </c>
      <c r="Z555" s="31" t="str">
        <f t="shared" si="358"/>
        <v>-1815.66404581035+444.108326518658i</v>
      </c>
      <c r="AA555" s="17">
        <f t="shared" si="370"/>
        <v>1869.1891645661792</v>
      </c>
      <c r="AB555" s="17">
        <f t="shared" si="371"/>
        <v>2.9017043757778271</v>
      </c>
      <c r="AC555" s="66" t="str">
        <f t="shared" si="372"/>
        <v>-0.0000343510701046931+0.000521966902479659i</v>
      </c>
      <c r="AD555" s="64">
        <f t="shared" si="373"/>
        <v>-65.628371731236896</v>
      </c>
      <c r="AE555" s="61">
        <f t="shared" si="374"/>
        <v>93.765252672323058</v>
      </c>
      <c r="AF555" s="31" t="str">
        <f t="shared" si="359"/>
        <v>-6627.51882264077</v>
      </c>
      <c r="AG555" s="31" t="str">
        <f t="shared" si="375"/>
        <v>14729224.0490852i</v>
      </c>
      <c r="AH555" s="31">
        <f t="shared" si="376"/>
        <v>14729224.0490852</v>
      </c>
      <c r="AI555" s="31">
        <f t="shared" si="377"/>
        <v>1.5707963267948966</v>
      </c>
      <c r="AJ555" s="31" t="str">
        <f t="shared" si="360"/>
        <v>-25889.8179034598+7189.99707344068i</v>
      </c>
      <c r="AK555" s="31">
        <f t="shared" si="378"/>
        <v>26869.661869669908</v>
      </c>
      <c r="AL555" s="31">
        <f t="shared" si="379"/>
        <v>2.8707038592835579</v>
      </c>
      <c r="AM555" s="31" t="str">
        <f t="shared" si="361"/>
        <v>1+8541.91890278599i</v>
      </c>
      <c r="AN555" s="31">
        <f t="shared" si="380"/>
        <v>8541.9189613208473</v>
      </c>
      <c r="AO555" s="31">
        <f t="shared" si="381"/>
        <v>1.570679257081778</v>
      </c>
      <c r="AP555" s="31" t="str">
        <f t="shared" si="362"/>
        <v>1+6893.27685497186i</v>
      </c>
      <c r="AQ555" s="31">
        <f t="shared" si="382"/>
        <v>6893.2769275063029</v>
      </c>
      <c r="AR555" s="31">
        <f t="shared" si="383"/>
        <v>1.5706512579090788</v>
      </c>
      <c r="AS555" s="58" t="str">
        <f t="shared" si="384"/>
        <v>-0.26360062848513+0.950141895294017i</v>
      </c>
      <c r="AT555" s="49">
        <f t="shared" si="385"/>
        <v>-0.12219853807071039</v>
      </c>
      <c r="AU555" s="61">
        <f t="shared" si="386"/>
        <v>105.50576519576828</v>
      </c>
      <c r="AV555" s="58" t="str">
        <f t="shared" si="363"/>
        <v>-0.000486887658334037-0.000170229194396725i</v>
      </c>
      <c r="AW555" s="64">
        <f t="shared" si="387"/>
        <v>-65.750570269307602</v>
      </c>
      <c r="AX555" s="61">
        <f t="shared" si="388"/>
        <v>-160.72898213190871</v>
      </c>
    </row>
    <row r="556" spans="14:50" x14ac:dyDescent="0.35">
      <c r="N556" s="10">
        <v>38</v>
      </c>
      <c r="O556" s="50">
        <f t="shared" si="353"/>
        <v>2398832.9190194933</v>
      </c>
      <c r="P556" s="48" t="str">
        <f t="shared" si="354"/>
        <v>547.187404092767</v>
      </c>
      <c r="Q556" s="17" t="str">
        <f t="shared" si="355"/>
        <v>1+289061.784890991i</v>
      </c>
      <c r="R556" s="17">
        <f t="shared" si="364"/>
        <v>289061.78489272075</v>
      </c>
      <c r="S556" s="17">
        <f t="shared" si="365"/>
        <v>1.5707928673268787</v>
      </c>
      <c r="T556" s="17" t="str">
        <f t="shared" si="356"/>
        <v>1+5.46960899562575i</v>
      </c>
      <c r="U556" s="17">
        <f t="shared" si="366"/>
        <v>5.5602718067582018</v>
      </c>
      <c r="V556" s="17">
        <f t="shared" si="367"/>
        <v>1.3899650854117258</v>
      </c>
      <c r="W556" s="31" t="str">
        <f t="shared" si="357"/>
        <v>1-94.9811163108364i</v>
      </c>
      <c r="X556" s="17">
        <f t="shared" si="368"/>
        <v>94.98638036925415</v>
      </c>
      <c r="Y556" s="17">
        <f t="shared" si="369"/>
        <v>-1.5602683072035533</v>
      </c>
      <c r="Z556" s="31" t="str">
        <f t="shared" si="358"/>
        <v>-1901.28078458565+454.452938340074i</v>
      </c>
      <c r="AA556" s="17">
        <f t="shared" si="370"/>
        <v>1954.8391481143792</v>
      </c>
      <c r="AB556" s="17">
        <f t="shared" si="371"/>
        <v>2.9069701241361887</v>
      </c>
      <c r="AC556" s="66" t="str">
        <f t="shared" si="372"/>
        <v>-0.0000328743326898345+0.000510378880680892i</v>
      </c>
      <c r="AD556" s="64">
        <f t="shared" si="373"/>
        <v>-65.824165113753466</v>
      </c>
      <c r="AE556" s="61">
        <f t="shared" si="374"/>
        <v>93.685423083140066</v>
      </c>
      <c r="AF556" s="31" t="str">
        <f t="shared" si="359"/>
        <v>-6627.51882264077</v>
      </c>
      <c r="AG556" s="31" t="str">
        <f t="shared" si="375"/>
        <v>15072311.751162i</v>
      </c>
      <c r="AH556" s="31">
        <f t="shared" si="376"/>
        <v>15072311.751162</v>
      </c>
      <c r="AI556" s="31">
        <f t="shared" si="377"/>
        <v>1.5707963267948966</v>
      </c>
      <c r="AJ556" s="31" t="str">
        <f t="shared" si="360"/>
        <v>-27110.0145590999+7357.47361977097i</v>
      </c>
      <c r="AK556" s="31">
        <f t="shared" si="378"/>
        <v>28090.662282335648</v>
      </c>
      <c r="AL556" s="31">
        <f t="shared" si="379"/>
        <v>2.8765827377261664</v>
      </c>
      <c r="AM556" s="31" t="str">
        <f t="shared" si="361"/>
        <v>1+8740.88575385138i</v>
      </c>
      <c r="AN556" s="31">
        <f t="shared" si="380"/>
        <v>8740.8858110538204</v>
      </c>
      <c r="AO556" s="31">
        <f t="shared" si="381"/>
        <v>1.5706819219137669</v>
      </c>
      <c r="AP556" s="31" t="str">
        <f t="shared" si="362"/>
        <v>1+7053.84189954381i</v>
      </c>
      <c r="AQ556" s="31">
        <f t="shared" si="382"/>
        <v>7053.8419704271673</v>
      </c>
      <c r="AR556" s="31">
        <f t="shared" si="383"/>
        <v>1.5706545600800281</v>
      </c>
      <c r="AS556" s="58" t="str">
        <f t="shared" si="384"/>
        <v>-0.252549717186714+0.931511554076296i</v>
      </c>
      <c r="AT556" s="49">
        <f t="shared" si="385"/>
        <v>-0.30819408975679019</v>
      </c>
      <c r="AU556" s="61">
        <f t="shared" si="386"/>
        <v>105.16927215682098</v>
      </c>
      <c r="AV556" s="58" t="str">
        <f t="shared" si="363"/>
        <v>-0.000467121420887259-0.00015951886270716i</v>
      </c>
      <c r="AW556" s="64">
        <f t="shared" si="387"/>
        <v>-66.132359203510248</v>
      </c>
      <c r="AX556" s="61">
        <f t="shared" si="388"/>
        <v>-161.14530476003895</v>
      </c>
    </row>
    <row r="557" spans="14:50" x14ac:dyDescent="0.35">
      <c r="N557" s="10">
        <v>39</v>
      </c>
      <c r="O557" s="50">
        <f t="shared" si="353"/>
        <v>2454708.915685033</v>
      </c>
      <c r="P557" s="48" t="str">
        <f t="shared" si="354"/>
        <v>547.187404092767</v>
      </c>
      <c r="Q557" s="17" t="str">
        <f t="shared" si="355"/>
        <v>1+295794.898815117i</v>
      </c>
      <c r="R557" s="17">
        <f t="shared" si="364"/>
        <v>295794.89881680737</v>
      </c>
      <c r="S557" s="17">
        <f t="shared" si="365"/>
        <v>1.5707929460739849</v>
      </c>
      <c r="T557" s="17" t="str">
        <f t="shared" si="356"/>
        <v>1+5.59701255573959i</v>
      </c>
      <c r="U557" s="17">
        <f t="shared" si="366"/>
        <v>5.6856441630748069</v>
      </c>
      <c r="V557" s="17">
        <f t="shared" si="367"/>
        <v>1.3939951039288285</v>
      </c>
      <c r="W557" s="31" t="str">
        <f t="shared" si="357"/>
        <v>1-97.1935107198819i</v>
      </c>
      <c r="X557" s="17">
        <f t="shared" si="368"/>
        <v>97.198654960116585</v>
      </c>
      <c r="Y557" s="17">
        <f t="shared" si="369"/>
        <v>-1.5605079370794694</v>
      </c>
      <c r="Z557" s="31" t="str">
        <f t="shared" si="358"/>
        <v>-1990.93251594829+465.038507124795i</v>
      </c>
      <c r="AA557" s="17">
        <f t="shared" si="370"/>
        <v>2044.5227062004096</v>
      </c>
      <c r="AB557" s="17">
        <f t="shared" si="371"/>
        <v>2.9121284743903106</v>
      </c>
      <c r="AC557" s="66" t="str">
        <f t="shared" si="372"/>
        <v>-0.0000314582700968264+0.000499036390564321i</v>
      </c>
      <c r="AD557" s="64">
        <f t="shared" si="373"/>
        <v>-66.020131910365706</v>
      </c>
      <c r="AE557" s="61">
        <f t="shared" si="374"/>
        <v>93.607040144306126</v>
      </c>
      <c r="AF557" s="31" t="str">
        <f t="shared" si="359"/>
        <v>-6627.51882264077</v>
      </c>
      <c r="AG557" s="31" t="str">
        <f t="shared" si="375"/>
        <v>15423390.9924349i</v>
      </c>
      <c r="AH557" s="31">
        <f t="shared" si="376"/>
        <v>15423390.9924349</v>
      </c>
      <c r="AI557" s="31">
        <f t="shared" si="377"/>
        <v>1.5707963267948966</v>
      </c>
      <c r="AJ557" s="31" t="str">
        <f t="shared" si="360"/>
        <v>-28387.717311457+7528.85119600215i</v>
      </c>
      <c r="AK557" s="31">
        <f t="shared" si="378"/>
        <v>29369.135065349448</v>
      </c>
      <c r="AL557" s="31">
        <f t="shared" si="379"/>
        <v>2.8823459509800116</v>
      </c>
      <c r="AM557" s="31" t="str">
        <f t="shared" si="361"/>
        <v>1+8944.48713824278i</v>
      </c>
      <c r="AN557" s="31">
        <f t="shared" si="380"/>
        <v>8944.4871941431338</v>
      </c>
      <c r="AO557" s="31">
        <f t="shared" si="381"/>
        <v>1.5706845260867757</v>
      </c>
      <c r="AP557" s="31" t="str">
        <f t="shared" si="362"/>
        <v>1+7218.14698445952i</v>
      </c>
      <c r="AQ557" s="31">
        <f t="shared" si="382"/>
        <v>7218.1470537293753</v>
      </c>
      <c r="AR557" s="31">
        <f t="shared" si="383"/>
        <v>1.5706577870843927</v>
      </c>
      <c r="AS557" s="58" t="str">
        <f t="shared" si="384"/>
        <v>-0.241929334117212+0.913122937762245i</v>
      </c>
      <c r="AT557" s="49">
        <f t="shared" si="385"/>
        <v>-0.4947776567877471</v>
      </c>
      <c r="AU557" s="61">
        <f t="shared" si="386"/>
        <v>104.83939846279488</v>
      </c>
      <c r="AV557" s="58" t="str">
        <f t="shared" si="363"/>
        <v>-0.000448070896665355-0.000149456809677215i</v>
      </c>
      <c r="AW557" s="64">
        <f t="shared" si="387"/>
        <v>-66.514909567153467</v>
      </c>
      <c r="AX557" s="61">
        <f t="shared" si="388"/>
        <v>-161.55356139289904</v>
      </c>
    </row>
    <row r="558" spans="14:50" x14ac:dyDescent="0.35">
      <c r="N558" s="10">
        <v>40</v>
      </c>
      <c r="O558" s="50">
        <f t="shared" si="353"/>
        <v>2511886.431509587</v>
      </c>
      <c r="P558" s="48" t="str">
        <f t="shared" si="354"/>
        <v>547.187404092767</v>
      </c>
      <c r="Q558" s="17" t="str">
        <f t="shared" si="355"/>
        <v>1+302684.847109905i</v>
      </c>
      <c r="R558" s="17">
        <f t="shared" si="364"/>
        <v>302684.84711155685</v>
      </c>
      <c r="S558" s="17">
        <f t="shared" si="365"/>
        <v>1.570793023028588</v>
      </c>
      <c r="T558" s="17" t="str">
        <f t="shared" si="356"/>
        <v>1+5.72738372599574i</v>
      </c>
      <c r="U558" s="17">
        <f t="shared" si="366"/>
        <v>5.8140282373584018</v>
      </c>
      <c r="V558" s="17">
        <f t="shared" si="367"/>
        <v>1.3979390037712947</v>
      </c>
      <c r="W558" s="31" t="str">
        <f t="shared" si="357"/>
        <v>1-99.4574384148199i</v>
      </c>
      <c r="X558" s="17">
        <f t="shared" si="368"/>
        <v>99.462465563838165</v>
      </c>
      <c r="Y558" s="17">
        <f t="shared" si="369"/>
        <v>-1.5607421134552475</v>
      </c>
      <c r="Z558" s="31" t="str">
        <f t="shared" si="358"/>
        <v>-2084.80940324032+475.870645481508i</v>
      </c>
      <c r="AA558" s="17">
        <f t="shared" si="370"/>
        <v>2138.4300594291708</v>
      </c>
      <c r="AB558" s="17">
        <f t="shared" si="371"/>
        <v>2.9171810950118569</v>
      </c>
      <c r="AC558" s="66" t="str">
        <f t="shared" si="372"/>
        <v>-0.0000301006228857819+0.000487934923827902i</v>
      </c>
      <c r="AD558" s="64">
        <f t="shared" si="373"/>
        <v>-66.216265630783184</v>
      </c>
      <c r="AE558" s="61">
        <f t="shared" si="374"/>
        <v>93.530093395838605</v>
      </c>
      <c r="AF558" s="31" t="str">
        <f t="shared" si="359"/>
        <v>-6627.51882264077</v>
      </c>
      <c r="AG558" s="31" t="str">
        <f t="shared" si="375"/>
        <v>15782647.9197648i</v>
      </c>
      <c r="AH558" s="31">
        <f t="shared" si="376"/>
        <v>15782647.9197648</v>
      </c>
      <c r="AI558" s="31">
        <f t="shared" si="377"/>
        <v>1.5707963267948966</v>
      </c>
      <c r="AJ558" s="31" t="str">
        <f t="shared" si="360"/>
        <v>-29725.6363393736+7704.22066879359i</v>
      </c>
      <c r="AK558" s="31">
        <f t="shared" si="378"/>
        <v>30707.791713084065</v>
      </c>
      <c r="AL558" s="31">
        <f t="shared" si="379"/>
        <v>2.8879950252348436</v>
      </c>
      <c r="AM558" s="31" t="str">
        <f t="shared" si="361"/>
        <v>1+9152.83100810921i</v>
      </c>
      <c r="AN558" s="31">
        <f t="shared" si="380"/>
        <v>9152.8310627371156</v>
      </c>
      <c r="AO558" s="31">
        <f t="shared" si="381"/>
        <v>1.5706870709815712</v>
      </c>
      <c r="AP558" s="31" t="str">
        <f t="shared" si="362"/>
        <v>1+7386.27922644992i</v>
      </c>
      <c r="AQ558" s="31">
        <f t="shared" si="382"/>
        <v>7386.2792941430016</v>
      </c>
      <c r="AR558" s="31">
        <f t="shared" si="383"/>
        <v>1.5706609406331726</v>
      </c>
      <c r="AS558" s="58" t="str">
        <f t="shared" si="384"/>
        <v>-0.231725415982053+0.894980935554136i</v>
      </c>
      <c r="AT558" s="49">
        <f t="shared" si="385"/>
        <v>-0.68192625588659461</v>
      </c>
      <c r="AU558" s="61">
        <f t="shared" si="386"/>
        <v>104.51605684660368</v>
      </c>
      <c r="AV558" s="58" t="str">
        <f t="shared" si="363"/>
        <v>-0.000429717375257505-0.000140006406827271i</v>
      </c>
      <c r="AW558" s="64">
        <f t="shared" si="387"/>
        <v>-66.898191886669778</v>
      </c>
      <c r="AX558" s="61">
        <f t="shared" si="388"/>
        <v>-161.95384975755772</v>
      </c>
    </row>
    <row r="559" spans="14:50" x14ac:dyDescent="0.35">
      <c r="N559" s="10">
        <v>41</v>
      </c>
      <c r="O559" s="50">
        <f t="shared" si="353"/>
        <v>2570395.782768866</v>
      </c>
      <c r="P559" s="48" t="str">
        <f t="shared" si="354"/>
        <v>547.187404092767</v>
      </c>
      <c r="Q559" s="17" t="str">
        <f t="shared" si="355"/>
        <v>1+309735.282917137i</v>
      </c>
      <c r="R559" s="17">
        <f t="shared" si="364"/>
        <v>309735.2829187513</v>
      </c>
      <c r="S559" s="17">
        <f t="shared" si="365"/>
        <v>1.5707930982314906</v>
      </c>
      <c r="T559" s="17" t="str">
        <f t="shared" si="356"/>
        <v>1+5.86079163091426i</v>
      </c>
      <c r="U559" s="17">
        <f t="shared" si="366"/>
        <v>5.9454922875229288</v>
      </c>
      <c r="V559" s="17">
        <f t="shared" si="367"/>
        <v>1.4017983850450189</v>
      </c>
      <c r="W559" s="31" t="str">
        <f t="shared" si="357"/>
        <v>1-101.77409976008i</v>
      </c>
      <c r="X559" s="17">
        <f t="shared" si="368"/>
        <v>101.77901248280372</v>
      </c>
      <c r="Y559" s="17">
        <f t="shared" si="369"/>
        <v>-1.560970960391507</v>
      </c>
      <c r="Z559" s="31" t="str">
        <f t="shared" si="358"/>
        <v>-2183.11057192594+486.955096753345i</v>
      </c>
      <c r="AA559" s="17">
        <f t="shared" si="370"/>
        <v>2236.7603884879723</v>
      </c>
      <c r="AB559" s="17">
        <f t="shared" si="371"/>
        <v>2.9221296625868431</v>
      </c>
      <c r="AC559" s="66" t="str">
        <f t="shared" si="372"/>
        <v>-0.0000287991964266462+0.000477070016350664i</v>
      </c>
      <c r="AD559" s="64">
        <f t="shared" si="373"/>
        <v>-66.412559971626251</v>
      </c>
      <c r="AE559" s="61">
        <f t="shared" si="374"/>
        <v>93.454571345261769</v>
      </c>
      <c r="AF559" s="31" t="str">
        <f t="shared" si="359"/>
        <v>-6627.51882264077</v>
      </c>
      <c r="AG559" s="31" t="str">
        <f t="shared" si="375"/>
        <v>16150273.0159297i</v>
      </c>
      <c r="AH559" s="31">
        <f t="shared" si="376"/>
        <v>16150273.015929701</v>
      </c>
      <c r="AI559" s="31">
        <f t="shared" si="377"/>
        <v>1.5707963267948966</v>
      </c>
      <c r="AJ559" s="31" t="str">
        <f t="shared" si="360"/>
        <v>-31126.6095484853+7883.67502136101i</v>
      </c>
      <c r="AK559" s="31">
        <f t="shared" si="378"/>
        <v>32109.471403719617</v>
      </c>
      <c r="AL559" s="31">
        <f t="shared" si="379"/>
        <v>2.8935315152347174</v>
      </c>
      <c r="AM559" s="31" t="str">
        <f t="shared" si="361"/>
        <v>1+9366.02783012812i</v>
      </c>
      <c r="AN559" s="31">
        <f t="shared" si="380"/>
        <v>9366.0278835125428</v>
      </c>
      <c r="AO559" s="31">
        <f t="shared" si="381"/>
        <v>1.5706895579474902</v>
      </c>
      <c r="AP559" s="31" t="str">
        <f t="shared" si="362"/>
        <v>1+7558.32777145509i</v>
      </c>
      <c r="AQ559" s="31">
        <f t="shared" si="382"/>
        <v>7558.3278376072885</v>
      </c>
      <c r="AR559" s="31">
        <f t="shared" si="383"/>
        <v>1.5706640223984212</v>
      </c>
      <c r="AS559" s="58" t="str">
        <f t="shared" si="384"/>
        <v>-0.22192413215396+0.877089804945922i</v>
      </c>
      <c r="AT559" s="49">
        <f t="shared" si="385"/>
        <v>-0.86961766079746461</v>
      </c>
      <c r="AU559" s="61">
        <f t="shared" si="386"/>
        <v>104.1991584010877</v>
      </c>
      <c r="AV559" s="58" t="str">
        <f t="shared" si="363"/>
        <v>-0.000412042010912837-0.000131132830931743i</v>
      </c>
      <c r="AW559" s="64">
        <f t="shared" si="387"/>
        <v>-67.282177632423711</v>
      </c>
      <c r="AX559" s="61">
        <f t="shared" si="388"/>
        <v>-162.34627025365052</v>
      </c>
    </row>
    <row r="560" spans="14:50" ht="15" thickBot="1" x14ac:dyDescent="0.4">
      <c r="N560" s="10">
        <v>42</v>
      </c>
      <c r="O560" s="50">
        <f t="shared" si="353"/>
        <v>2630267.9918953842</v>
      </c>
      <c r="P560" s="48" t="str">
        <f t="shared" si="354"/>
        <v>547.187404092767</v>
      </c>
      <c r="Q560" s="17" t="str">
        <f t="shared" si="355"/>
        <v>1+316949.944471202i</v>
      </c>
      <c r="R560" s="17">
        <f t="shared" si="364"/>
        <v>316949.94447277952</v>
      </c>
      <c r="S560" s="17">
        <f t="shared" si="365"/>
        <v>1.5707931717225661</v>
      </c>
      <c r="T560" s="17" t="str">
        <f t="shared" si="356"/>
        <v>1+5.99730700513224i</v>
      </c>
      <c r="U560" s="17">
        <f t="shared" si="366"/>
        <v>6.0801061926423818</v>
      </c>
      <c r="V560" s="17">
        <f t="shared" si="367"/>
        <v>1.4055748339366834</v>
      </c>
      <c r="W560" s="31" t="str">
        <f t="shared" si="357"/>
        <v>1-104.144723080172i</v>
      </c>
      <c r="X560" s="17">
        <f t="shared" si="368"/>
        <v>104.1495239808887</v>
      </c>
      <c r="Y560" s="17">
        <f t="shared" si="369"/>
        <v>-1.5611945991299887</v>
      </c>
      <c r="Z560" s="31" t="str">
        <f t="shared" si="358"/>
        <v>-2286.04453196343+498.297738063094i</v>
      </c>
      <c r="AA560" s="17">
        <f t="shared" si="370"/>
        <v>2339.7222565677948</v>
      </c>
      <c r="AB560" s="17">
        <f t="shared" si="371"/>
        <v>2.9269758591265069</v>
      </c>
      <c r="AC560" s="59" t="str">
        <f t="shared" si="372"/>
        <v>-0.0000275518606840532+0.000466437249766786i</v>
      </c>
      <c r="AD560" s="65">
        <f t="shared" si="373"/>
        <v>-66.609008816012945</v>
      </c>
      <c r="AE560" s="63">
        <f t="shared" si="374"/>
        <v>93.380461553308251</v>
      </c>
      <c r="AF560" s="31" t="str">
        <f t="shared" si="359"/>
        <v>-6627.51882264077</v>
      </c>
      <c r="AG560" s="31" t="str">
        <f t="shared" si="375"/>
        <v>16526461.2006218i</v>
      </c>
      <c r="AH560" s="31">
        <f t="shared" si="376"/>
        <v>16526461.2006218</v>
      </c>
      <c r="AI560" s="31">
        <f t="shared" si="377"/>
        <v>1.5707963267948966</v>
      </c>
      <c r="AJ560" s="31" t="str">
        <f t="shared" si="360"/>
        <v>-32593.6085908006+8067.30940277755i</v>
      </c>
      <c r="AK560" s="31">
        <f t="shared" si="378"/>
        <v>33577.147019519893</v>
      </c>
      <c r="AL560" s="31">
        <f t="shared" si="379"/>
        <v>2.8989570004344913</v>
      </c>
      <c r="AM560" s="31" t="str">
        <f t="shared" si="361"/>
        <v>1+9584.19064407661i</v>
      </c>
      <c r="AN560" s="31">
        <f t="shared" si="380"/>
        <v>9584.1906962458579</v>
      </c>
      <c r="AO560" s="31">
        <f t="shared" si="381"/>
        <v>1.5706919883031545</v>
      </c>
      <c r="AP560" s="31" t="str">
        <f t="shared" si="362"/>
        <v>1+7734.38384189099i</v>
      </c>
      <c r="AQ560" s="31">
        <f t="shared" si="382"/>
        <v>7734.3839065373804</v>
      </c>
      <c r="AR560" s="31">
        <f t="shared" si="383"/>
        <v>1.5706670340141309</v>
      </c>
      <c r="AS560" s="58" t="str">
        <f t="shared" si="384"/>
        <v>-0.212511901681816+0.859453204771895i</v>
      </c>
      <c r="AT560" s="55">
        <f t="shared" si="385"/>
        <v>-1.0578303891856131</v>
      </c>
      <c r="AU560" s="63">
        <f t="shared" si="386"/>
        <v>103.88861279932193</v>
      </c>
      <c r="AV560" s="62" t="str">
        <f t="shared" si="363"/>
        <v>-0.000395025890828212-0.000122803001925514i</v>
      </c>
      <c r="AW560" s="65">
        <f t="shared" si="387"/>
        <v>-67.666839205198571</v>
      </c>
      <c r="AX560" s="63">
        <f t="shared" si="388"/>
        <v>-162.73092564736979</v>
      </c>
    </row>
    <row r="561" spans="14:30" x14ac:dyDescent="0.35">
      <c r="N561" s="10"/>
      <c r="P561" s="48"/>
      <c r="Q561" s="17"/>
      <c r="R561" s="17"/>
      <c r="S561" s="17"/>
      <c r="T561" s="17"/>
      <c r="U561" s="17"/>
      <c r="V561" s="17"/>
      <c r="X561" s="17"/>
      <c r="Y561" s="17"/>
      <c r="AA561" s="17"/>
      <c r="AB561" s="17"/>
      <c r="AC561" s="17"/>
      <c r="AD561" s="32"/>
    </row>
    <row r="562" spans="14:30" x14ac:dyDescent="0.35">
      <c r="N562" s="10"/>
      <c r="P562" s="48"/>
      <c r="Q562" s="17"/>
      <c r="R562" s="17"/>
      <c r="S562" s="17"/>
      <c r="T562" s="17"/>
      <c r="U562" s="17"/>
      <c r="V562" s="17"/>
      <c r="X562" s="17"/>
      <c r="Y562" s="17"/>
      <c r="AA562" s="17"/>
      <c r="AB562" s="17"/>
      <c r="AC562" s="17"/>
      <c r="AD562" s="32"/>
    </row>
    <row r="563" spans="14:30" x14ac:dyDescent="0.35">
      <c r="N563" s="10"/>
      <c r="P563" s="48"/>
      <c r="Q563" s="17"/>
      <c r="R563" s="17"/>
      <c r="S563" s="17"/>
      <c r="T563" s="17"/>
      <c r="U563" s="17"/>
      <c r="V563" s="17"/>
      <c r="X563" s="17"/>
      <c r="Y563" s="17"/>
      <c r="AA563" s="17"/>
      <c r="AB563" s="17"/>
      <c r="AC563" s="17"/>
      <c r="AD563" s="32"/>
    </row>
    <row r="564" spans="14:30" x14ac:dyDescent="0.35">
      <c r="N564" s="10"/>
      <c r="P564" s="48"/>
      <c r="Q564" s="17"/>
      <c r="R564" s="17"/>
      <c r="S564" s="17"/>
      <c r="T564" s="17"/>
      <c r="U564" s="17"/>
      <c r="V564" s="17"/>
      <c r="X564" s="17"/>
      <c r="Y564" s="17"/>
      <c r="AA564" s="17"/>
      <c r="AB564" s="17"/>
      <c r="AC564" s="17"/>
      <c r="AD564" s="32"/>
    </row>
    <row r="565" spans="14:30" x14ac:dyDescent="0.35">
      <c r="N565" s="10"/>
      <c r="P565" s="48"/>
      <c r="Q565" s="17"/>
      <c r="R565" s="17"/>
      <c r="S565" s="17"/>
      <c r="T565" s="17"/>
      <c r="U565" s="17"/>
      <c r="V565" s="17"/>
      <c r="X565" s="17"/>
      <c r="Y565" s="17"/>
      <c r="AA565" s="17"/>
      <c r="AB565" s="17"/>
      <c r="AC565" s="17"/>
      <c r="AD565" s="32"/>
    </row>
    <row r="566" spans="14:30" x14ac:dyDescent="0.35">
      <c r="N566" s="10"/>
      <c r="P566" s="48"/>
      <c r="Q566" s="17"/>
      <c r="R566" s="17"/>
      <c r="S566" s="17"/>
      <c r="T566" s="17"/>
      <c r="U566" s="17"/>
      <c r="V566" s="17"/>
      <c r="X566" s="17"/>
      <c r="Y566" s="17"/>
      <c r="AA566" s="17"/>
      <c r="AB566" s="17"/>
      <c r="AC566" s="17"/>
      <c r="AD566" s="32"/>
    </row>
    <row r="567" spans="14:30" x14ac:dyDescent="0.35">
      <c r="N567" s="10"/>
      <c r="P567" s="48"/>
      <c r="Q567" s="17"/>
      <c r="R567" s="17"/>
      <c r="S567" s="17"/>
      <c r="T567" s="17"/>
      <c r="U567" s="17"/>
      <c r="V567" s="17"/>
      <c r="X567" s="17"/>
      <c r="Y567" s="17"/>
      <c r="AA567" s="17"/>
      <c r="AB567" s="17"/>
      <c r="AC567" s="17"/>
      <c r="AD567" s="32"/>
    </row>
    <row r="568" spans="14:30" x14ac:dyDescent="0.35">
      <c r="N568" s="10"/>
      <c r="P568" s="48"/>
      <c r="Q568" s="17"/>
      <c r="R568" s="17"/>
      <c r="S568" s="17"/>
      <c r="T568" s="17"/>
      <c r="U568" s="17"/>
      <c r="V568" s="17"/>
      <c r="X568" s="17"/>
      <c r="Y568" s="17"/>
      <c r="AA568" s="17"/>
      <c r="AB568" s="17"/>
      <c r="AC568" s="17"/>
      <c r="AD568" s="32"/>
    </row>
    <row r="569" spans="14:30" x14ac:dyDescent="0.35">
      <c r="N569" s="10"/>
      <c r="P569" s="48"/>
      <c r="Q569" s="17"/>
      <c r="R569" s="17"/>
      <c r="S569" s="17"/>
      <c r="T569" s="17"/>
      <c r="U569" s="17"/>
      <c r="V569" s="17"/>
      <c r="X569" s="17"/>
      <c r="Y569" s="17"/>
      <c r="AA569" s="17"/>
      <c r="AB569" s="17"/>
      <c r="AC569" s="17"/>
      <c r="AD569" s="32"/>
    </row>
    <row r="570" spans="14:30" x14ac:dyDescent="0.35">
      <c r="N570" s="10"/>
      <c r="P570" s="48"/>
      <c r="Q570" s="17"/>
      <c r="R570" s="17"/>
      <c r="S570" s="17"/>
      <c r="T570" s="17"/>
      <c r="U570" s="17"/>
      <c r="V570" s="17"/>
      <c r="X570" s="17"/>
      <c r="Y570" s="17"/>
      <c r="AA570" s="17"/>
      <c r="AB570" s="17"/>
      <c r="AC570" s="17"/>
      <c r="AD570" s="32"/>
    </row>
    <row r="571" spans="14:30" x14ac:dyDescent="0.35">
      <c r="N571" s="10"/>
      <c r="P571" s="48"/>
      <c r="Q571" s="17"/>
      <c r="R571" s="17"/>
      <c r="S571" s="17"/>
      <c r="T571" s="17"/>
      <c r="U571" s="17"/>
      <c r="V571" s="17"/>
      <c r="X571" s="17"/>
      <c r="Y571" s="17"/>
      <c r="AA571" s="17"/>
      <c r="AB571" s="17"/>
      <c r="AC571" s="17"/>
      <c r="AD571" s="32"/>
    </row>
    <row r="572" spans="14:30" x14ac:dyDescent="0.35">
      <c r="N572" s="10"/>
      <c r="P572" s="48"/>
      <c r="Q572" s="17"/>
      <c r="R572" s="17"/>
      <c r="S572" s="17"/>
      <c r="T572" s="17"/>
      <c r="U572" s="17"/>
      <c r="V572" s="17"/>
      <c r="X572" s="17"/>
      <c r="Y572" s="17"/>
      <c r="AA572" s="17"/>
      <c r="AB572" s="17"/>
      <c r="AC572" s="17"/>
      <c r="AD572" s="32"/>
    </row>
    <row r="573" spans="14:30" x14ac:dyDescent="0.35">
      <c r="N573" s="10"/>
      <c r="P573" s="48"/>
      <c r="Q573" s="17"/>
      <c r="R573" s="17"/>
      <c r="S573" s="17"/>
      <c r="T573" s="17"/>
      <c r="U573" s="17"/>
      <c r="V573" s="17"/>
      <c r="X573" s="17"/>
      <c r="Y573" s="17"/>
      <c r="AA573" s="17"/>
      <c r="AB573" s="17"/>
      <c r="AC573" s="17"/>
      <c r="AD573" s="32"/>
    </row>
    <row r="574" spans="14:30" x14ac:dyDescent="0.35">
      <c r="N574" s="10"/>
      <c r="P574" s="48"/>
      <c r="Q574" s="17"/>
      <c r="R574" s="17"/>
      <c r="S574" s="17"/>
      <c r="T574" s="17"/>
      <c r="U574" s="17"/>
      <c r="V574" s="17"/>
      <c r="X574" s="17"/>
      <c r="Y574" s="17"/>
      <c r="AA574" s="17"/>
      <c r="AB574" s="17"/>
      <c r="AC574" s="17"/>
      <c r="AD574" s="32"/>
    </row>
    <row r="575" spans="14:30" x14ac:dyDescent="0.35">
      <c r="N575" s="10"/>
      <c r="P575" s="48"/>
      <c r="Q575" s="17"/>
      <c r="R575" s="17"/>
      <c r="S575" s="17"/>
      <c r="T575" s="17"/>
      <c r="U575" s="17"/>
      <c r="V575" s="17"/>
      <c r="X575" s="17"/>
      <c r="Y575" s="17"/>
      <c r="AA575" s="17"/>
      <c r="AB575" s="17"/>
      <c r="AC575" s="17"/>
      <c r="AD575" s="32"/>
    </row>
    <row r="576" spans="14:30" x14ac:dyDescent="0.35">
      <c r="N576" s="10"/>
      <c r="P576" s="48"/>
      <c r="Q576" s="17"/>
      <c r="R576" s="17"/>
      <c r="S576" s="17"/>
      <c r="T576" s="17"/>
      <c r="U576" s="17"/>
      <c r="V576" s="17"/>
      <c r="X576" s="17"/>
      <c r="Y576" s="17"/>
      <c r="AA576" s="17"/>
      <c r="AB576" s="17"/>
      <c r="AC576" s="17"/>
      <c r="AD576" s="32"/>
    </row>
    <row r="577" spans="14:30" x14ac:dyDescent="0.35">
      <c r="N577" s="10"/>
      <c r="P577" s="48"/>
      <c r="Q577" s="17"/>
      <c r="R577" s="17"/>
      <c r="S577" s="17"/>
      <c r="T577" s="17"/>
      <c r="U577" s="17"/>
      <c r="V577" s="17"/>
      <c r="X577" s="17"/>
      <c r="Y577" s="17"/>
      <c r="AA577" s="17"/>
      <c r="AB577" s="17"/>
      <c r="AC577" s="17"/>
      <c r="AD577" s="32"/>
    </row>
    <row r="578" spans="14:30" x14ac:dyDescent="0.35">
      <c r="N578" s="10"/>
      <c r="P578" s="48"/>
      <c r="Q578" s="17"/>
      <c r="R578" s="17"/>
      <c r="S578" s="17"/>
      <c r="T578" s="17"/>
      <c r="U578" s="17"/>
      <c r="V578" s="17"/>
      <c r="X578" s="17"/>
      <c r="Y578" s="17"/>
      <c r="AA578" s="17"/>
      <c r="AB578" s="17"/>
      <c r="AC578" s="17"/>
      <c r="AD578" s="32"/>
    </row>
    <row r="579" spans="14:30" x14ac:dyDescent="0.35">
      <c r="N579" s="10"/>
      <c r="P579" s="48"/>
      <c r="Q579" s="17"/>
      <c r="R579" s="17"/>
      <c r="S579" s="17"/>
      <c r="T579" s="17"/>
      <c r="U579" s="17"/>
      <c r="V579" s="17"/>
      <c r="X579" s="17"/>
      <c r="Y579" s="17"/>
      <c r="AA579" s="17"/>
      <c r="AB579" s="17"/>
      <c r="AC579" s="17"/>
      <c r="AD579" s="32"/>
    </row>
    <row r="580" spans="14:30" x14ac:dyDescent="0.35">
      <c r="N580" s="10"/>
      <c r="P580" s="48"/>
      <c r="Q580" s="17"/>
      <c r="R580" s="17"/>
      <c r="S580" s="17"/>
      <c r="T580" s="17"/>
      <c r="U580" s="17"/>
      <c r="V580" s="17"/>
      <c r="X580" s="17"/>
      <c r="Y580" s="17"/>
      <c r="AA580" s="17"/>
      <c r="AB580" s="17"/>
      <c r="AC580" s="17"/>
      <c r="AD580" s="32"/>
    </row>
    <row r="581" spans="14:30" x14ac:dyDescent="0.35">
      <c r="N581" s="10"/>
      <c r="P581" s="48"/>
      <c r="Q581" s="17"/>
      <c r="R581" s="17"/>
      <c r="S581" s="17"/>
      <c r="T581" s="17"/>
      <c r="U581" s="17"/>
      <c r="V581" s="17"/>
      <c r="X581" s="17"/>
      <c r="Y581" s="17"/>
      <c r="AA581" s="17"/>
      <c r="AB581" s="17"/>
      <c r="AC581" s="17"/>
      <c r="AD581" s="32"/>
    </row>
    <row r="582" spans="14:30" x14ac:dyDescent="0.35">
      <c r="N582" s="10"/>
      <c r="P582" s="48"/>
      <c r="Q582" s="17"/>
      <c r="R582" s="17"/>
      <c r="S582" s="17"/>
      <c r="T582" s="17"/>
      <c r="U582" s="17"/>
      <c r="V582" s="17"/>
      <c r="X582" s="17"/>
      <c r="Y582" s="17"/>
      <c r="AA582" s="17"/>
      <c r="AB582" s="17"/>
      <c r="AC582" s="17"/>
      <c r="AD582" s="32"/>
    </row>
    <row r="583" spans="14:30" x14ac:dyDescent="0.35">
      <c r="N583" s="10"/>
      <c r="P583" s="48"/>
      <c r="Q583" s="17"/>
      <c r="R583" s="17"/>
      <c r="S583" s="17"/>
      <c r="T583" s="17"/>
      <c r="U583" s="17"/>
      <c r="V583" s="17"/>
      <c r="X583" s="17"/>
      <c r="Y583" s="17"/>
      <c r="AA583" s="17"/>
      <c r="AB583" s="17"/>
      <c r="AC583" s="17"/>
      <c r="AD583" s="32"/>
    </row>
    <row r="584" spans="14:30" x14ac:dyDescent="0.35">
      <c r="N584" s="10"/>
      <c r="P584" s="48"/>
      <c r="Q584" s="17"/>
      <c r="R584" s="17"/>
      <c r="S584" s="17"/>
      <c r="T584" s="17"/>
      <c r="U584" s="17"/>
      <c r="V584" s="17"/>
      <c r="X584" s="17"/>
      <c r="Y584" s="17"/>
      <c r="AA584" s="17"/>
      <c r="AB584" s="17"/>
      <c r="AC584" s="17"/>
      <c r="AD584" s="32"/>
    </row>
    <row r="585" spans="14:30" x14ac:dyDescent="0.35">
      <c r="N585" s="10"/>
      <c r="P585" s="48"/>
      <c r="Q585" s="17"/>
      <c r="R585" s="17"/>
      <c r="S585" s="17"/>
      <c r="T585" s="17"/>
      <c r="U585" s="17"/>
      <c r="V585" s="17"/>
      <c r="X585" s="17"/>
      <c r="Y585" s="17"/>
      <c r="AA585" s="17"/>
      <c r="AB585" s="17"/>
      <c r="AC585" s="17"/>
      <c r="AD585" s="32"/>
    </row>
    <row r="586" spans="14:30" x14ac:dyDescent="0.35">
      <c r="N586" s="10"/>
      <c r="P586" s="48"/>
      <c r="Q586" s="17"/>
      <c r="R586" s="17"/>
      <c r="S586" s="17"/>
      <c r="T586" s="17"/>
      <c r="U586" s="17"/>
      <c r="V586" s="17"/>
      <c r="X586" s="17"/>
      <c r="Y586" s="17"/>
      <c r="AA586" s="17"/>
      <c r="AB586" s="17"/>
      <c r="AC586" s="17"/>
      <c r="AD586" s="32"/>
    </row>
    <row r="587" spans="14:30" x14ac:dyDescent="0.35">
      <c r="N587" s="10"/>
      <c r="P587" s="48"/>
      <c r="Q587" s="17"/>
      <c r="R587" s="17"/>
      <c r="S587" s="17"/>
      <c r="T587" s="17"/>
      <c r="U587" s="17"/>
      <c r="V587" s="17"/>
      <c r="X587" s="17"/>
      <c r="Y587" s="17"/>
      <c r="AA587" s="17"/>
      <c r="AB587" s="17"/>
      <c r="AC587" s="17"/>
      <c r="AD587" s="32"/>
    </row>
    <row r="588" spans="14:30" x14ac:dyDescent="0.35">
      <c r="N588" s="10"/>
      <c r="P588" s="48"/>
      <c r="Q588" s="17"/>
      <c r="R588" s="17"/>
      <c r="S588" s="17"/>
      <c r="T588" s="17"/>
      <c r="U588" s="17"/>
      <c r="V588" s="17"/>
      <c r="X588" s="17"/>
      <c r="Y588" s="17"/>
      <c r="AA588" s="17"/>
      <c r="AB588" s="17"/>
      <c r="AC588" s="17"/>
      <c r="AD588" s="32"/>
    </row>
    <row r="589" spans="14:30" x14ac:dyDescent="0.35">
      <c r="N589" s="10"/>
      <c r="P589" s="48"/>
      <c r="Q589" s="17"/>
      <c r="R589" s="17"/>
      <c r="S589" s="17"/>
      <c r="T589" s="17"/>
      <c r="U589" s="17"/>
      <c r="V589" s="17"/>
      <c r="X589" s="17"/>
      <c r="Y589" s="17"/>
      <c r="AA589" s="17"/>
      <c r="AB589" s="17"/>
      <c r="AC589" s="17"/>
      <c r="AD589" s="32"/>
    </row>
    <row r="590" spans="14:30" x14ac:dyDescent="0.35">
      <c r="N590" s="10"/>
      <c r="P590" s="48"/>
      <c r="Q590" s="17"/>
      <c r="R590" s="17"/>
      <c r="S590" s="17"/>
      <c r="T590" s="17"/>
      <c r="U590" s="17"/>
      <c r="V590" s="17"/>
      <c r="X590" s="17"/>
      <c r="Y590" s="17"/>
      <c r="AA590" s="17"/>
      <c r="AB590" s="17"/>
      <c r="AC590" s="17"/>
      <c r="AD590" s="32"/>
    </row>
    <row r="591" spans="14:30" x14ac:dyDescent="0.35">
      <c r="N591" s="10"/>
      <c r="P591" s="48"/>
      <c r="Q591" s="17"/>
      <c r="R591" s="17"/>
      <c r="S591" s="17"/>
      <c r="T591" s="17"/>
      <c r="U591" s="17"/>
      <c r="V591" s="17"/>
      <c r="X591" s="17"/>
      <c r="Y591" s="17"/>
      <c r="AA591" s="17"/>
      <c r="AB591" s="17"/>
      <c r="AC591" s="17"/>
      <c r="AD591" s="32"/>
    </row>
    <row r="592" spans="14:30" x14ac:dyDescent="0.35">
      <c r="N592" s="10"/>
      <c r="P592" s="48"/>
      <c r="Q592" s="17"/>
      <c r="R592" s="17"/>
      <c r="S592" s="17"/>
      <c r="T592" s="17"/>
      <c r="U592" s="17"/>
      <c r="V592" s="17"/>
      <c r="X592" s="17"/>
      <c r="Y592" s="17"/>
      <c r="AA592" s="17"/>
      <c r="AB592" s="17"/>
      <c r="AC592" s="17"/>
      <c r="AD592" s="32"/>
    </row>
    <row r="593" spans="14:30" x14ac:dyDescent="0.35">
      <c r="N593" s="10"/>
      <c r="P593" s="48"/>
      <c r="Q593" s="17"/>
      <c r="R593" s="17"/>
      <c r="S593" s="17"/>
      <c r="T593" s="17"/>
      <c r="U593" s="17"/>
      <c r="V593" s="17"/>
      <c r="X593" s="17"/>
      <c r="Y593" s="17"/>
      <c r="AA593" s="17"/>
      <c r="AB593" s="17"/>
      <c r="AC593" s="17"/>
      <c r="AD593" s="32"/>
    </row>
    <row r="594" spans="14:30" x14ac:dyDescent="0.35">
      <c r="N594" s="10"/>
      <c r="P594" s="48"/>
      <c r="Q594" s="17"/>
      <c r="R594" s="17"/>
      <c r="S594" s="17"/>
      <c r="T594" s="17"/>
      <c r="U594" s="17"/>
      <c r="V594" s="17"/>
      <c r="X594" s="17"/>
      <c r="Y594" s="17"/>
      <c r="AA594" s="17"/>
      <c r="AB594" s="17"/>
      <c r="AC594" s="17"/>
      <c r="AD594" s="32"/>
    </row>
    <row r="595" spans="14:30" x14ac:dyDescent="0.35">
      <c r="N595" s="10"/>
      <c r="P595" s="48"/>
      <c r="Q595" s="17"/>
      <c r="R595" s="17"/>
      <c r="S595" s="17"/>
      <c r="T595" s="17"/>
      <c r="U595" s="17"/>
      <c r="V595" s="17"/>
      <c r="X595" s="17"/>
      <c r="Y595" s="17"/>
      <c r="AA595" s="17"/>
      <c r="AB595" s="17"/>
      <c r="AC595" s="17"/>
      <c r="AD595" s="32"/>
    </row>
    <row r="596" spans="14:30" x14ac:dyDescent="0.35">
      <c r="N596" s="10"/>
      <c r="P596" s="48"/>
      <c r="Q596" s="17"/>
      <c r="R596" s="17"/>
      <c r="S596" s="17"/>
      <c r="T596" s="17"/>
      <c r="U596" s="17"/>
      <c r="V596" s="17"/>
      <c r="X596" s="17"/>
      <c r="Y596" s="17"/>
      <c r="AA596" s="17"/>
      <c r="AB596" s="17"/>
      <c r="AC596" s="17"/>
      <c r="AD596" s="32"/>
    </row>
    <row r="597" spans="14:30" x14ac:dyDescent="0.35">
      <c r="N597" s="10"/>
      <c r="P597" s="48"/>
      <c r="Q597" s="17"/>
      <c r="R597" s="17"/>
      <c r="S597" s="17"/>
      <c r="T597" s="17"/>
      <c r="U597" s="17"/>
      <c r="V597" s="17"/>
      <c r="X597" s="17"/>
      <c r="Y597" s="17"/>
      <c r="AA597" s="17"/>
      <c r="AB597" s="17"/>
      <c r="AC597" s="17"/>
      <c r="AD597" s="32"/>
    </row>
    <row r="598" spans="14:30" x14ac:dyDescent="0.35">
      <c r="N598" s="10"/>
      <c r="P598" s="48"/>
      <c r="Q598" s="17"/>
      <c r="R598" s="17"/>
      <c r="S598" s="17"/>
      <c r="T598" s="17"/>
      <c r="U598" s="17"/>
      <c r="V598" s="17"/>
      <c r="X598" s="17"/>
      <c r="Y598" s="17"/>
      <c r="AA598" s="17"/>
      <c r="AB598" s="17"/>
      <c r="AC598" s="17"/>
      <c r="AD598" s="32"/>
    </row>
    <row r="599" spans="14:30" x14ac:dyDescent="0.35">
      <c r="N599" s="10"/>
      <c r="P599" s="48"/>
      <c r="Q599" s="17"/>
      <c r="R599" s="17"/>
      <c r="S599" s="17"/>
      <c r="T599" s="17"/>
      <c r="U599" s="17"/>
      <c r="V599" s="17"/>
      <c r="X599" s="17"/>
      <c r="Y599" s="17"/>
      <c r="AA599" s="17"/>
      <c r="AB599" s="17"/>
      <c r="AC599" s="17"/>
      <c r="AD599" s="32"/>
    </row>
    <row r="600" spans="14:30" x14ac:dyDescent="0.35">
      <c r="N600" s="10"/>
      <c r="P600" s="48"/>
      <c r="Q600" s="17"/>
      <c r="R600" s="17"/>
      <c r="S600" s="17"/>
      <c r="T600" s="17"/>
      <c r="U600" s="17"/>
      <c r="V600" s="17"/>
      <c r="X600" s="17"/>
      <c r="Y600" s="17"/>
      <c r="AA600" s="17"/>
      <c r="AB600" s="17"/>
      <c r="AC600" s="17"/>
      <c r="AD600" s="32"/>
    </row>
    <row r="601" spans="14:30" x14ac:dyDescent="0.35">
      <c r="N601" s="10"/>
      <c r="P601" s="48"/>
      <c r="Q601" s="17"/>
      <c r="R601" s="17"/>
      <c r="S601" s="17"/>
      <c r="T601" s="17"/>
      <c r="U601" s="17"/>
      <c r="V601" s="17"/>
      <c r="X601" s="17"/>
      <c r="Y601" s="17"/>
      <c r="AA601" s="17"/>
      <c r="AB601" s="17"/>
      <c r="AC601" s="17"/>
      <c r="AD601" s="32"/>
    </row>
    <row r="602" spans="14:30" x14ac:dyDescent="0.35">
      <c r="N602" s="10"/>
      <c r="P602" s="48"/>
      <c r="Q602" s="17"/>
      <c r="R602" s="17"/>
      <c r="S602" s="17"/>
      <c r="T602" s="17"/>
      <c r="U602" s="17"/>
      <c r="V602" s="17"/>
      <c r="X602" s="17"/>
      <c r="Y602" s="17"/>
      <c r="AA602" s="17"/>
      <c r="AB602" s="17"/>
      <c r="AC602" s="17"/>
      <c r="AD602" s="32"/>
    </row>
    <row r="603" spans="14:30" x14ac:dyDescent="0.35">
      <c r="N603" s="10"/>
      <c r="P603" s="48"/>
      <c r="Q603" s="17"/>
      <c r="R603" s="17"/>
      <c r="S603" s="17"/>
      <c r="T603" s="17"/>
      <c r="U603" s="17"/>
      <c r="V603" s="17"/>
      <c r="X603" s="17"/>
      <c r="Y603" s="17"/>
      <c r="AA603" s="17"/>
      <c r="AB603" s="17"/>
      <c r="AC603" s="17"/>
      <c r="AD603" s="32"/>
    </row>
    <row r="604" spans="14:30" x14ac:dyDescent="0.35">
      <c r="N604" s="10"/>
      <c r="P604" s="48"/>
      <c r="Q604" s="17"/>
      <c r="R604" s="17"/>
      <c r="S604" s="17"/>
      <c r="T604" s="17"/>
      <c r="U604" s="17"/>
      <c r="V604" s="17"/>
      <c r="X604" s="17"/>
      <c r="Y604" s="17"/>
      <c r="AA604" s="17"/>
      <c r="AB604" s="17"/>
      <c r="AC604" s="17"/>
      <c r="AD604" s="32"/>
    </row>
    <row r="605" spans="14:30" x14ac:dyDescent="0.35">
      <c r="N605" s="10"/>
      <c r="P605" s="48"/>
      <c r="Q605" s="17"/>
      <c r="R605" s="17"/>
      <c r="S605" s="17"/>
      <c r="T605" s="17"/>
      <c r="U605" s="17"/>
      <c r="V605" s="17"/>
      <c r="X605" s="17"/>
      <c r="Y605" s="17"/>
      <c r="AA605" s="17"/>
      <c r="AB605" s="17"/>
      <c r="AC605" s="17"/>
      <c r="AD605" s="32"/>
    </row>
    <row r="606" spans="14:30" x14ac:dyDescent="0.35">
      <c r="N606" s="10"/>
      <c r="P606" s="48"/>
      <c r="Q606" s="17"/>
      <c r="R606" s="17"/>
      <c r="S606" s="17"/>
      <c r="T606" s="17"/>
      <c r="U606" s="17"/>
      <c r="V606" s="17"/>
      <c r="X606" s="17"/>
      <c r="Y606" s="17"/>
      <c r="AA606" s="17"/>
      <c r="AB606" s="17"/>
      <c r="AC606" s="17"/>
      <c r="AD606" s="32"/>
    </row>
    <row r="607" spans="14:30" x14ac:dyDescent="0.35">
      <c r="N607" s="10"/>
      <c r="P607" s="48"/>
      <c r="Q607" s="17"/>
      <c r="R607" s="17"/>
      <c r="S607" s="17"/>
      <c r="T607" s="17"/>
      <c r="U607" s="17"/>
      <c r="V607" s="17"/>
      <c r="X607" s="17"/>
      <c r="Y607" s="17"/>
      <c r="AA607" s="17"/>
      <c r="AB607" s="17"/>
      <c r="AC607" s="17"/>
      <c r="AD607" s="32"/>
    </row>
    <row r="608" spans="14:30" x14ac:dyDescent="0.35">
      <c r="N608" s="10"/>
      <c r="P608" s="48"/>
      <c r="Q608" s="17"/>
      <c r="R608" s="17"/>
      <c r="S608" s="17"/>
      <c r="T608" s="17"/>
      <c r="U608" s="17"/>
      <c r="V608" s="17"/>
      <c r="X608" s="17"/>
      <c r="Y608" s="17"/>
      <c r="AA608" s="17"/>
      <c r="AB608" s="17"/>
      <c r="AC608" s="17"/>
      <c r="AD608" s="32"/>
    </row>
    <row r="609" spans="14:30" x14ac:dyDescent="0.35">
      <c r="N609" s="10"/>
      <c r="P609" s="48"/>
      <c r="Q609" s="17"/>
      <c r="R609" s="17"/>
      <c r="S609" s="17"/>
      <c r="T609" s="17"/>
      <c r="U609" s="17"/>
      <c r="V609" s="17"/>
      <c r="X609" s="17"/>
      <c r="Y609" s="17"/>
      <c r="AA609" s="17"/>
      <c r="AB609" s="17"/>
      <c r="AC609" s="17"/>
      <c r="AD609" s="32"/>
    </row>
    <row r="610" spans="14:30" x14ac:dyDescent="0.35">
      <c r="N610" s="10"/>
      <c r="P610" s="48"/>
      <c r="Q610" s="17"/>
      <c r="R610" s="17"/>
      <c r="S610" s="17"/>
      <c r="T610" s="17"/>
      <c r="U610" s="17"/>
      <c r="V610" s="17"/>
      <c r="X610" s="17"/>
      <c r="Y610" s="17"/>
      <c r="AA610" s="17"/>
      <c r="AB610" s="17"/>
      <c r="AC610" s="17"/>
      <c r="AD610" s="32"/>
    </row>
    <row r="611" spans="14:30" x14ac:dyDescent="0.35">
      <c r="N611" s="10"/>
      <c r="P611" s="48"/>
      <c r="Q611" s="17"/>
      <c r="R611" s="17"/>
      <c r="S611" s="17"/>
      <c r="T611" s="17"/>
      <c r="U611" s="17"/>
      <c r="V611" s="17"/>
      <c r="X611" s="17"/>
      <c r="Y611" s="17"/>
      <c r="AA611" s="17"/>
      <c r="AB611" s="17"/>
      <c r="AC611" s="17"/>
      <c r="AD611" s="32"/>
    </row>
    <row r="612" spans="14:30" x14ac:dyDescent="0.35">
      <c r="N612" s="10"/>
      <c r="P612" s="48"/>
      <c r="Q612" s="17"/>
      <c r="R612" s="17"/>
      <c r="S612" s="17"/>
      <c r="T612" s="17"/>
      <c r="U612" s="17"/>
      <c r="V612" s="17"/>
      <c r="X612" s="17"/>
      <c r="Y612" s="17"/>
      <c r="AA612" s="17"/>
      <c r="AB612" s="17"/>
      <c r="AC612" s="17"/>
      <c r="AD612" s="32"/>
    </row>
    <row r="613" spans="14:30" x14ac:dyDescent="0.35">
      <c r="N613" s="10"/>
      <c r="P613" s="48"/>
      <c r="Q613" s="17"/>
      <c r="R613" s="17"/>
      <c r="S613" s="17"/>
      <c r="T613" s="17"/>
      <c r="U613" s="17"/>
      <c r="V613" s="17"/>
      <c r="X613" s="17"/>
      <c r="Y613" s="17"/>
      <c r="AA613" s="17"/>
      <c r="AB613" s="17"/>
      <c r="AC613" s="17"/>
      <c r="AD613" s="32"/>
    </row>
    <row r="614" spans="14:30" x14ac:dyDescent="0.35">
      <c r="N614" s="10"/>
      <c r="P614" s="48"/>
      <c r="Q614" s="17"/>
      <c r="R614" s="17"/>
      <c r="S614" s="17"/>
      <c r="T614" s="17"/>
      <c r="U614" s="17"/>
      <c r="V614" s="17"/>
      <c r="X614" s="17"/>
      <c r="Y614" s="17"/>
      <c r="AA614" s="17"/>
      <c r="AB614" s="17"/>
      <c r="AC614" s="17"/>
      <c r="AD614" s="32"/>
    </row>
    <row r="615" spans="14:30" x14ac:dyDescent="0.35">
      <c r="N615" s="10"/>
      <c r="P615" s="48"/>
      <c r="Q615" s="17"/>
      <c r="R615" s="17"/>
      <c r="S615" s="17"/>
      <c r="T615" s="17"/>
      <c r="U615" s="17"/>
      <c r="V615" s="17"/>
      <c r="X615" s="17"/>
      <c r="Y615" s="17"/>
      <c r="AA615" s="17"/>
      <c r="AB615" s="17"/>
      <c r="AC615" s="17"/>
      <c r="AD615" s="32"/>
    </row>
    <row r="616" spans="14:30" x14ac:dyDescent="0.35">
      <c r="N616" s="10"/>
      <c r="P616" s="48"/>
      <c r="Q616" s="17"/>
      <c r="R616" s="17"/>
      <c r="S616" s="17"/>
      <c r="T616" s="17"/>
      <c r="U616" s="17"/>
      <c r="V616" s="17"/>
      <c r="X616" s="17"/>
      <c r="Y616" s="17"/>
      <c r="AA616" s="17"/>
      <c r="AB616" s="17"/>
      <c r="AC616" s="17"/>
      <c r="AD616" s="32"/>
    </row>
    <row r="617" spans="14:30" x14ac:dyDescent="0.35">
      <c r="N617" s="10"/>
      <c r="P617" s="48"/>
      <c r="Q617" s="17"/>
      <c r="R617" s="17"/>
      <c r="S617" s="17"/>
      <c r="T617" s="17"/>
      <c r="U617" s="17"/>
      <c r="V617" s="17"/>
      <c r="X617" s="17"/>
      <c r="Y617" s="17"/>
      <c r="AA617" s="17"/>
      <c r="AB617" s="17"/>
      <c r="AC617" s="17"/>
      <c r="AD617" s="32"/>
    </row>
    <row r="618" spans="14:30" x14ac:dyDescent="0.35">
      <c r="N618" s="10"/>
      <c r="P618" s="48"/>
      <c r="Q618" s="17"/>
      <c r="R618" s="17"/>
      <c r="S618" s="17"/>
      <c r="T618" s="17"/>
      <c r="U618" s="17"/>
      <c r="V618" s="17"/>
      <c r="X618" s="17"/>
      <c r="Y618" s="17"/>
      <c r="AA618" s="17"/>
      <c r="AB618" s="17"/>
      <c r="AC618" s="17"/>
      <c r="AD618" s="32"/>
    </row>
    <row r="619" spans="14:30" x14ac:dyDescent="0.35">
      <c r="N619" s="10"/>
      <c r="P619" s="48"/>
      <c r="Q619" s="17"/>
      <c r="R619" s="17"/>
      <c r="S619" s="17"/>
      <c r="T619" s="17"/>
      <c r="U619" s="17"/>
      <c r="V619" s="17"/>
      <c r="X619" s="17"/>
      <c r="Y619" s="17"/>
      <c r="AA619" s="17"/>
      <c r="AB619" s="17"/>
      <c r="AC619" s="17"/>
      <c r="AD619" s="32"/>
    </row>
    <row r="620" spans="14:30" x14ac:dyDescent="0.35">
      <c r="N620" s="10"/>
      <c r="P620" s="48"/>
      <c r="Q620" s="17"/>
      <c r="R620" s="17"/>
      <c r="S620" s="17"/>
      <c r="T620" s="17"/>
      <c r="U620" s="17"/>
      <c r="V620" s="17"/>
      <c r="X620" s="17"/>
      <c r="Y620" s="17"/>
      <c r="AA620" s="17"/>
      <c r="AB620" s="17"/>
      <c r="AC620" s="17"/>
      <c r="AD620" s="32"/>
    </row>
    <row r="621" spans="14:30" x14ac:dyDescent="0.35">
      <c r="N621" s="10"/>
      <c r="P621" s="48"/>
      <c r="Q621" s="17"/>
      <c r="R621" s="17"/>
      <c r="S621" s="17"/>
      <c r="T621" s="17"/>
      <c r="U621" s="17"/>
      <c r="V621" s="17"/>
      <c r="X621" s="17"/>
      <c r="Y621" s="17"/>
      <c r="AA621" s="17"/>
      <c r="AB621" s="17"/>
      <c r="AC621" s="17"/>
      <c r="AD621" s="32"/>
    </row>
    <row r="622" spans="14:30" x14ac:dyDescent="0.35">
      <c r="N622" s="10"/>
      <c r="P622" s="48"/>
      <c r="Q622" s="17"/>
      <c r="R622" s="17"/>
      <c r="S622" s="17"/>
      <c r="T622" s="17"/>
      <c r="U622" s="17"/>
      <c r="V622" s="17"/>
      <c r="X622" s="17"/>
      <c r="Y622" s="17"/>
      <c r="AA622" s="17"/>
      <c r="AB622" s="17"/>
      <c r="AC622" s="17"/>
      <c r="AD622" s="32"/>
    </row>
    <row r="623" spans="14:30" x14ac:dyDescent="0.35">
      <c r="N623" s="10"/>
      <c r="P623" s="48"/>
      <c r="Q623" s="17"/>
      <c r="R623" s="17"/>
      <c r="S623" s="17"/>
      <c r="T623" s="17"/>
      <c r="U623" s="17"/>
      <c r="V623" s="17"/>
      <c r="X623" s="17"/>
      <c r="Y623" s="17"/>
      <c r="AA623" s="17"/>
      <c r="AB623" s="17"/>
      <c r="AC623" s="17"/>
      <c r="AD623" s="32"/>
    </row>
    <row r="624" spans="14:30" x14ac:dyDescent="0.35">
      <c r="N624" s="10"/>
      <c r="P624" s="48"/>
      <c r="Q624" s="17"/>
      <c r="R624" s="17"/>
      <c r="S624" s="17"/>
      <c r="T624" s="17"/>
      <c r="U624" s="17"/>
      <c r="V624" s="17"/>
      <c r="X624" s="17"/>
      <c r="Y624" s="17"/>
      <c r="AA624" s="17"/>
      <c r="AB624" s="17"/>
      <c r="AC624" s="17"/>
      <c r="AD624" s="32"/>
    </row>
    <row r="625" spans="14:30" x14ac:dyDescent="0.35">
      <c r="N625" s="10"/>
      <c r="P625" s="48"/>
      <c r="Q625" s="17"/>
      <c r="R625" s="17"/>
      <c r="S625" s="17"/>
      <c r="T625" s="17"/>
      <c r="U625" s="17"/>
      <c r="V625" s="17"/>
      <c r="X625" s="17"/>
      <c r="Y625" s="17"/>
      <c r="AA625" s="17"/>
      <c r="AB625" s="17"/>
      <c r="AC625" s="17"/>
      <c r="AD625" s="32"/>
    </row>
    <row r="626" spans="14:30" x14ac:dyDescent="0.35">
      <c r="N626" s="10"/>
      <c r="P626" s="48"/>
      <c r="Q626" s="17"/>
      <c r="R626" s="17"/>
      <c r="S626" s="17"/>
      <c r="T626" s="17"/>
      <c r="U626" s="17"/>
      <c r="V626" s="17"/>
      <c r="X626" s="17"/>
      <c r="Y626" s="17"/>
      <c r="AA626" s="17"/>
      <c r="AB626" s="17"/>
      <c r="AC626" s="17"/>
      <c r="AD626" s="32"/>
    </row>
    <row r="627" spans="14:30" x14ac:dyDescent="0.35">
      <c r="N627" s="10"/>
      <c r="P627" s="48"/>
      <c r="Q627" s="17"/>
      <c r="R627" s="17"/>
      <c r="S627" s="17"/>
      <c r="T627" s="17"/>
      <c r="U627" s="17"/>
      <c r="V627" s="17"/>
      <c r="X627" s="17"/>
      <c r="Y627" s="17"/>
      <c r="AA627" s="17"/>
      <c r="AB627" s="17"/>
      <c r="AC627" s="17"/>
      <c r="AD627" s="32"/>
    </row>
    <row r="628" spans="14:30" x14ac:dyDescent="0.35">
      <c r="N628" s="10"/>
      <c r="P628" s="48"/>
      <c r="Q628" s="17"/>
      <c r="R628" s="17"/>
      <c r="S628" s="17"/>
      <c r="T628" s="17"/>
      <c r="U628" s="17"/>
      <c r="V628" s="17"/>
      <c r="X628" s="17"/>
      <c r="Y628" s="17"/>
      <c r="AA628" s="17"/>
      <c r="AB628" s="17"/>
      <c r="AC628" s="17"/>
      <c r="AD628" s="32"/>
    </row>
    <row r="629" spans="14:30" x14ac:dyDescent="0.35">
      <c r="N629" s="10"/>
      <c r="P629" s="48"/>
      <c r="Q629" s="17"/>
      <c r="R629" s="17"/>
      <c r="S629" s="17"/>
      <c r="T629" s="17"/>
      <c r="U629" s="17"/>
      <c r="V629" s="17"/>
      <c r="X629" s="17"/>
      <c r="Y629" s="17"/>
      <c r="AA629" s="17"/>
      <c r="AB629" s="17"/>
      <c r="AC629" s="17"/>
      <c r="AD629" s="32"/>
    </row>
    <row r="630" spans="14:30" x14ac:dyDescent="0.35">
      <c r="N630" s="10"/>
      <c r="P630" s="48"/>
      <c r="Q630" s="17"/>
      <c r="R630" s="17"/>
      <c r="S630" s="17"/>
      <c r="T630" s="17"/>
      <c r="U630" s="17"/>
      <c r="V630" s="17"/>
      <c r="X630" s="17"/>
      <c r="Y630" s="17"/>
      <c r="AA630" s="17"/>
      <c r="AB630" s="17"/>
      <c r="AC630" s="17"/>
      <c r="AD630" s="32"/>
    </row>
    <row r="631" spans="14:30" x14ac:dyDescent="0.35">
      <c r="N631" s="10"/>
      <c r="P631" s="48"/>
      <c r="Q631" s="17"/>
      <c r="R631" s="17"/>
      <c r="S631" s="17"/>
      <c r="T631" s="17"/>
      <c r="U631" s="17"/>
      <c r="V631" s="17"/>
      <c r="X631" s="17"/>
      <c r="Y631" s="17"/>
      <c r="AA631" s="17"/>
      <c r="AB631" s="17"/>
      <c r="AC631" s="17"/>
      <c r="AD631" s="32"/>
    </row>
    <row r="632" spans="14:30" x14ac:dyDescent="0.35">
      <c r="N632" s="10"/>
      <c r="P632" s="48"/>
      <c r="Q632" s="17"/>
      <c r="R632" s="17"/>
      <c r="S632" s="17"/>
      <c r="T632" s="17"/>
      <c r="U632" s="17"/>
      <c r="V632" s="17"/>
      <c r="X632" s="17"/>
      <c r="Y632" s="17"/>
      <c r="AA632" s="17"/>
      <c r="AB632" s="17"/>
      <c r="AC632" s="17"/>
      <c r="AD632" s="32"/>
    </row>
    <row r="633" spans="14:30" x14ac:dyDescent="0.35">
      <c r="N633" s="10"/>
      <c r="P633" s="48"/>
      <c r="Q633" s="17"/>
      <c r="R633" s="17"/>
      <c r="S633" s="17"/>
      <c r="T633" s="17"/>
      <c r="U633" s="17"/>
      <c r="V633" s="17"/>
      <c r="X633" s="17"/>
      <c r="Y633" s="17"/>
      <c r="AA633" s="17"/>
      <c r="AB633" s="17"/>
      <c r="AC633" s="17"/>
      <c r="AD633" s="32"/>
    </row>
    <row r="634" spans="14:30" x14ac:dyDescent="0.35">
      <c r="N634" s="10"/>
      <c r="P634" s="48"/>
      <c r="Q634" s="17"/>
      <c r="R634" s="17"/>
      <c r="S634" s="17"/>
      <c r="T634" s="17"/>
      <c r="U634" s="17"/>
      <c r="V634" s="17"/>
      <c r="X634" s="17"/>
      <c r="Y634" s="17"/>
      <c r="AA634" s="17"/>
      <c r="AB634" s="17"/>
      <c r="AC634" s="17"/>
      <c r="AD634" s="32"/>
    </row>
    <row r="635" spans="14:30" x14ac:dyDescent="0.35">
      <c r="N635" s="10"/>
      <c r="P635" s="48"/>
      <c r="Q635" s="17"/>
      <c r="R635" s="17"/>
      <c r="S635" s="17"/>
      <c r="T635" s="17"/>
      <c r="U635" s="17"/>
      <c r="V635" s="17"/>
      <c r="X635" s="17"/>
      <c r="Y635" s="17"/>
      <c r="AA635" s="17"/>
      <c r="AB635" s="17"/>
      <c r="AC635" s="17"/>
      <c r="AD635" s="32"/>
    </row>
    <row r="636" spans="14:30" x14ac:dyDescent="0.35">
      <c r="N636" s="10"/>
      <c r="P636" s="48"/>
      <c r="Q636" s="17"/>
      <c r="R636" s="17"/>
      <c r="S636" s="17"/>
      <c r="T636" s="17"/>
      <c r="U636" s="17"/>
      <c r="V636" s="17"/>
      <c r="X636" s="17"/>
      <c r="Y636" s="17"/>
      <c r="AA636" s="17"/>
      <c r="AB636" s="17"/>
      <c r="AC636" s="17"/>
      <c r="AD636" s="32"/>
    </row>
    <row r="637" spans="14:30" x14ac:dyDescent="0.35">
      <c r="N637" s="10"/>
      <c r="P637" s="48"/>
      <c r="Q637" s="17"/>
      <c r="R637" s="17"/>
      <c r="S637" s="17"/>
      <c r="T637" s="17"/>
      <c r="U637" s="17"/>
      <c r="V637" s="17"/>
      <c r="X637" s="17"/>
      <c r="Y637" s="17"/>
      <c r="AA637" s="17"/>
      <c r="AB637" s="17"/>
      <c r="AC637" s="17"/>
      <c r="AD637" s="32"/>
    </row>
    <row r="638" spans="14:30" x14ac:dyDescent="0.35">
      <c r="N638" s="10"/>
      <c r="P638" s="48"/>
      <c r="Q638" s="17"/>
      <c r="R638" s="17"/>
      <c r="S638" s="17"/>
      <c r="T638" s="17"/>
      <c r="U638" s="17"/>
      <c r="V638" s="17"/>
      <c r="X638" s="17"/>
      <c r="Y638" s="17"/>
      <c r="AA638" s="17"/>
      <c r="AB638" s="17"/>
      <c r="AC638" s="17"/>
      <c r="AD638" s="32"/>
    </row>
    <row r="639" spans="14:30" x14ac:dyDescent="0.35">
      <c r="N639" s="10"/>
      <c r="P639" s="48"/>
      <c r="Q639" s="17"/>
      <c r="R639" s="17"/>
      <c r="S639" s="17"/>
      <c r="T639" s="17"/>
      <c r="U639" s="17"/>
      <c r="V639" s="17"/>
      <c r="X639" s="17"/>
      <c r="Y639" s="17"/>
      <c r="AA639" s="17"/>
      <c r="AB639" s="17"/>
      <c r="AC639" s="17"/>
      <c r="AD639" s="32"/>
    </row>
    <row r="640" spans="14:30" x14ac:dyDescent="0.35">
      <c r="N640" s="10"/>
      <c r="P640" s="48"/>
      <c r="Q640" s="17"/>
      <c r="R640" s="17"/>
      <c r="S640" s="17"/>
      <c r="T640" s="17"/>
      <c r="U640" s="17"/>
      <c r="V640" s="17"/>
      <c r="X640" s="17"/>
      <c r="Y640" s="17"/>
      <c r="AA640" s="17"/>
      <c r="AB640" s="17"/>
      <c r="AC640" s="17"/>
      <c r="AD640" s="32"/>
    </row>
    <row r="641" spans="14:30" x14ac:dyDescent="0.35">
      <c r="N641" s="10"/>
      <c r="P641" s="48"/>
      <c r="Q641" s="17"/>
      <c r="R641" s="17"/>
      <c r="S641" s="17"/>
      <c r="T641" s="17"/>
      <c r="U641" s="17"/>
      <c r="V641" s="17"/>
      <c r="X641" s="17"/>
      <c r="Y641" s="17"/>
      <c r="AA641" s="17"/>
      <c r="AB641" s="17"/>
      <c r="AC641" s="17"/>
      <c r="AD641" s="32"/>
    </row>
    <row r="642" spans="14:30" x14ac:dyDescent="0.35">
      <c r="N642" s="10"/>
      <c r="P642" s="48"/>
      <c r="Q642" s="17"/>
      <c r="R642" s="17"/>
      <c r="S642" s="17"/>
      <c r="T642" s="17"/>
      <c r="U642" s="17"/>
      <c r="V642" s="17"/>
      <c r="X642" s="17"/>
      <c r="Y642" s="17"/>
      <c r="AA642" s="17"/>
      <c r="AB642" s="17"/>
      <c r="AC642" s="17"/>
      <c r="AD642" s="32"/>
    </row>
    <row r="643" spans="14:30" x14ac:dyDescent="0.35">
      <c r="N643" s="10"/>
      <c r="P643" s="48"/>
      <c r="Q643" s="17"/>
      <c r="R643" s="17"/>
      <c r="S643" s="17"/>
      <c r="T643" s="17"/>
      <c r="U643" s="17"/>
      <c r="V643" s="17"/>
      <c r="X643" s="17"/>
      <c r="Y643" s="17"/>
      <c r="AA643" s="17"/>
      <c r="AB643" s="17"/>
      <c r="AC643" s="17"/>
      <c r="AD643" s="32"/>
    </row>
    <row r="644" spans="14:30" x14ac:dyDescent="0.35">
      <c r="N644" s="10"/>
      <c r="P644" s="48"/>
      <c r="Q644" s="17"/>
      <c r="R644" s="17"/>
      <c r="S644" s="17"/>
      <c r="T644" s="17"/>
      <c r="U644" s="17"/>
      <c r="V644" s="17"/>
      <c r="X644" s="17"/>
      <c r="Y644" s="17"/>
      <c r="AA644" s="17"/>
      <c r="AB644" s="17"/>
      <c r="AC644" s="17"/>
      <c r="AD644" s="32"/>
    </row>
    <row r="645" spans="14:30" x14ac:dyDescent="0.35">
      <c r="N645" s="10"/>
      <c r="P645" s="48"/>
      <c r="Q645" s="17"/>
      <c r="R645" s="17"/>
      <c r="S645" s="17"/>
      <c r="T645" s="17"/>
      <c r="U645" s="17"/>
      <c r="V645" s="17"/>
      <c r="X645" s="17"/>
      <c r="Y645" s="17"/>
      <c r="AA645" s="17"/>
      <c r="AB645" s="17"/>
      <c r="AC645" s="17"/>
      <c r="AD645" s="32"/>
    </row>
    <row r="646" spans="14:30" x14ac:dyDescent="0.35">
      <c r="N646" s="10"/>
      <c r="P646" s="48"/>
      <c r="Q646" s="17"/>
      <c r="R646" s="17"/>
      <c r="S646" s="17"/>
      <c r="T646" s="17"/>
      <c r="U646" s="17"/>
      <c r="V646" s="17"/>
      <c r="X646" s="17"/>
      <c r="Y646" s="17"/>
      <c r="AA646" s="17"/>
      <c r="AB646" s="17"/>
      <c r="AC646" s="17"/>
      <c r="AD646" s="32"/>
    </row>
    <row r="647" spans="14:30" x14ac:dyDescent="0.35">
      <c r="N647" s="10"/>
      <c r="P647" s="48"/>
      <c r="Q647" s="17"/>
      <c r="R647" s="17"/>
      <c r="S647" s="17"/>
      <c r="T647" s="17"/>
      <c r="U647" s="17"/>
      <c r="V647" s="17"/>
      <c r="X647" s="17"/>
      <c r="Y647" s="17"/>
      <c r="AA647" s="17"/>
      <c r="AB647" s="17"/>
      <c r="AC647" s="17"/>
      <c r="AD647" s="32"/>
    </row>
    <row r="648" spans="14:30" x14ac:dyDescent="0.35">
      <c r="N648" s="10"/>
      <c r="P648" s="48"/>
      <c r="Q648" s="17"/>
      <c r="R648" s="17"/>
      <c r="S648" s="17"/>
      <c r="T648" s="17"/>
      <c r="U648" s="17"/>
      <c r="V648" s="17"/>
      <c r="X648" s="17"/>
      <c r="Y648" s="17"/>
      <c r="AA648" s="17"/>
      <c r="AB648" s="17"/>
      <c r="AC648" s="17"/>
      <c r="AD648" s="32"/>
    </row>
    <row r="649" spans="14:30" x14ac:dyDescent="0.35">
      <c r="N649" s="10"/>
      <c r="P649" s="48"/>
      <c r="Q649" s="17"/>
      <c r="R649" s="17"/>
      <c r="S649" s="17"/>
      <c r="T649" s="17"/>
      <c r="U649" s="17"/>
      <c r="V649" s="17"/>
      <c r="X649" s="17"/>
      <c r="Y649" s="17"/>
      <c r="AA649" s="17"/>
      <c r="AB649" s="17"/>
      <c r="AC649" s="17"/>
      <c r="AD649" s="32"/>
    </row>
    <row r="650" spans="14:30" x14ac:dyDescent="0.35">
      <c r="N650" s="10"/>
      <c r="P650" s="48"/>
      <c r="Q650" s="17"/>
      <c r="R650" s="17"/>
      <c r="S650" s="17"/>
      <c r="T650" s="17"/>
      <c r="U650" s="17"/>
      <c r="V650" s="17"/>
      <c r="X650" s="17"/>
      <c r="Y650" s="17"/>
      <c r="AA650" s="17"/>
      <c r="AB650" s="17"/>
      <c r="AC650" s="17"/>
      <c r="AD650" s="32"/>
    </row>
    <row r="651" spans="14:30" x14ac:dyDescent="0.35">
      <c r="N651" s="10"/>
      <c r="P651" s="48"/>
      <c r="Q651" s="17"/>
      <c r="R651" s="17"/>
      <c r="S651" s="17"/>
      <c r="T651" s="17"/>
      <c r="U651" s="17"/>
      <c r="V651" s="17"/>
      <c r="X651" s="17"/>
      <c r="Y651" s="17"/>
      <c r="AA651" s="17"/>
      <c r="AB651" s="17"/>
      <c r="AC651" s="17"/>
      <c r="AD651" s="32"/>
    </row>
    <row r="652" spans="14:30" x14ac:dyDescent="0.35">
      <c r="N652" s="10"/>
      <c r="P652" s="48"/>
      <c r="Q652" s="17"/>
      <c r="R652" s="17"/>
      <c r="S652" s="17"/>
      <c r="T652" s="17"/>
      <c r="U652" s="17"/>
      <c r="V652" s="17"/>
      <c r="X652" s="17"/>
      <c r="Y652" s="17"/>
      <c r="AA652" s="17"/>
      <c r="AB652" s="17"/>
      <c r="AC652" s="17"/>
      <c r="AD652" s="32"/>
    </row>
    <row r="653" spans="14:30" x14ac:dyDescent="0.35">
      <c r="N653" s="10"/>
      <c r="P653" s="48"/>
      <c r="Q653" s="17"/>
      <c r="R653" s="17"/>
      <c r="S653" s="17"/>
      <c r="T653" s="17"/>
      <c r="U653" s="17"/>
      <c r="V653" s="17"/>
      <c r="X653" s="17"/>
      <c r="Y653" s="17"/>
      <c r="AA653" s="17"/>
      <c r="AB653" s="17"/>
      <c r="AC653" s="17"/>
      <c r="AD653" s="32"/>
    </row>
    <row r="654" spans="14:30" x14ac:dyDescent="0.35">
      <c r="N654" s="10"/>
      <c r="P654" s="48"/>
      <c r="Q654" s="17"/>
      <c r="R654" s="17"/>
      <c r="S654" s="17"/>
      <c r="T654" s="17"/>
      <c r="U654" s="17"/>
      <c r="V654" s="17"/>
      <c r="X654" s="17"/>
      <c r="Y654" s="17"/>
      <c r="AA654" s="17"/>
      <c r="AB654" s="17"/>
      <c r="AC654" s="17"/>
      <c r="AD654" s="32"/>
    </row>
    <row r="655" spans="14:30" x14ac:dyDescent="0.35">
      <c r="N655" s="10"/>
      <c r="P655" s="48"/>
      <c r="Q655" s="17"/>
      <c r="R655" s="17"/>
      <c r="S655" s="17"/>
      <c r="T655" s="17"/>
      <c r="U655" s="17"/>
      <c r="V655" s="17"/>
      <c r="X655" s="17"/>
      <c r="Y655" s="17"/>
      <c r="AA655" s="17"/>
      <c r="AB655" s="17"/>
      <c r="AC655" s="17"/>
      <c r="AD655" s="32"/>
    </row>
    <row r="656" spans="14:30" x14ac:dyDescent="0.35">
      <c r="N656" s="10"/>
      <c r="P656" s="48"/>
      <c r="Q656" s="17"/>
      <c r="R656" s="17"/>
      <c r="S656" s="17"/>
      <c r="T656" s="17"/>
      <c r="U656" s="17"/>
      <c r="V656" s="17"/>
      <c r="X656" s="17"/>
      <c r="Y656" s="17"/>
      <c r="AA656" s="17"/>
      <c r="AB656" s="17"/>
      <c r="AC656" s="17"/>
      <c r="AD656" s="32"/>
    </row>
    <row r="657" spans="14:30" x14ac:dyDescent="0.35">
      <c r="N657" s="10"/>
      <c r="P657" s="48"/>
      <c r="Q657" s="17"/>
      <c r="R657" s="17"/>
      <c r="S657" s="17"/>
      <c r="T657" s="17"/>
      <c r="U657" s="17"/>
      <c r="V657" s="17"/>
      <c r="X657" s="17"/>
      <c r="Y657" s="17"/>
      <c r="AA657" s="17"/>
      <c r="AB657" s="17"/>
      <c r="AC657" s="17"/>
      <c r="AD657" s="32"/>
    </row>
    <row r="658" spans="14:30" x14ac:dyDescent="0.35">
      <c r="N658" s="10"/>
      <c r="P658" s="48"/>
      <c r="Q658" s="17"/>
      <c r="R658" s="17"/>
      <c r="S658" s="17"/>
      <c r="T658" s="17"/>
      <c r="U658" s="17"/>
      <c r="V658" s="17"/>
      <c r="X658" s="17"/>
      <c r="Y658" s="17"/>
      <c r="AA658" s="17"/>
      <c r="AB658" s="17"/>
      <c r="AC658" s="17"/>
      <c r="AD658" s="32"/>
    </row>
    <row r="659" spans="14:30" x14ac:dyDescent="0.35">
      <c r="N659" s="10"/>
      <c r="P659" s="48"/>
      <c r="Q659" s="17"/>
      <c r="R659" s="17"/>
      <c r="S659" s="17"/>
      <c r="T659" s="17"/>
      <c r="U659" s="17"/>
      <c r="V659" s="17"/>
      <c r="X659" s="17"/>
      <c r="Y659" s="17"/>
      <c r="AA659" s="17"/>
      <c r="AB659" s="17"/>
      <c r="AC659" s="17"/>
      <c r="AD659" s="32"/>
    </row>
    <row r="660" spans="14:30" x14ac:dyDescent="0.35">
      <c r="N660" s="10"/>
      <c r="P660" s="48"/>
      <c r="Q660" s="17"/>
      <c r="R660" s="17"/>
      <c r="S660" s="17"/>
      <c r="T660" s="17"/>
      <c r="U660" s="17"/>
      <c r="V660" s="17"/>
      <c r="X660" s="17"/>
      <c r="Y660" s="17"/>
      <c r="AA660" s="17"/>
      <c r="AB660" s="17"/>
      <c r="AC660" s="17"/>
      <c r="AD660" s="32"/>
    </row>
    <row r="661" spans="14:30" x14ac:dyDescent="0.35">
      <c r="N661" s="10"/>
      <c r="P661" s="48"/>
      <c r="Q661" s="17"/>
      <c r="R661" s="17"/>
      <c r="S661" s="17"/>
      <c r="T661" s="17"/>
      <c r="U661" s="17"/>
      <c r="V661" s="17"/>
      <c r="X661" s="17"/>
      <c r="Y661" s="17"/>
      <c r="AA661" s="17"/>
      <c r="AB661" s="17"/>
      <c r="AC661" s="17"/>
      <c r="AD661" s="32"/>
    </row>
    <row r="662" spans="14:30" x14ac:dyDescent="0.35">
      <c r="N662" s="10"/>
      <c r="P662" s="48"/>
      <c r="Q662" s="17"/>
      <c r="R662" s="17"/>
      <c r="S662" s="17"/>
      <c r="T662" s="17"/>
      <c r="U662" s="17"/>
      <c r="V662" s="17"/>
      <c r="X662" s="17"/>
      <c r="Y662" s="17"/>
      <c r="AA662" s="17"/>
      <c r="AB662" s="17"/>
      <c r="AC662" s="17"/>
      <c r="AD662" s="32"/>
    </row>
    <row r="663" spans="14:30" x14ac:dyDescent="0.35">
      <c r="N663" s="10"/>
      <c r="P663" s="48"/>
      <c r="Q663" s="17"/>
      <c r="R663" s="17"/>
      <c r="S663" s="17"/>
      <c r="T663" s="17"/>
      <c r="U663" s="17"/>
      <c r="V663" s="17"/>
      <c r="X663" s="17"/>
      <c r="Y663" s="17"/>
      <c r="AA663" s="17"/>
      <c r="AB663" s="17"/>
      <c r="AC663" s="17"/>
      <c r="AD663" s="32"/>
    </row>
    <row r="664" spans="14:30" x14ac:dyDescent="0.35">
      <c r="N664" s="10"/>
      <c r="P664" s="48"/>
      <c r="Q664" s="17"/>
      <c r="R664" s="17"/>
      <c r="S664" s="17"/>
      <c r="T664" s="17"/>
      <c r="U664" s="17"/>
      <c r="V664" s="17"/>
      <c r="X664" s="17"/>
      <c r="Y664" s="17"/>
      <c r="AA664" s="17"/>
      <c r="AB664" s="17"/>
      <c r="AC664" s="17"/>
      <c r="AD664" s="32"/>
    </row>
    <row r="665" spans="14:30" x14ac:dyDescent="0.35">
      <c r="N665" s="10"/>
      <c r="P665" s="48"/>
      <c r="Q665" s="17"/>
      <c r="R665" s="17"/>
      <c r="S665" s="17"/>
      <c r="T665" s="17"/>
      <c r="U665" s="17"/>
      <c r="V665" s="17"/>
      <c r="X665" s="17"/>
      <c r="Y665" s="17"/>
      <c r="AA665" s="17"/>
      <c r="AB665" s="17"/>
      <c r="AC665" s="17"/>
      <c r="AD665" s="32"/>
    </row>
    <row r="666" spans="14:30" x14ac:dyDescent="0.35">
      <c r="N666" s="10"/>
      <c r="P666" s="48"/>
      <c r="Q666" s="17"/>
      <c r="R666" s="17"/>
      <c r="S666" s="17"/>
      <c r="T666" s="17"/>
      <c r="U666" s="17"/>
      <c r="V666" s="17"/>
      <c r="X666" s="17"/>
      <c r="Y666" s="17"/>
      <c r="AA666" s="17"/>
      <c r="AB666" s="17"/>
      <c r="AC666" s="17"/>
      <c r="AD666" s="32"/>
    </row>
    <row r="667" spans="14:30" x14ac:dyDescent="0.35">
      <c r="N667" s="10"/>
      <c r="P667" s="48"/>
      <c r="Q667" s="17"/>
      <c r="R667" s="17"/>
      <c r="S667" s="17"/>
      <c r="T667" s="17"/>
      <c r="U667" s="17"/>
      <c r="V667" s="17"/>
      <c r="X667" s="17"/>
      <c r="Y667" s="17"/>
      <c r="AA667" s="17"/>
      <c r="AB667" s="17"/>
      <c r="AC667" s="17"/>
      <c r="AD667" s="32"/>
    </row>
    <row r="668" spans="14:30" x14ac:dyDescent="0.35">
      <c r="N668" s="10"/>
      <c r="P668" s="48"/>
      <c r="Q668" s="17"/>
      <c r="R668" s="17"/>
      <c r="S668" s="17"/>
      <c r="T668" s="17"/>
      <c r="U668" s="17"/>
      <c r="V668" s="17"/>
      <c r="X668" s="17"/>
      <c r="Y668" s="17"/>
      <c r="AA668" s="17"/>
      <c r="AB668" s="17"/>
      <c r="AC668" s="17"/>
      <c r="AD668" s="32"/>
    </row>
    <row r="669" spans="14:30" x14ac:dyDescent="0.35">
      <c r="N669" s="10"/>
      <c r="P669" s="48"/>
      <c r="Q669" s="17"/>
      <c r="R669" s="17"/>
      <c r="S669" s="17"/>
      <c r="T669" s="17"/>
      <c r="U669" s="17"/>
      <c r="V669" s="17"/>
      <c r="X669" s="17"/>
      <c r="Y669" s="17"/>
      <c r="AA669" s="17"/>
      <c r="AB669" s="17"/>
      <c r="AC669" s="17"/>
      <c r="AD669" s="32"/>
    </row>
    <row r="670" spans="14:30" x14ac:dyDescent="0.35">
      <c r="N670" s="10"/>
      <c r="P670" s="48"/>
      <c r="Q670" s="17"/>
      <c r="R670" s="17"/>
      <c r="S670" s="17"/>
      <c r="T670" s="17"/>
      <c r="U670" s="17"/>
      <c r="V670" s="17"/>
      <c r="X670" s="17"/>
      <c r="Y670" s="17"/>
      <c r="AA670" s="17"/>
      <c r="AB670" s="17"/>
      <c r="AC670" s="17"/>
      <c r="AD670" s="32"/>
    </row>
    <row r="671" spans="14:30" x14ac:dyDescent="0.35">
      <c r="N671" s="10"/>
      <c r="P671" s="48"/>
      <c r="Q671" s="17"/>
      <c r="R671" s="17"/>
      <c r="S671" s="17"/>
      <c r="T671" s="17"/>
      <c r="U671" s="17"/>
      <c r="V671" s="17"/>
      <c r="X671" s="17"/>
      <c r="Y671" s="17"/>
      <c r="AA671" s="17"/>
      <c r="AB671" s="17"/>
      <c r="AC671" s="17"/>
      <c r="AD671" s="32"/>
    </row>
    <row r="672" spans="14:30" x14ac:dyDescent="0.35">
      <c r="N672" s="10"/>
      <c r="P672" s="48"/>
      <c r="Q672" s="17"/>
      <c r="R672" s="17"/>
      <c r="S672" s="17"/>
      <c r="T672" s="17"/>
      <c r="U672" s="17"/>
      <c r="V672" s="17"/>
      <c r="X672" s="17"/>
      <c r="Y672" s="17"/>
      <c r="AA672" s="17"/>
      <c r="AB672" s="17"/>
      <c r="AC672" s="17"/>
      <c r="AD672" s="32"/>
    </row>
    <row r="673" spans="14:30" x14ac:dyDescent="0.35">
      <c r="N673" s="10"/>
      <c r="P673" s="48"/>
      <c r="Q673" s="17"/>
      <c r="R673" s="17"/>
      <c r="S673" s="17"/>
      <c r="T673" s="17"/>
      <c r="U673" s="17"/>
      <c r="V673" s="17"/>
      <c r="X673" s="17"/>
      <c r="Y673" s="17"/>
      <c r="AA673" s="17"/>
      <c r="AB673" s="17"/>
      <c r="AC673" s="17"/>
      <c r="AD673" s="32"/>
    </row>
    <row r="674" spans="14:30" x14ac:dyDescent="0.35">
      <c r="N674" s="10"/>
      <c r="P674" s="48"/>
      <c r="Q674" s="17"/>
      <c r="R674" s="17"/>
      <c r="S674" s="17"/>
      <c r="T674" s="17"/>
      <c r="U674" s="17"/>
      <c r="V674" s="17"/>
      <c r="X674" s="17"/>
      <c r="Y674" s="17"/>
      <c r="AA674" s="17"/>
      <c r="AB674" s="17"/>
      <c r="AC674" s="17"/>
      <c r="AD674" s="32"/>
    </row>
    <row r="675" spans="14:30" x14ac:dyDescent="0.35">
      <c r="N675" s="10"/>
      <c r="P675" s="48"/>
      <c r="Q675" s="17"/>
      <c r="R675" s="17"/>
      <c r="S675" s="17"/>
      <c r="T675" s="17"/>
      <c r="U675" s="17"/>
      <c r="V675" s="17"/>
      <c r="X675" s="17"/>
      <c r="Y675" s="17"/>
      <c r="AA675" s="17"/>
      <c r="AB675" s="17"/>
      <c r="AC675" s="17"/>
      <c r="AD675" s="32"/>
    </row>
    <row r="676" spans="14:30" x14ac:dyDescent="0.35">
      <c r="N676" s="10"/>
      <c r="P676" s="48"/>
      <c r="Q676" s="17"/>
      <c r="R676" s="17"/>
      <c r="S676" s="17"/>
      <c r="T676" s="17"/>
      <c r="U676" s="17"/>
      <c r="V676" s="17"/>
      <c r="X676" s="17"/>
      <c r="Y676" s="17"/>
      <c r="AA676" s="17"/>
      <c r="AB676" s="17"/>
      <c r="AC676" s="17"/>
      <c r="AD676" s="32"/>
    </row>
    <row r="677" spans="14:30" x14ac:dyDescent="0.35">
      <c r="N677" s="10"/>
      <c r="P677" s="48"/>
      <c r="Q677" s="17"/>
      <c r="R677" s="17"/>
      <c r="S677" s="17"/>
      <c r="T677" s="17"/>
      <c r="U677" s="17"/>
      <c r="V677" s="17"/>
      <c r="X677" s="17"/>
      <c r="Y677" s="17"/>
      <c r="AA677" s="17"/>
      <c r="AB677" s="17"/>
      <c r="AC677" s="17"/>
      <c r="AD677" s="32"/>
    </row>
    <row r="678" spans="14:30" x14ac:dyDescent="0.35">
      <c r="N678" s="10"/>
      <c r="P678" s="48"/>
      <c r="Q678" s="17"/>
      <c r="R678" s="17"/>
      <c r="S678" s="17"/>
      <c r="T678" s="17"/>
      <c r="U678" s="17"/>
      <c r="V678" s="17"/>
      <c r="X678" s="17"/>
      <c r="Y678" s="17"/>
      <c r="AA678" s="17"/>
      <c r="AB678" s="17"/>
      <c r="AC678" s="17"/>
      <c r="AD678" s="32"/>
    </row>
    <row r="679" spans="14:30" x14ac:dyDescent="0.35">
      <c r="N679" s="10"/>
      <c r="P679" s="48"/>
      <c r="Q679" s="17"/>
      <c r="R679" s="17"/>
      <c r="S679" s="17"/>
      <c r="T679" s="17"/>
      <c r="U679" s="17"/>
      <c r="V679" s="17"/>
      <c r="X679" s="17"/>
      <c r="Y679" s="17"/>
      <c r="AA679" s="17"/>
      <c r="AB679" s="17"/>
      <c r="AC679" s="17"/>
      <c r="AD679" s="32"/>
    </row>
    <row r="680" spans="14:30" x14ac:dyDescent="0.35">
      <c r="N680" s="10"/>
      <c r="P680" s="48"/>
      <c r="Q680" s="17"/>
      <c r="R680" s="17"/>
      <c r="S680" s="17"/>
      <c r="T680" s="17"/>
      <c r="U680" s="17"/>
      <c r="V680" s="17"/>
      <c r="X680" s="17"/>
      <c r="Y680" s="17"/>
      <c r="AA680" s="17"/>
      <c r="AB680" s="17"/>
      <c r="AC680" s="17"/>
      <c r="AD680" s="32"/>
    </row>
    <row r="681" spans="14:30" x14ac:dyDescent="0.35">
      <c r="N681" s="10"/>
      <c r="P681" s="48"/>
      <c r="Q681" s="17"/>
      <c r="R681" s="17"/>
      <c r="S681" s="17"/>
      <c r="T681" s="17"/>
      <c r="U681" s="17"/>
      <c r="V681" s="17"/>
      <c r="X681" s="17"/>
      <c r="Y681" s="17"/>
      <c r="AA681" s="17"/>
      <c r="AB681" s="17"/>
      <c r="AC681" s="17"/>
      <c r="AD681" s="32"/>
    </row>
    <row r="682" spans="14:30" x14ac:dyDescent="0.35">
      <c r="N682" s="10"/>
      <c r="P682" s="48"/>
      <c r="Q682" s="17"/>
      <c r="R682" s="17"/>
      <c r="S682" s="17"/>
      <c r="T682" s="17"/>
      <c r="U682" s="17"/>
      <c r="V682" s="17"/>
      <c r="X682" s="17"/>
      <c r="Y682" s="17"/>
      <c r="AA682" s="17"/>
      <c r="AB682" s="17"/>
      <c r="AC682" s="17"/>
      <c r="AD682" s="32"/>
    </row>
    <row r="683" spans="14:30" x14ac:dyDescent="0.35">
      <c r="N683" s="10"/>
      <c r="P683" s="48"/>
      <c r="Q683" s="17"/>
      <c r="R683" s="17"/>
      <c r="S683" s="17"/>
      <c r="T683" s="17"/>
      <c r="U683" s="17"/>
      <c r="V683" s="17"/>
      <c r="X683" s="17"/>
      <c r="Y683" s="17"/>
      <c r="AA683" s="17"/>
      <c r="AB683" s="17"/>
      <c r="AC683" s="17"/>
      <c r="AD683" s="32"/>
    </row>
    <row r="684" spans="14:30" x14ac:dyDescent="0.35">
      <c r="N684" s="10"/>
      <c r="P684" s="48"/>
      <c r="Q684" s="17"/>
      <c r="R684" s="17"/>
      <c r="S684" s="17"/>
      <c r="T684" s="17"/>
      <c r="U684" s="17"/>
      <c r="V684" s="17"/>
      <c r="X684" s="17"/>
      <c r="Y684" s="17"/>
      <c r="AA684" s="17"/>
      <c r="AB684" s="17"/>
      <c r="AC684" s="17"/>
      <c r="AD684" s="32"/>
    </row>
    <row r="685" spans="14:30" x14ac:dyDescent="0.35">
      <c r="N685" s="10"/>
      <c r="P685" s="48"/>
      <c r="Q685" s="17"/>
      <c r="R685" s="17"/>
      <c r="S685" s="17"/>
      <c r="T685" s="17"/>
      <c r="U685" s="17"/>
      <c r="V685" s="17"/>
      <c r="X685" s="17"/>
      <c r="Y685" s="17"/>
      <c r="AA685" s="17"/>
      <c r="AB685" s="17"/>
      <c r="AC685" s="17"/>
      <c r="AD685" s="32"/>
    </row>
    <row r="686" spans="14:30" x14ac:dyDescent="0.35">
      <c r="N686" s="10"/>
      <c r="P686" s="48"/>
      <c r="Q686" s="17"/>
      <c r="R686" s="17"/>
      <c r="S686" s="17"/>
      <c r="T686" s="17"/>
      <c r="U686" s="17"/>
      <c r="V686" s="17"/>
      <c r="X686" s="17"/>
      <c r="Y686" s="17"/>
      <c r="AA686" s="17"/>
      <c r="AB686" s="17"/>
      <c r="AC686" s="17"/>
      <c r="AD686" s="32"/>
    </row>
    <row r="687" spans="14:30" x14ac:dyDescent="0.35">
      <c r="N687" s="10"/>
      <c r="P687" s="48"/>
      <c r="Q687" s="17"/>
      <c r="R687" s="17"/>
      <c r="S687" s="17"/>
      <c r="T687" s="17"/>
      <c r="U687" s="17"/>
      <c r="V687" s="17"/>
      <c r="X687" s="17"/>
      <c r="Y687" s="17"/>
      <c r="AA687" s="17"/>
      <c r="AB687" s="17"/>
      <c r="AC687" s="17"/>
      <c r="AD687" s="32"/>
    </row>
    <row r="688" spans="14:30" x14ac:dyDescent="0.35">
      <c r="N688" s="10"/>
      <c r="P688" s="48"/>
      <c r="Q688" s="17"/>
      <c r="R688" s="17"/>
      <c r="S688" s="17"/>
      <c r="T688" s="17"/>
      <c r="U688" s="17"/>
      <c r="V688" s="17"/>
      <c r="X688" s="17"/>
      <c r="Y688" s="17"/>
      <c r="AA688" s="17"/>
      <c r="AB688" s="17"/>
      <c r="AC688" s="17"/>
      <c r="AD688" s="32"/>
    </row>
    <row r="689" spans="14:30" x14ac:dyDescent="0.35">
      <c r="N689" s="10"/>
      <c r="P689" s="48"/>
      <c r="Q689" s="17"/>
      <c r="R689" s="17"/>
      <c r="S689" s="17"/>
      <c r="T689" s="17"/>
      <c r="U689" s="17"/>
      <c r="V689" s="17"/>
      <c r="X689" s="17"/>
      <c r="Y689" s="17"/>
      <c r="AA689" s="17"/>
      <c r="AB689" s="17"/>
      <c r="AC689" s="17"/>
      <c r="AD689" s="32"/>
    </row>
    <row r="690" spans="14:30" x14ac:dyDescent="0.35">
      <c r="N690" s="10"/>
      <c r="P690" s="48"/>
      <c r="Q690" s="17"/>
      <c r="R690" s="17"/>
      <c r="S690" s="17"/>
      <c r="T690" s="17"/>
      <c r="U690" s="17"/>
      <c r="V690" s="17"/>
      <c r="X690" s="17"/>
      <c r="Y690" s="17"/>
      <c r="AA690" s="17"/>
      <c r="AB690" s="17"/>
      <c r="AC690" s="17"/>
      <c r="AD690" s="32"/>
    </row>
    <row r="691" spans="14:30" x14ac:dyDescent="0.35">
      <c r="N691" s="10"/>
      <c r="P691" s="48"/>
      <c r="Q691" s="17"/>
      <c r="R691" s="17"/>
      <c r="S691" s="17"/>
      <c r="T691" s="17"/>
      <c r="U691" s="17"/>
      <c r="V691" s="17"/>
      <c r="X691" s="17"/>
      <c r="Y691" s="17"/>
      <c r="AA691" s="17"/>
      <c r="AB691" s="17"/>
      <c r="AC691" s="17"/>
      <c r="AD691" s="32"/>
    </row>
    <row r="692" spans="14:30" x14ac:dyDescent="0.35">
      <c r="N692" s="10"/>
      <c r="P692" s="48"/>
      <c r="Q692" s="17"/>
      <c r="R692" s="17"/>
      <c r="S692" s="17"/>
      <c r="T692" s="17"/>
      <c r="U692" s="17"/>
      <c r="V692" s="17"/>
      <c r="X692" s="17"/>
      <c r="Y692" s="17"/>
      <c r="AA692" s="17"/>
      <c r="AB692" s="17"/>
      <c r="AC692" s="17"/>
      <c r="AD692" s="32"/>
    </row>
    <row r="693" spans="14:30" x14ac:dyDescent="0.35">
      <c r="N693" s="10"/>
      <c r="P693" s="48"/>
      <c r="Q693" s="17"/>
      <c r="R693" s="17"/>
      <c r="S693" s="17"/>
      <c r="T693" s="17"/>
      <c r="U693" s="17"/>
      <c r="V693" s="17"/>
      <c r="X693" s="17"/>
      <c r="Y693" s="17"/>
      <c r="AA693" s="17"/>
      <c r="AB693" s="17"/>
      <c r="AC693" s="17"/>
      <c r="AD693" s="32"/>
    </row>
    <row r="694" spans="14:30" x14ac:dyDescent="0.35">
      <c r="N694" s="10"/>
      <c r="P694" s="48"/>
      <c r="Q694" s="17"/>
      <c r="R694" s="17"/>
      <c r="S694" s="17"/>
      <c r="T694" s="17"/>
      <c r="U694" s="17"/>
      <c r="V694" s="17"/>
      <c r="X694" s="17"/>
      <c r="Y694" s="17"/>
      <c r="AA694" s="17"/>
      <c r="AB694" s="17"/>
      <c r="AC694" s="17"/>
      <c r="AD694" s="32"/>
    </row>
    <row r="695" spans="14:30" x14ac:dyDescent="0.35">
      <c r="N695" s="10"/>
      <c r="P695" s="48"/>
      <c r="Q695" s="17"/>
      <c r="R695" s="17"/>
      <c r="S695" s="17"/>
      <c r="T695" s="17"/>
      <c r="U695" s="17"/>
      <c r="V695" s="17"/>
      <c r="X695" s="17"/>
      <c r="Y695" s="17"/>
      <c r="AA695" s="17"/>
      <c r="AB695" s="17"/>
      <c r="AC695" s="17"/>
      <c r="AD695" s="32"/>
    </row>
    <row r="696" spans="14:30" x14ac:dyDescent="0.35">
      <c r="N696" s="10"/>
      <c r="P696" s="48"/>
      <c r="Q696" s="17"/>
      <c r="R696" s="17"/>
      <c r="S696" s="17"/>
      <c r="T696" s="17"/>
      <c r="U696" s="17"/>
      <c r="V696" s="17"/>
      <c r="X696" s="17"/>
      <c r="Y696" s="17"/>
      <c r="AA696" s="17"/>
      <c r="AB696" s="17"/>
      <c r="AC696" s="17"/>
      <c r="AD696" s="32"/>
    </row>
    <row r="697" spans="14:30" x14ac:dyDescent="0.35">
      <c r="N697" s="10"/>
      <c r="P697" s="48"/>
      <c r="Q697" s="17"/>
      <c r="R697" s="17"/>
      <c r="S697" s="17"/>
      <c r="T697" s="17"/>
      <c r="U697" s="17"/>
      <c r="V697" s="17"/>
      <c r="X697" s="17"/>
      <c r="Y697" s="17"/>
      <c r="AA697" s="17"/>
      <c r="AB697" s="17"/>
      <c r="AC697" s="17"/>
      <c r="AD697" s="32"/>
    </row>
    <row r="698" spans="14:30" x14ac:dyDescent="0.35">
      <c r="N698" s="10"/>
      <c r="P698" s="48"/>
      <c r="Q698" s="17"/>
      <c r="R698" s="17"/>
      <c r="S698" s="17"/>
      <c r="T698" s="17"/>
      <c r="U698" s="17"/>
      <c r="V698" s="17"/>
      <c r="X698" s="17"/>
      <c r="Y698" s="17"/>
      <c r="AA698" s="17"/>
      <c r="AB698" s="17"/>
      <c r="AC698" s="17"/>
      <c r="AD698" s="32"/>
    </row>
    <row r="699" spans="14:30" x14ac:dyDescent="0.35">
      <c r="N699" s="10"/>
      <c r="P699" s="48"/>
      <c r="Q699" s="17"/>
      <c r="R699" s="17"/>
      <c r="S699" s="17"/>
      <c r="T699" s="17"/>
      <c r="U699" s="17"/>
      <c r="V699" s="17"/>
      <c r="X699" s="17"/>
      <c r="Y699" s="17"/>
      <c r="AA699" s="17"/>
      <c r="AB699" s="17"/>
      <c r="AC699" s="17"/>
      <c r="AD699" s="32"/>
    </row>
    <row r="700" spans="14:30" x14ac:dyDescent="0.35">
      <c r="N700" s="10"/>
      <c r="P700" s="48"/>
      <c r="Q700" s="17"/>
      <c r="R700" s="17"/>
      <c r="S700" s="17"/>
      <c r="T700" s="17"/>
      <c r="U700" s="17"/>
      <c r="V700" s="17"/>
      <c r="X700" s="17"/>
      <c r="Y700" s="17"/>
      <c r="AA700" s="17"/>
      <c r="AB700" s="17"/>
      <c r="AC700" s="17"/>
      <c r="AD700" s="32"/>
    </row>
    <row r="701" spans="14:30" x14ac:dyDescent="0.35">
      <c r="N701" s="10"/>
      <c r="P701" s="48"/>
      <c r="Q701" s="17"/>
      <c r="R701" s="17"/>
      <c r="S701" s="17"/>
      <c r="T701" s="17"/>
      <c r="U701" s="17"/>
      <c r="V701" s="17"/>
      <c r="X701" s="17"/>
      <c r="Y701" s="17"/>
      <c r="AA701" s="17"/>
      <c r="AB701" s="17"/>
      <c r="AC701" s="17"/>
      <c r="AD701" s="32"/>
    </row>
    <row r="702" spans="14:30" x14ac:dyDescent="0.35">
      <c r="N702" s="10"/>
      <c r="P702" s="48"/>
      <c r="Q702" s="17"/>
      <c r="R702" s="17"/>
      <c r="S702" s="17"/>
      <c r="T702" s="17"/>
      <c r="U702" s="17"/>
      <c r="V702" s="17"/>
      <c r="X702" s="17"/>
      <c r="Y702" s="17"/>
      <c r="AA702" s="17"/>
      <c r="AB702" s="17"/>
      <c r="AC702" s="17"/>
      <c r="AD702" s="32"/>
    </row>
    <row r="703" spans="14:30" x14ac:dyDescent="0.35">
      <c r="N703" s="10"/>
      <c r="P703" s="48"/>
      <c r="Q703" s="17"/>
      <c r="R703" s="17"/>
      <c r="S703" s="17"/>
      <c r="T703" s="17"/>
      <c r="U703" s="17"/>
      <c r="V703" s="17"/>
      <c r="X703" s="17"/>
      <c r="Y703" s="17"/>
      <c r="AA703" s="17"/>
      <c r="AB703" s="17"/>
      <c r="AC703" s="17"/>
      <c r="AD703" s="32"/>
    </row>
    <row r="704" spans="14:30" x14ac:dyDescent="0.35">
      <c r="N704" s="10"/>
      <c r="P704" s="48"/>
      <c r="Q704" s="17"/>
      <c r="R704" s="17"/>
      <c r="S704" s="17"/>
      <c r="T704" s="17"/>
      <c r="U704" s="17"/>
      <c r="V704" s="17"/>
      <c r="X704" s="17"/>
      <c r="Y704" s="17"/>
      <c r="AA704" s="17"/>
      <c r="AB704" s="17"/>
      <c r="AC704" s="17"/>
      <c r="AD704" s="32"/>
    </row>
    <row r="705" spans="14:30" x14ac:dyDescent="0.35">
      <c r="N705" s="10"/>
      <c r="P705" s="48"/>
      <c r="Q705" s="17"/>
      <c r="R705" s="17"/>
      <c r="S705" s="17"/>
      <c r="T705" s="17"/>
      <c r="U705" s="17"/>
      <c r="V705" s="17"/>
      <c r="X705" s="17"/>
      <c r="Y705" s="17"/>
      <c r="AA705" s="17"/>
      <c r="AB705" s="17"/>
      <c r="AC705" s="17"/>
      <c r="AD705" s="32"/>
    </row>
    <row r="706" spans="14:30" x14ac:dyDescent="0.35">
      <c r="N706" s="10"/>
      <c r="P706" s="48"/>
      <c r="Q706" s="17"/>
      <c r="R706" s="17"/>
      <c r="S706" s="17"/>
      <c r="T706" s="17"/>
      <c r="U706" s="17"/>
      <c r="V706" s="17"/>
      <c r="X706" s="17"/>
      <c r="Y706" s="17"/>
      <c r="AA706" s="17"/>
      <c r="AB706" s="17"/>
      <c r="AC706" s="17"/>
      <c r="AD706" s="32"/>
    </row>
    <row r="707" spans="14:30" x14ac:dyDescent="0.35">
      <c r="N707" s="10"/>
      <c r="P707" s="48"/>
      <c r="Q707" s="17"/>
      <c r="R707" s="17"/>
      <c r="S707" s="17"/>
      <c r="T707" s="17"/>
      <c r="U707" s="17"/>
      <c r="V707" s="17"/>
      <c r="X707" s="17"/>
      <c r="Y707" s="17"/>
      <c r="AA707" s="17"/>
      <c r="AB707" s="17"/>
      <c r="AC707" s="17"/>
      <c r="AD707" s="32"/>
    </row>
    <row r="708" spans="14:30" x14ac:dyDescent="0.35">
      <c r="N708" s="10"/>
      <c r="P708" s="48"/>
      <c r="Q708" s="17"/>
      <c r="R708" s="17"/>
      <c r="S708" s="17"/>
      <c r="T708" s="17"/>
      <c r="U708" s="17"/>
      <c r="V708" s="17"/>
      <c r="X708" s="17"/>
      <c r="Y708" s="17"/>
      <c r="AA708" s="17"/>
      <c r="AB708" s="17"/>
      <c r="AC708" s="17"/>
      <c r="AD708" s="32"/>
    </row>
  </sheetData>
  <mergeCells count="31">
    <mergeCell ref="AV4:AX4"/>
    <mergeCell ref="Q5:S5"/>
    <mergeCell ref="T5:V5"/>
    <mergeCell ref="W5:Y5"/>
    <mergeCell ref="Z5:AB5"/>
    <mergeCell ref="AC5:AE5"/>
    <mergeCell ref="AM5:AO5"/>
    <mergeCell ref="AV5:AX5"/>
    <mergeCell ref="E6:K6"/>
    <mergeCell ref="A1:M1"/>
    <mergeCell ref="N1:X1"/>
    <mergeCell ref="P4:AE4"/>
    <mergeCell ref="AF4:AU4"/>
    <mergeCell ref="AG5:AI5"/>
    <mergeCell ref="AJ5:AL5"/>
    <mergeCell ref="AP5:AR5"/>
    <mergeCell ref="AS5:AU5"/>
    <mergeCell ref="P16:AE16"/>
    <mergeCell ref="AF16:AU16"/>
    <mergeCell ref="AV16:AX16"/>
    <mergeCell ref="Q17:S17"/>
    <mergeCell ref="T17:V17"/>
    <mergeCell ref="W17:Y17"/>
    <mergeCell ref="Z17:AB17"/>
    <mergeCell ref="AC17:AE17"/>
    <mergeCell ref="AG17:AI17"/>
    <mergeCell ref="AJ17:AL17"/>
    <mergeCell ref="AM17:AO17"/>
    <mergeCell ref="AP17:AR17"/>
    <mergeCell ref="AS17:AU17"/>
    <mergeCell ref="AV17:AX17"/>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708"/>
  <sheetViews>
    <sheetView zoomScale="85" zoomScaleNormal="85" workbookViewId="0">
      <selection activeCell="K35" sqref="K35"/>
    </sheetView>
  </sheetViews>
  <sheetFormatPr defaultRowHeight="14.5" x14ac:dyDescent="0.35"/>
  <cols>
    <col min="1" max="1" width="13.1796875" customWidth="1"/>
    <col min="2" max="2" width="25" customWidth="1"/>
    <col min="8" max="10" width="8.81640625" style="31"/>
    <col min="15" max="15" width="16.7265625" style="50" bestFit="1" customWidth="1"/>
    <col min="16" max="16" width="16.7265625" customWidth="1"/>
    <col min="29" max="29" width="8.81640625" style="31"/>
    <col min="33" max="33" width="10.1796875" customWidth="1"/>
    <col min="34" max="34" width="12" bestFit="1" customWidth="1"/>
    <col min="42" max="42" width="8.81640625" style="31"/>
    <col min="45" max="45" width="8.81640625" style="31"/>
  </cols>
  <sheetData>
    <row r="1" spans="1:48" s="31" customFormat="1" ht="28" x14ac:dyDescent="0.6">
      <c r="A1" s="280" t="s">
        <v>16</v>
      </c>
      <c r="B1" s="280"/>
      <c r="C1" s="280"/>
      <c r="D1" s="280"/>
      <c r="E1" s="280"/>
      <c r="F1" s="280"/>
      <c r="G1" s="280"/>
      <c r="H1" s="280"/>
      <c r="I1" s="280"/>
      <c r="J1" s="280"/>
      <c r="K1" s="280"/>
      <c r="L1" s="280"/>
      <c r="M1" s="280"/>
      <c r="N1" s="280" t="s">
        <v>183</v>
      </c>
      <c r="O1" s="280"/>
      <c r="P1" s="280"/>
      <c r="Q1" s="280"/>
      <c r="R1" s="280"/>
      <c r="S1" s="280"/>
      <c r="T1" s="280"/>
      <c r="U1" s="280"/>
      <c r="V1" s="280"/>
      <c r="W1" s="280"/>
      <c r="X1" s="280"/>
    </row>
    <row r="2" spans="1:48" s="31" customFormat="1" x14ac:dyDescent="0.35">
      <c r="A2" s="11"/>
      <c r="B2" s="11" t="s">
        <v>17</v>
      </c>
      <c r="C2" s="12"/>
      <c r="D2" s="17"/>
      <c r="E2" s="11"/>
      <c r="F2" s="11"/>
      <c r="G2" s="11"/>
      <c r="H2" s="11"/>
      <c r="I2" s="11"/>
      <c r="J2" s="11"/>
      <c r="K2" s="11"/>
      <c r="L2" s="11"/>
      <c r="M2" s="11"/>
    </row>
    <row r="3" spans="1:48" s="31" customFormat="1" ht="15" thickBot="1" x14ac:dyDescent="0.4">
      <c r="A3" s="11"/>
      <c r="B3" s="11" t="s">
        <v>18</v>
      </c>
      <c r="C3" s="13"/>
      <c r="D3" s="17"/>
      <c r="E3" s="11"/>
      <c r="F3" s="23"/>
      <c r="G3" s="24"/>
      <c r="H3" s="24"/>
      <c r="I3" s="24"/>
      <c r="J3" s="24"/>
      <c r="K3" s="38"/>
      <c r="L3" s="11"/>
      <c r="M3" s="11"/>
    </row>
    <row r="4" spans="1:48" s="31" customFormat="1" ht="15" thickBot="1" x14ac:dyDescent="0.4">
      <c r="A4" s="11"/>
      <c r="B4" s="11" t="s">
        <v>19</v>
      </c>
      <c r="C4" s="14"/>
      <c r="D4" s="17"/>
      <c r="E4" s="11"/>
      <c r="F4" s="23"/>
      <c r="G4" s="24"/>
      <c r="H4" s="24"/>
      <c r="I4" s="24"/>
      <c r="J4" s="24"/>
      <c r="K4" s="38"/>
      <c r="L4" s="11"/>
      <c r="M4" s="11"/>
      <c r="N4" s="84"/>
      <c r="O4" s="90"/>
      <c r="P4" s="282" t="s">
        <v>214</v>
      </c>
      <c r="Q4" s="282"/>
      <c r="R4" s="282"/>
      <c r="S4" s="282"/>
      <c r="T4" s="282"/>
      <c r="U4" s="282"/>
      <c r="V4" s="282"/>
      <c r="W4" s="282"/>
      <c r="X4" s="282"/>
      <c r="Y4" s="282"/>
      <c r="Z4" s="282"/>
      <c r="AA4" s="282"/>
      <c r="AB4" s="282"/>
      <c r="AC4" s="282"/>
      <c r="AD4" s="282"/>
      <c r="AE4" s="283"/>
      <c r="AF4" s="284" t="s">
        <v>215</v>
      </c>
      <c r="AG4" s="282"/>
      <c r="AH4" s="282"/>
      <c r="AI4" s="282"/>
      <c r="AJ4" s="282"/>
      <c r="AK4" s="282"/>
      <c r="AL4" s="282"/>
      <c r="AM4" s="282"/>
      <c r="AN4" s="282"/>
      <c r="AO4" s="282"/>
      <c r="AP4" s="282"/>
      <c r="AQ4" s="282"/>
      <c r="AR4" s="283"/>
      <c r="AS4" s="284" t="s">
        <v>226</v>
      </c>
      <c r="AT4" s="282"/>
      <c r="AU4" s="283"/>
    </row>
    <row r="5" spans="1:48" s="31" customFormat="1" x14ac:dyDescent="0.35">
      <c r="A5" s="11"/>
      <c r="D5" s="17"/>
      <c r="E5" s="11"/>
      <c r="F5" s="11"/>
      <c r="G5" s="11"/>
      <c r="H5" s="11"/>
      <c r="I5" s="11"/>
      <c r="J5" s="11"/>
      <c r="K5" s="11"/>
      <c r="L5" s="11"/>
      <c r="M5" s="11"/>
      <c r="N5" s="58"/>
      <c r="O5" s="61"/>
      <c r="P5" s="49"/>
      <c r="Q5" s="285" t="s">
        <v>206</v>
      </c>
      <c r="R5" s="285"/>
      <c r="S5" s="285"/>
      <c r="T5" s="286" t="s">
        <v>208</v>
      </c>
      <c r="U5" s="286"/>
      <c r="V5" s="286"/>
      <c r="W5" s="286" t="s">
        <v>208</v>
      </c>
      <c r="X5" s="286"/>
      <c r="Y5" s="286"/>
      <c r="Z5" s="286" t="s">
        <v>211</v>
      </c>
      <c r="AA5" s="286"/>
      <c r="AB5" s="286"/>
      <c r="AC5" s="287" t="s">
        <v>213</v>
      </c>
      <c r="AD5" s="286"/>
      <c r="AE5" s="288"/>
      <c r="AF5" s="49"/>
      <c r="AG5" s="286" t="s">
        <v>222</v>
      </c>
      <c r="AH5" s="286"/>
      <c r="AI5" s="286"/>
      <c r="AJ5" s="286" t="s">
        <v>223</v>
      </c>
      <c r="AK5" s="286"/>
      <c r="AL5" s="286"/>
      <c r="AM5" s="286" t="s">
        <v>217</v>
      </c>
      <c r="AN5" s="286"/>
      <c r="AO5" s="286"/>
      <c r="AP5" s="287" t="s">
        <v>213</v>
      </c>
      <c r="AQ5" s="286"/>
      <c r="AR5" s="288"/>
      <c r="AS5" s="287" t="s">
        <v>213</v>
      </c>
      <c r="AT5" s="286"/>
      <c r="AU5" s="288"/>
    </row>
    <row r="6" spans="1:48" s="31" customFormat="1" ht="15" thickBot="1" x14ac:dyDescent="0.4">
      <c r="A6" s="10" t="s">
        <v>20</v>
      </c>
      <c r="B6" s="10" t="s">
        <v>21</v>
      </c>
      <c r="C6" s="10" t="s">
        <v>22</v>
      </c>
      <c r="D6" s="17"/>
      <c r="E6" s="281" t="s">
        <v>23</v>
      </c>
      <c r="F6" s="281"/>
      <c r="G6" s="281"/>
      <c r="H6" s="281"/>
      <c r="I6" s="281"/>
      <c r="J6" s="281"/>
      <c r="K6" s="281"/>
      <c r="L6" s="35"/>
      <c r="M6" s="25"/>
      <c r="N6" s="58"/>
      <c r="O6" s="61"/>
      <c r="P6" s="79" t="s">
        <v>189</v>
      </c>
      <c r="Q6" s="49" t="s">
        <v>212</v>
      </c>
      <c r="R6" s="79" t="s">
        <v>209</v>
      </c>
      <c r="S6" s="79" t="s">
        <v>210</v>
      </c>
      <c r="T6" s="79" t="s">
        <v>212</v>
      </c>
      <c r="U6" s="79" t="s">
        <v>209</v>
      </c>
      <c r="V6" s="79" t="s">
        <v>210</v>
      </c>
      <c r="W6" s="81" t="s">
        <v>212</v>
      </c>
      <c r="X6" s="79" t="s">
        <v>209</v>
      </c>
      <c r="Y6" s="79" t="s">
        <v>210</v>
      </c>
      <c r="Z6" s="81" t="s">
        <v>212</v>
      </c>
      <c r="AA6" s="81" t="s">
        <v>209</v>
      </c>
      <c r="AB6" s="81" t="s">
        <v>210</v>
      </c>
      <c r="AC6" s="82" t="s">
        <v>227</v>
      </c>
      <c r="AD6" s="81" t="s">
        <v>209</v>
      </c>
      <c r="AE6" s="83" t="s">
        <v>210</v>
      </c>
      <c r="AF6" s="79" t="s">
        <v>224</v>
      </c>
      <c r="AG6" s="81" t="s">
        <v>212</v>
      </c>
      <c r="AH6" s="81" t="s">
        <v>225</v>
      </c>
      <c r="AI6" s="81" t="s">
        <v>210</v>
      </c>
      <c r="AJ6" s="81" t="s">
        <v>212</v>
      </c>
      <c r="AK6" s="81" t="s">
        <v>225</v>
      </c>
      <c r="AL6" s="81" t="s">
        <v>210</v>
      </c>
      <c r="AM6" s="81" t="s">
        <v>212</v>
      </c>
      <c r="AN6" s="81" t="s">
        <v>225</v>
      </c>
      <c r="AO6" s="81" t="s">
        <v>210</v>
      </c>
      <c r="AP6" s="82" t="s">
        <v>227</v>
      </c>
      <c r="AQ6" s="81" t="s">
        <v>209</v>
      </c>
      <c r="AR6" s="83" t="s">
        <v>210</v>
      </c>
      <c r="AS6" s="82" t="s">
        <v>227</v>
      </c>
      <c r="AT6" s="81" t="s">
        <v>209</v>
      </c>
      <c r="AU6" s="83" t="s">
        <v>210</v>
      </c>
    </row>
    <row r="7" spans="1:48" s="31" customFormat="1" ht="15" thickBot="1" x14ac:dyDescent="0.4">
      <c r="A7" s="10"/>
      <c r="B7" s="10"/>
      <c r="C7" s="10"/>
      <c r="D7" s="17"/>
      <c r="E7" s="45"/>
      <c r="F7" s="45"/>
      <c r="G7" s="45"/>
      <c r="H7" s="45"/>
      <c r="I7" s="45"/>
      <c r="J7" s="45"/>
      <c r="K7" s="45"/>
      <c r="L7" s="45"/>
      <c r="M7" s="25"/>
      <c r="N7" s="31" t="s">
        <v>395</v>
      </c>
      <c r="O7" s="90">
        <f>fcross</f>
        <v>3000</v>
      </c>
      <c r="P7" s="86" t="str">
        <f>COMPLEX(ADC_VINmin,0)</f>
        <v>484.156457616998</v>
      </c>
      <c r="Q7" s="87" t="str">
        <f>IMSUM(COMPLEX(1,0),IMDIV(COMPLEX(0,2*PI()*O7),COMPLEX(wp_lf_VINmin,0)))</f>
        <v>1+350.728392366255i</v>
      </c>
      <c r="R7" s="87">
        <f>IMABS(Q7)</f>
        <v>350.7298179679305</v>
      </c>
      <c r="S7" s="87">
        <f t="shared" ref="S7" si="0">IMARGUMENT(Q7)</f>
        <v>1.5679451253752776</v>
      </c>
      <c r="T7" s="87" t="str">
        <f>IMSUM(COMPLEX(1,0),IMDIV(COMPLEX(0,2*PI()*O7),COMPLEX(wz_esr_VINmin,0)))</f>
        <v>1+0.00684033758949092i</v>
      </c>
      <c r="U7" s="87">
        <f>IMABS(T7)</f>
        <v>1.0000233948355099</v>
      </c>
      <c r="V7" s="87">
        <f t="shared" ref="V7" si="1">IMARGUMENT(T7)</f>
        <v>6.8402309055228573E-3</v>
      </c>
      <c r="W7" s="85" t="str">
        <f>IMSUB(COMPLEX(1,0),IMDIV(COMPLEX(0,2*PI()*O7),COMPLEX(wz_RHP_VINmin,0)))</f>
        <v>1-0.156296453265905i</v>
      </c>
      <c r="X7" s="87">
        <f>IMABS(W7)</f>
        <v>1.0121405936447274</v>
      </c>
      <c r="Y7" s="87">
        <f t="shared" ref="Y7" si="2">IMARGUMENT(W7)</f>
        <v>-0.15504208778401724</v>
      </c>
      <c r="Z7" s="85" t="str">
        <f>IMSUM(COMPLEX(1,0),IMDIV(COMPLEX(0,2*PI()*O7),COMPLEX(Q_VINmin*(wsl_VINmin/2),0)),IMDIV(IMPOWER(COMPLEX(0,2*PI()*O7),2),IMPOWER(COMPLEX(wsl_VINmin/2,0),2)))</f>
        <v>0.99702479338843+0.0913564433688958i</v>
      </c>
      <c r="AA7" s="87">
        <f>IMABS(Z7)</f>
        <v>1.0012014973901386</v>
      </c>
      <c r="AB7" s="87">
        <f t="shared" ref="AB7" si="3">IMARGUMENT(Z7)</f>
        <v>9.1373907194155682E-2</v>
      </c>
      <c r="AC7" s="88" t="str">
        <f>(IMDIV(IMPRODUCT(P7,T7,W7),IMPRODUCT(Q7,Z7)))</f>
        <v>-0.327281960283984-1.35662108485591i</v>
      </c>
      <c r="AD7" s="89">
        <f>20*LOG(IMABS(AC7))</f>
        <v>2.8948510392915665</v>
      </c>
      <c r="AE7" s="90">
        <f t="shared" ref="AE7" si="4">(180/PI())*IMARGUMENT(AC7)</f>
        <v>-103.56331834709887</v>
      </c>
      <c r="AF7" s="85" t="str">
        <f t="shared" ref="AF7:AF13" si="5">COMPLEX(Adc_ea,0)</f>
        <v>-0.000106860158311346</v>
      </c>
      <c r="AG7" s="85" t="str">
        <f>COMPLEX(0,2*PI()*O7*wp0_ea)</f>
        <v>0.0000870849483575091i</v>
      </c>
      <c r="AH7" s="85">
        <f>IMABS(AG7)</f>
        <v>8.7084948357509095E-5</v>
      </c>
      <c r="AI7" s="85">
        <f>IMARGUMENT(AG7)</f>
        <v>1.5707963267948966</v>
      </c>
      <c r="AJ7" s="85" t="str">
        <f>IMSUM(COMPLEX(1,0),IMDIV(COMPLEX(0,2*PI()*O7),COMPLEX(wp1_ea,0)))</f>
        <v>1+1.37479358513457i</v>
      </c>
      <c r="AK7" s="85">
        <f>IMABS(AJ7)</f>
        <v>1.7000168827770989</v>
      </c>
      <c r="AL7" s="85">
        <f>IMARGUMENT(AJ7)</f>
        <v>0.94192862498167651</v>
      </c>
      <c r="AM7" s="85" t="str">
        <f>IMSUM(COMPLEX(1,0),IMDIV(COMPLEX(0,2*PI()*O7),COMPLEX(wz_ea,0)))</f>
        <v>1+8.82159217128014i</v>
      </c>
      <c r="AN7" s="85">
        <f>IMABS(AM7)</f>
        <v>8.8780903597784491</v>
      </c>
      <c r="AO7" s="85">
        <f>IMARGUMENT(AM7)</f>
        <v>1.4579199499060183</v>
      </c>
      <c r="AP7" s="84" t="str">
        <f>IMPRODUCT(AF7,IMDIV(AM7,IMPRODUCT(AG7,AJ7)))</f>
        <v>-3.1618106176573+5.57391649387539i</v>
      </c>
      <c r="AQ7" s="85">
        <f>20*LOG(IMABS(AP7))</f>
        <v>16.134780822980005</v>
      </c>
      <c r="AR7" s="90">
        <f>(180/PI())*IMARGUMENT(AP7)</f>
        <v>119.56412518352828</v>
      </c>
      <c r="AS7" s="84" t="str">
        <f>IMPRODUCT(AC7,AP7)</f>
        <v>8.59649621781108+2.46513663366041i</v>
      </c>
      <c r="AT7" s="89">
        <f>20*LOG(IMABS(AS7))</f>
        <v>19.029631862271575</v>
      </c>
      <c r="AU7" s="90">
        <f>(180/PI())*IMARGUMENT(AS7)</f>
        <v>16.00080683642938</v>
      </c>
    </row>
    <row r="8" spans="1:48" s="31" customFormat="1" ht="15" thickBot="1" x14ac:dyDescent="0.4">
      <c r="A8" s="10"/>
      <c r="B8" s="10"/>
      <c r="C8" s="10"/>
      <c r="D8" s="17"/>
      <c r="E8" s="97"/>
      <c r="F8" s="97"/>
      <c r="G8" s="97"/>
      <c r="H8" s="97"/>
      <c r="I8" s="97"/>
      <c r="J8" s="97"/>
      <c r="K8" s="97"/>
      <c r="L8" s="97"/>
      <c r="M8" s="25"/>
      <c r="N8" s="84" t="s">
        <v>254</v>
      </c>
      <c r="O8" s="90">
        <f>fcross</f>
        <v>3000</v>
      </c>
      <c r="P8" s="86" t="str">
        <f t="shared" ref="P8:P13" si="6">COMPLEX(Adc,0)</f>
        <v>547.187404092767</v>
      </c>
      <c r="Q8" s="87" t="str">
        <f>IMSUM(COMPLEX(1,0),IMDIV(COMPLEX(0,2*PI()*O8),COMPLEX(wp_lf,0)))</f>
        <v>1+361.503024157027i</v>
      </c>
      <c r="R8" s="87">
        <f>IMABS(Q8)</f>
        <v>361.50440726867504</v>
      </c>
      <c r="S8" s="87">
        <f t="shared" ref="S8" si="7">IMARGUMENT(Q8)</f>
        <v>1.5680301052628085</v>
      </c>
      <c r="T8" s="87" t="str">
        <f>IMSUM(COMPLEX(1,0),IMDIV(COMPLEX(0,2*PI()*O8),COMPLEX(wz_esr,0)))</f>
        <v>1+0.00684033758949092i</v>
      </c>
      <c r="U8" s="87">
        <f>IMABS(T8)</f>
        <v>1.0000233948355099</v>
      </c>
      <c r="V8" s="87">
        <f t="shared" ref="V8" si="8">IMARGUMENT(T8)</f>
        <v>6.8402309055228573E-3</v>
      </c>
      <c r="W8" s="85" t="str">
        <f>IMSUB(COMPLEX(1,0),IMDIV(COMPLEX(0,2*PI()*O8),COMPLEX(wz_rhp,0)))</f>
        <v>1-0.118784158193468i</v>
      </c>
      <c r="X8" s="87">
        <f>IMABS(W8)</f>
        <v>1.0070301267776107</v>
      </c>
      <c r="Y8" s="87">
        <f t="shared" ref="Y8" si="9">IMARGUMENT(W8)</f>
        <v>-0.11823017195329893</v>
      </c>
      <c r="Z8" s="85" t="str">
        <f>IMSUM(COMPLEX(1,0),IMDIV(COMPLEX(0,2*PI()*O8),COMPLEX(Q*(wsl/2),0)),IMDIV(IMPOWER(COMPLEX(0,2*PI()*O8),2),IMPOWER(COMPLEX(wsl/2,0),2)))</f>
        <v>0.99702479338843+0.568342548666328i</v>
      </c>
      <c r="AA8" s="87">
        <f>IMABS(Z8)</f>
        <v>1.1476374389395714</v>
      </c>
      <c r="AB8" s="87">
        <f t="shared" ref="AB8" si="10">IMARGUMENT(Z8)</f>
        <v>0.5180976102244772</v>
      </c>
      <c r="AC8" s="88" t="str">
        <f>(IMDIV(IMPRODUCT(P8,T8,W8),IMPRODUCT(Q8,Z8)))</f>
        <v>-0.778991566001298-1.07579910897214i</v>
      </c>
      <c r="AD8" s="89">
        <f>20*LOG(IMABS(AC8))</f>
        <v>2.4654082219305171</v>
      </c>
      <c r="AE8" s="90">
        <f t="shared" ref="AE8" si="11">(180/PI())*IMARGUMENT(AC8)</f>
        <v>-125.90848712493809</v>
      </c>
      <c r="AF8" s="85" t="str">
        <f t="shared" si="5"/>
        <v>-0.000106860158311346</v>
      </c>
      <c r="AG8" s="85" t="str">
        <f>COMPLEX(0,2*PI()*O8*wp0_ea)</f>
        <v>0.0000870849483575091i</v>
      </c>
      <c r="AH8" s="85">
        <f>IMABS(AG8)</f>
        <v>8.7084948357509095E-5</v>
      </c>
      <c r="AI8" s="85">
        <f>IMARGUMENT(AG8)</f>
        <v>1.5707963267948966</v>
      </c>
      <c r="AJ8" s="85" t="str">
        <f>IMSUM(COMPLEX(1,0),IMDIV(COMPLEX(0,2*PI()*O8),COMPLEX(wp1_ea,0)))</f>
        <v>1+1.37479358513457i</v>
      </c>
      <c r="AK8" s="85">
        <f>IMABS(AJ8)</f>
        <v>1.7000168827770989</v>
      </c>
      <c r="AL8" s="85">
        <f>IMARGUMENT(AJ8)</f>
        <v>0.94192862498167651</v>
      </c>
      <c r="AM8" s="85" t="str">
        <f>IMSUM(COMPLEX(1,0),IMDIV(COMPLEX(0,2*PI()*O8),COMPLEX(wz_ea,0)))</f>
        <v>1+8.82159217128014i</v>
      </c>
      <c r="AN8" s="85">
        <f>IMABS(AM8)</f>
        <v>8.8780903597784491</v>
      </c>
      <c r="AO8" s="85">
        <f>IMARGUMENT(AM8)</f>
        <v>1.4579199499060183</v>
      </c>
      <c r="AP8" s="84" t="str">
        <f>IMPRODUCT(AF8,IMDIV(AM8,IMPRODUCT(AG8,AJ8)))</f>
        <v>-3.1618106176573+5.57391649387539i</v>
      </c>
      <c r="AQ8" s="85">
        <f>20*LOG(IMABS(AP8))</f>
        <v>16.134780822980005</v>
      </c>
      <c r="AR8" s="90">
        <f>(180/PI())*IMARGUMENT(AP8)</f>
        <v>119.56412518352828</v>
      </c>
      <c r="AS8" s="84" t="str">
        <f>IMPRODUCT(AC8,AP8)</f>
        <v>8.45943820204465-0.94056089311008i</v>
      </c>
      <c r="AT8" s="89">
        <f>20*LOG(IMABS(AS8))</f>
        <v>18.600189044910522</v>
      </c>
      <c r="AU8" s="90">
        <f>(180/PI())*IMARGUMENT(AS8)</f>
        <v>-6.3443619414098418</v>
      </c>
    </row>
    <row r="9" spans="1:48" s="31" customFormat="1" x14ac:dyDescent="0.35">
      <c r="A9" s="69" t="s">
        <v>159</v>
      </c>
      <c r="B9" s="10"/>
      <c r="C9" s="10"/>
      <c r="D9" s="17"/>
      <c r="E9" s="35"/>
      <c r="F9" s="35"/>
      <c r="G9" s="35"/>
      <c r="H9" s="45"/>
      <c r="I9" s="45"/>
      <c r="J9" s="45"/>
      <c r="K9" s="35"/>
      <c r="L9" s="35"/>
      <c r="M9" s="25"/>
      <c r="N9" s="71" t="s">
        <v>255</v>
      </c>
      <c r="O9" s="91">
        <f>wz_rhp/(2*PI())</f>
        <v>25255.893088990939</v>
      </c>
      <c r="P9" s="72" t="str">
        <f t="shared" si="6"/>
        <v>547.187404092767</v>
      </c>
      <c r="Q9" s="73" t="str">
        <f>IMSUM(COMPLEX(1,0),IMDIV(COMPLEX(0,2*PI()*O9),COMPLEX(wp_lf,0)))</f>
        <v>1+3043.36057648558i</v>
      </c>
      <c r="R9" s="73">
        <f t="shared" ref="R9:R13" si="12">IMABS(Q9)</f>
        <v>3043.3607407776426</v>
      </c>
      <c r="S9" s="73">
        <f t="shared" ref="S9:S11" si="13">IMARGUMENT(Q9)</f>
        <v>1.5704677426725493</v>
      </c>
      <c r="T9" s="73" t="str">
        <f t="shared" ref="T9:T13" si="14">IMSUM(COMPLEX(1,0),IMDIV(COMPLEX(0,2*PI()*O9),COMPLEX(wz_esr,0)))</f>
        <v>1+0.0575862782842627i</v>
      </c>
      <c r="U9" s="73">
        <f t="shared" ref="U9:U13" si="15">IMABS(T9)</f>
        <v>1.0016567173670989</v>
      </c>
      <c r="V9" s="73">
        <f t="shared" ref="V9:V11" si="16">IMARGUMENT(T9)</f>
        <v>5.7522749163331763E-2</v>
      </c>
      <c r="W9" s="74" t="str">
        <f t="shared" ref="W9:W13" si="17">IMSUB(COMPLEX(1,0),IMDIV(COMPLEX(0,2*PI()*O9),COMPLEX(wz_rhp,0)))</f>
        <v>1-i</v>
      </c>
      <c r="X9" s="73">
        <f t="shared" ref="X9:X13" si="18">IMABS(W9)</f>
        <v>1.4142135623730951</v>
      </c>
      <c r="Y9" s="73">
        <f t="shared" ref="Y9:Y11" si="19">IMARGUMENT(W9)</f>
        <v>-0.78539816339744828</v>
      </c>
      <c r="Z9" s="74" t="str">
        <f t="shared" ref="Z9:Z13" si="20">IMSUM(COMPLEX(1,0),IMDIV(COMPLEX(0,2*PI()*O9),COMPLEX(Q*(wsl/2),0)),IMDIV(IMPOWER(COMPLEX(0,2*PI()*O9),2),IMPOWER(COMPLEX(wsl/2,0),2)))</f>
        <v>0.789137145215689+4.78466621568045i</v>
      </c>
      <c r="AA9" s="73">
        <f t="shared" ref="AA9:AA13" si="21">IMABS(Z9)</f>
        <v>4.8493059533744667</v>
      </c>
      <c r="AB9" s="73">
        <f t="shared" ref="AB9:AB11" si="22">IMARGUMENT(Z9)</f>
        <v>1.4073374168066417</v>
      </c>
      <c r="AC9" s="75" t="str">
        <f t="shared" ref="AC9:AC11" si="23">(IMDIV(IMPRODUCT(P9,T9,W9),IMPRODUCT(Q9,Z9)))</f>
        <v>-0.0443846755515471+0.0280803618307527i</v>
      </c>
      <c r="AD9" s="76">
        <f t="shared" ref="AD9:AD13" si="24">20*LOG(IMABS(AC9))</f>
        <v>-25.593260443473209</v>
      </c>
      <c r="AE9" s="77">
        <f t="shared" ref="AE9:AE11" si="25">(180/PI())*IMARGUMENT(AC9)</f>
        <v>147.68014290260987</v>
      </c>
      <c r="AF9" s="74" t="str">
        <f t="shared" si="5"/>
        <v>-0.000106860158311346</v>
      </c>
      <c r="AG9" s="74" t="str">
        <f t="shared" ref="AG9:AG13" si="26">COMPLEX(0,2*PI()*O9*wp0_ea)</f>
        <v>0.000733136048459182i</v>
      </c>
      <c r="AH9" s="74">
        <f t="shared" ref="AH9:AH13" si="27">IMABS(AG9)</f>
        <v>7.3313604845918199E-4</v>
      </c>
      <c r="AI9" s="74">
        <f t="shared" ref="AI9:AI11" si="28">IMARGUMENT(AG9)</f>
        <v>1.5707963267948966</v>
      </c>
      <c r="AJ9" s="74" t="str">
        <f t="shared" ref="AJ9:AJ13" si="29">IMSUM(COMPLEX(1,0),IMDIV(COMPLEX(0,2*PI()*O9),COMPLEX(wp1_ea,0)))</f>
        <v>1+11.5738799351964i</v>
      </c>
      <c r="AK9" s="74">
        <f t="shared" ref="AK9:AK13" si="30">IMABS(AJ9)</f>
        <v>11.617000333749752</v>
      </c>
      <c r="AL9" s="74">
        <f t="shared" ref="AL9:AL11" si="31">IMARGUMENT(AJ9)</f>
        <v>1.4846089212843605</v>
      </c>
      <c r="AM9" s="74" t="str">
        <f t="shared" ref="AM9:AM13" si="32">IMSUM(COMPLEX(1,0),IMDIV(COMPLEX(0,2*PI()*O9),COMPLEX(wz_ea,0)))</f>
        <v>1+74.2657295841766i</v>
      </c>
      <c r="AN9" s="74">
        <f t="shared" ref="AN9:AN13" si="33">IMABS(AM9)</f>
        <v>74.272461859494356</v>
      </c>
      <c r="AO9" s="74">
        <f t="shared" ref="AO9:AO11" si="34">IMARGUMENT(AM9)</f>
        <v>1.5573319795741833</v>
      </c>
      <c r="AP9" s="71" t="str">
        <f t="shared" ref="AP9:AP11" si="35">IMPRODUCT(AF9,IMDIV(AM9,IMPRODUCT(AG9,AJ9)))</f>
        <v>-0.0677102346060144+0.929427735827327i</v>
      </c>
      <c r="AQ9" s="74">
        <f t="shared" ref="AQ9:AQ13" si="36">20*LOG(IMABS(AP9))</f>
        <v>-0.61269887101549325</v>
      </c>
      <c r="AR9" s="77">
        <f t="shared" ref="AR9:AR11" si="37">(180/PI())*IMARGUMENT(AP9)</f>
        <v>94.166724313290729</v>
      </c>
      <c r="AS9" s="71" t="str">
        <f t="shared" ref="AS9:AS11" si="38">IMPRODUCT(AC9,AP9)</f>
        <v>-0.0230933703230615-0.043153676390687i</v>
      </c>
      <c r="AT9" s="76">
        <f t="shared" ref="AT9:AT13" si="39">20*LOG(IMABS(AS9))</f>
        <v>-26.205959314488698</v>
      </c>
      <c r="AU9" s="77">
        <f t="shared" ref="AU9:AU11" si="40">(180/PI())*IMARGUMENT(AS9)</f>
        <v>-118.1531327840994</v>
      </c>
    </row>
    <row r="10" spans="1:48" s="31" customFormat="1" x14ac:dyDescent="0.35">
      <c r="A10" s="31" t="s">
        <v>26</v>
      </c>
      <c r="B10" s="3">
        <f>VIN_min</f>
        <v>10</v>
      </c>
      <c r="C10" s="31" t="s">
        <v>11</v>
      </c>
      <c r="E10" s="31" t="s">
        <v>29</v>
      </c>
      <c r="N10" s="58" t="s">
        <v>208</v>
      </c>
      <c r="O10" s="92">
        <f>wz_esr/(2*PI())</f>
        <v>438574.84528380865</v>
      </c>
      <c r="P10" s="78" t="str">
        <f t="shared" si="6"/>
        <v>547.187404092767</v>
      </c>
      <c r="Q10" s="79" t="str">
        <f t="shared" ref="Q10:Q13" si="41">IMSUM(COMPLEX(1,0),IMDIV(COMPLEX(0,2*PI()*O10),COMPLEX(wp_lf,0)))</f>
        <v>1+52848.7109630989i</v>
      </c>
      <c r="R10" s="79">
        <f t="shared" si="12"/>
        <v>52848.710972559871</v>
      </c>
      <c r="S10" s="79">
        <f t="shared" si="13"/>
        <v>1.5707774048575087</v>
      </c>
      <c r="T10" s="79" t="str">
        <f t="shared" si="14"/>
        <v>1+i</v>
      </c>
      <c r="U10" s="79">
        <f t="shared" si="15"/>
        <v>1.4142135623730951</v>
      </c>
      <c r="V10" s="79">
        <f t="shared" si="16"/>
        <v>0.78539816339744828</v>
      </c>
      <c r="W10" s="49" t="str">
        <f t="shared" si="17"/>
        <v>1-17.3652479339559i</v>
      </c>
      <c r="X10" s="79">
        <f t="shared" si="18"/>
        <v>17.394017241792064</v>
      </c>
      <c r="Y10" s="79">
        <f t="shared" si="19"/>
        <v>-1.5132735776315649</v>
      </c>
      <c r="Z10" s="49" t="str">
        <f t="shared" si="20"/>
        <v>-62.5860809638735+83.0869151165133i</v>
      </c>
      <c r="AA10" s="79">
        <f t="shared" si="21"/>
        <v>104.0214064219246</v>
      </c>
      <c r="AB10" s="79">
        <f t="shared" si="22"/>
        <v>2.2163808130911367</v>
      </c>
      <c r="AC10" s="66" t="str">
        <f t="shared" si="23"/>
        <v>-0.00048008690901162+0.00240093657822634i</v>
      </c>
      <c r="AD10" s="64">
        <f t="shared" si="24"/>
        <v>-52.222122691840568</v>
      </c>
      <c r="AE10" s="61">
        <f t="shared" si="25"/>
        <v>101.30762851630527</v>
      </c>
      <c r="AF10" s="49" t="str">
        <f t="shared" si="5"/>
        <v>-0.000106860158311346</v>
      </c>
      <c r="AG10" s="49" t="str">
        <f t="shared" si="26"/>
        <v>0.0127310892508143i</v>
      </c>
      <c r="AH10" s="49">
        <f t="shared" si="27"/>
        <v>1.2731089250814299E-2</v>
      </c>
      <c r="AI10" s="49">
        <f t="shared" si="28"/>
        <v>1.5707963267948966</v>
      </c>
      <c r="AJ10" s="49" t="str">
        <f t="shared" si="29"/>
        <v>1+200.983294632522i</v>
      </c>
      <c r="AK10" s="49">
        <f t="shared" si="30"/>
        <v>200.9857823860761</v>
      </c>
      <c r="AL10" s="49">
        <f t="shared" si="31"/>
        <v>1.56582082995095</v>
      </c>
      <c r="AM10" s="49" t="str">
        <f t="shared" si="32"/>
        <v>1+1289.64280722535i</v>
      </c>
      <c r="AN10" s="49">
        <f t="shared" si="33"/>
        <v>1289.6431949295438</v>
      </c>
      <c r="AO10" s="49">
        <f t="shared" si="34"/>
        <v>1.5700209184461833</v>
      </c>
      <c r="AP10" s="58" t="str">
        <f t="shared" si="35"/>
        <v>-0.000226209921317675+0.0538580535630255i</v>
      </c>
      <c r="AQ10" s="49">
        <f t="shared" si="36"/>
        <v>-25.374910308985012</v>
      </c>
      <c r="AR10" s="61">
        <f t="shared" si="37"/>
        <v>90.240647344358308</v>
      </c>
      <c r="AS10" s="58" t="str">
        <f t="shared" si="38"/>
        <v>-0.000129201170409628-0.0000263996621349045i</v>
      </c>
      <c r="AT10" s="64">
        <f t="shared" si="39"/>
        <v>-77.59703300082559</v>
      </c>
      <c r="AU10" s="61">
        <f t="shared" si="40"/>
        <v>-168.45172413933639</v>
      </c>
    </row>
    <row r="11" spans="1:48" s="31" customFormat="1" ht="15" thickBot="1" x14ac:dyDescent="0.4">
      <c r="A11" s="31" t="s">
        <v>27</v>
      </c>
      <c r="B11" s="3">
        <f>VIN_nom</f>
        <v>12</v>
      </c>
      <c r="C11" s="31" t="s">
        <v>11</v>
      </c>
      <c r="E11" s="31" t="s">
        <v>30</v>
      </c>
      <c r="N11" s="62" t="s">
        <v>206</v>
      </c>
      <c r="O11" s="93">
        <f>wp_lf/(2*PI())</f>
        <v>8.2986857634056488</v>
      </c>
      <c r="P11" s="80" t="str">
        <f t="shared" si="6"/>
        <v>547.187404092767</v>
      </c>
      <c r="Q11" s="54" t="str">
        <f t="shared" si="41"/>
        <v>1+i</v>
      </c>
      <c r="R11" s="54">
        <f t="shared" si="12"/>
        <v>1.4142135623730951</v>
      </c>
      <c r="S11" s="54">
        <f t="shared" si="13"/>
        <v>0.78539816339744828</v>
      </c>
      <c r="T11" s="54" t="str">
        <f t="shared" si="14"/>
        <v>1+0.0000189219373902656i</v>
      </c>
      <c r="U11" s="54">
        <f t="shared" si="15"/>
        <v>1.0000000001790199</v>
      </c>
      <c r="V11" s="54">
        <f t="shared" si="16"/>
        <v>1.8921937388007332E-5</v>
      </c>
      <c r="W11" s="55" t="str">
        <f t="shared" si="17"/>
        <v>1-0.000328584134172752i</v>
      </c>
      <c r="X11" s="54">
        <f t="shared" si="18"/>
        <v>1.000000053983765</v>
      </c>
      <c r="Y11" s="54">
        <f t="shared" si="19"/>
        <v>-3.2858412234727997E-4</v>
      </c>
      <c r="Z11" s="55" t="str">
        <f t="shared" si="20"/>
        <v>0.999999977233658+0.00157216540578498i</v>
      </c>
      <c r="AA11" s="54">
        <f t="shared" si="21"/>
        <v>1.000001213084954</v>
      </c>
      <c r="AB11" s="54">
        <f t="shared" si="22"/>
        <v>1.5721641462700616E-3</v>
      </c>
      <c r="AC11" s="59" t="str">
        <f t="shared" si="23"/>
        <v>273.078045607017-274.107755471053i</v>
      </c>
      <c r="AD11" s="65">
        <f t="shared" si="24"/>
        <v>51.752411809964649</v>
      </c>
      <c r="AE11" s="63">
        <f t="shared" si="25"/>
        <v>-45.107820706555877</v>
      </c>
      <c r="AF11" s="55" t="str">
        <f t="shared" si="5"/>
        <v>-0.000106860158311346</v>
      </c>
      <c r="AG11" s="55" t="str">
        <f t="shared" si="26"/>
        <v>2.40896873713792E-07i</v>
      </c>
      <c r="AH11" s="55">
        <f t="shared" si="27"/>
        <v>2.40896873713792E-7</v>
      </c>
      <c r="AI11" s="55">
        <f t="shared" si="28"/>
        <v>1.5707963267948966</v>
      </c>
      <c r="AJ11" s="55" t="str">
        <f t="shared" si="29"/>
        <v>1+0.00380299331752589i</v>
      </c>
      <c r="AK11" s="55">
        <f t="shared" si="30"/>
        <v>1.0000072313529402</v>
      </c>
      <c r="AL11" s="55">
        <f t="shared" si="31"/>
        <v>3.8029749837607553E-3</v>
      </c>
      <c r="AM11" s="55" t="str">
        <f t="shared" si="32"/>
        <v>1+0.0244025404541244i</v>
      </c>
      <c r="AN11" s="55">
        <f t="shared" si="33"/>
        <v>1.0002976976783537</v>
      </c>
      <c r="AO11" s="55">
        <f t="shared" si="34"/>
        <v>2.4397698410046929E-2</v>
      </c>
      <c r="AP11" s="62" t="str">
        <f t="shared" si="35"/>
        <v>-9.13768202233469+443.627714885355i</v>
      </c>
      <c r="AQ11" s="55">
        <f t="shared" si="36"/>
        <v>52.942215560922975</v>
      </c>
      <c r="AR11" s="63">
        <f t="shared" si="37"/>
        <v>91.1799907325654</v>
      </c>
      <c r="AS11" s="62" t="str">
        <f t="shared" si="38"/>
        <v>119106.496843939+123649.69886735i</v>
      </c>
      <c r="AT11" s="65">
        <f t="shared" si="39"/>
        <v>104.6946273708876</v>
      </c>
      <c r="AU11" s="63">
        <f t="shared" si="40"/>
        <v>46.072170026009609</v>
      </c>
    </row>
    <row r="12" spans="1:48" s="31" customFormat="1" x14ac:dyDescent="0.35">
      <c r="A12" s="31" t="s">
        <v>28</v>
      </c>
      <c r="B12" s="3">
        <f>VIN_max</f>
        <v>16</v>
      </c>
      <c r="C12" s="31" t="s">
        <v>11</v>
      </c>
      <c r="E12" s="31" t="s">
        <v>31</v>
      </c>
      <c r="N12" s="71" t="s">
        <v>217</v>
      </c>
      <c r="O12" s="77">
        <f>wz_ea/(2*PI())</f>
        <v>340.07466472627209</v>
      </c>
      <c r="P12" s="72" t="str">
        <f t="shared" si="6"/>
        <v>547.187404092767</v>
      </c>
      <c r="Q12" s="73" t="str">
        <f t="shared" si="41"/>
        <v>1+40.9793399125781i</v>
      </c>
      <c r="R12" s="73">
        <f t="shared" si="12"/>
        <v>40.991539366930539</v>
      </c>
      <c r="S12" s="73">
        <f t="shared" ref="S12:S13" si="42">IMARGUMENT(Q12)</f>
        <v>1.5463986283848496</v>
      </c>
      <c r="T12" s="73" t="str">
        <f t="shared" si="14"/>
        <v>1+0.000775408504120214i</v>
      </c>
      <c r="U12" s="73">
        <f t="shared" si="15"/>
        <v>1.0000003006291289</v>
      </c>
      <c r="V12" s="73">
        <f t="shared" ref="V12:V13" si="43">IMARGUMENT(T12)</f>
        <v>7.754083487133246E-4</v>
      </c>
      <c r="W12" s="74" t="str">
        <f t="shared" si="17"/>
        <v>1-0.0134651609241453i</v>
      </c>
      <c r="X12" s="73">
        <f t="shared" si="18"/>
        <v>1.0000906511705392</v>
      </c>
      <c r="Y12" s="73">
        <f t="shared" ref="Y12:Y13" si="44">IMARGUMENT(W12)</f>
        <v>-1.3464347220713175E-2</v>
      </c>
      <c r="Z12" s="74" t="str">
        <f t="shared" si="20"/>
        <v>0.999961768337987+0.0644263005624588i</v>
      </c>
      <c r="AA12" s="73">
        <f t="shared" si="21"/>
        <v>1.0020350724110401</v>
      </c>
      <c r="AB12" s="73">
        <f t="shared" ref="AB12:AB13" si="45">IMARGUMENT(Z12)</f>
        <v>6.4339835822090075E-2</v>
      </c>
      <c r="AC12" s="75" t="str">
        <f t="shared" ref="AC12:AC13" si="46">(IMDIV(IMPRODUCT(P12,T12,W12),IMPRODUCT(Q12,Z12)))</f>
        <v>-0.700874356824899-13.3044417673877i</v>
      </c>
      <c r="AD12" s="76">
        <f t="shared" si="24"/>
        <v>22.491968785996505</v>
      </c>
      <c r="AE12" s="77">
        <f t="shared" ref="AE12:AE13" si="47">(180/PI())*IMARGUMENT(AC12)</f>
        <v>-93.015538542306743</v>
      </c>
      <c r="AF12" s="74" t="str">
        <f t="shared" si="5"/>
        <v>-0.000106860158311346</v>
      </c>
      <c r="AG12" s="74" t="str">
        <f t="shared" si="26"/>
        <v>9.87179487179487E-06i</v>
      </c>
      <c r="AH12" s="74">
        <f t="shared" si="27"/>
        <v>9.8717948717948708E-6</v>
      </c>
      <c r="AI12" s="74">
        <f t="shared" ref="AI12:AI13" si="48">IMARGUMENT(AG12)</f>
        <v>1.5707963267948966</v>
      </c>
      <c r="AJ12" s="74" t="str">
        <f t="shared" si="29"/>
        <v>1+0.155844155844156i</v>
      </c>
      <c r="AK12" s="74">
        <f t="shared" si="30"/>
        <v>1.0120708477724163</v>
      </c>
      <c r="AL12" s="74">
        <f t="shared" ref="AL12:AL13" si="49">IMARGUMENT(AJ12)</f>
        <v>0.154600545431201</v>
      </c>
      <c r="AM12" s="74" t="str">
        <f t="shared" si="32"/>
        <v>1+i</v>
      </c>
      <c r="AN12" s="74">
        <f t="shared" si="33"/>
        <v>1.4142135623730951</v>
      </c>
      <c r="AO12" s="74">
        <f t="shared" ref="AO12:AO13" si="50">IMARGUMENT(AM12)</f>
        <v>0.78539816339744828</v>
      </c>
      <c r="AP12" s="71" t="str">
        <f t="shared" ref="AP12:AP13" si="51">IMPRODUCT(AF12,IMDIV(AM12,IMPRODUCT(AG12,AJ12)))</f>
        <v>-8.92114280649636+12.2151032273565i</v>
      </c>
      <c r="AQ12" s="74">
        <f t="shared" si="36"/>
        <v>23.594475464155707</v>
      </c>
      <c r="AR12" s="77">
        <f t="shared" ref="AR12:AR13" si="52">(180/PI())*IMARGUMENT(AP12)</f>
        <v>126.14204123637177</v>
      </c>
      <c r="AS12" s="71" t="str">
        <f t="shared" ref="AS12:AS13" si="53">IMPRODUCT(AC12,AP12)</f>
        <v>168.76772979764+110.129572349557i</v>
      </c>
      <c r="AT12" s="76">
        <f t="shared" si="39"/>
        <v>46.086444250152198</v>
      </c>
      <c r="AU12" s="77">
        <f t="shared" ref="AU12:AU13" si="54">(180/PI())*IMARGUMENT(AS12)</f>
        <v>33.12650269406501</v>
      </c>
    </row>
    <row r="13" spans="1:48" s="31" customFormat="1" ht="15" thickBot="1" x14ac:dyDescent="0.4">
      <c r="A13" s="31" t="s">
        <v>60</v>
      </c>
      <c r="B13" s="3">
        <f>Fsw</f>
        <v>110000</v>
      </c>
      <c r="C13" s="31" t="s">
        <v>61</v>
      </c>
      <c r="E13" s="31" t="s">
        <v>62</v>
      </c>
      <c r="N13" s="62" t="s">
        <v>223</v>
      </c>
      <c r="O13" s="63">
        <f>wp1_ea/(2*PI())</f>
        <v>2182.1457653269126</v>
      </c>
      <c r="P13" s="80" t="str">
        <f t="shared" si="6"/>
        <v>547.187404092767</v>
      </c>
      <c r="Q13" s="54" t="str">
        <f t="shared" si="41"/>
        <v>1+262.950764439042i</v>
      </c>
      <c r="R13" s="54">
        <f t="shared" si="12"/>
        <v>262.95266592882558</v>
      </c>
      <c r="S13" s="54">
        <f t="shared" si="42"/>
        <v>1.5669933518111359</v>
      </c>
      <c r="T13" s="54" t="str">
        <f t="shared" si="14"/>
        <v>1+0.00497553790143803i</v>
      </c>
      <c r="U13" s="54">
        <f t="shared" si="15"/>
        <v>1.000012377912098</v>
      </c>
      <c r="V13" s="54">
        <f t="shared" si="43"/>
        <v>4.9754968439465839E-3</v>
      </c>
      <c r="W13" s="55" t="str">
        <f t="shared" si="17"/>
        <v>1-0.0864014492632658i</v>
      </c>
      <c r="X13" s="54">
        <f t="shared" si="18"/>
        <v>1.0037256649278192</v>
      </c>
      <c r="Y13" s="54">
        <f t="shared" si="44"/>
        <v>-8.6187405510536205E-2</v>
      </c>
      <c r="Z13" s="55" t="str">
        <f t="shared" si="20"/>
        <v>0.998425864416154+0.413402095275776i</v>
      </c>
      <c r="AA13" s="54">
        <f t="shared" si="21"/>
        <v>1.0806273636705421</v>
      </c>
      <c r="AB13" s="54">
        <f t="shared" si="45"/>
        <v>0.39256276992308942</v>
      </c>
      <c r="AC13" s="59" t="str">
        <f t="shared" si="46"/>
        <v>-0.875322180296711-1.7233116046864i</v>
      </c>
      <c r="AD13" s="65">
        <f t="shared" si="24"/>
        <v>5.7240591505786673</v>
      </c>
      <c r="AE13" s="63">
        <f t="shared" si="47"/>
        <v>-116.92739510719235</v>
      </c>
      <c r="AF13" s="55" t="str">
        <f t="shared" si="5"/>
        <v>-0.000106860158311346</v>
      </c>
      <c r="AG13" s="55" t="str">
        <f t="shared" si="26"/>
        <v>0.0000633440170940171i</v>
      </c>
      <c r="AH13" s="55">
        <f t="shared" si="27"/>
        <v>6.3344017094017101E-5</v>
      </c>
      <c r="AI13" s="55">
        <f t="shared" si="48"/>
        <v>1.5707963267948966</v>
      </c>
      <c r="AJ13" s="55" t="str">
        <f t="shared" si="29"/>
        <v>1+i</v>
      </c>
      <c r="AK13" s="55">
        <f t="shared" si="30"/>
        <v>1.4142135623730951</v>
      </c>
      <c r="AL13" s="55">
        <f t="shared" si="49"/>
        <v>0.78539816339744828</v>
      </c>
      <c r="AM13" s="55" t="str">
        <f t="shared" si="32"/>
        <v>1+6.41666666666665i</v>
      </c>
      <c r="AN13" s="55">
        <f t="shared" si="33"/>
        <v>6.4941212732063214</v>
      </c>
      <c r="AO13" s="55">
        <f t="shared" si="50"/>
        <v>1.4161957813636954</v>
      </c>
      <c r="AP13" s="62" t="str">
        <f t="shared" si="51"/>
        <v>-4.56890708921+6.25588816830293i</v>
      </c>
      <c r="AQ13" s="55">
        <f t="shared" si="36"/>
        <v>17.782312166428078</v>
      </c>
      <c r="AR13" s="63">
        <f t="shared" si="52"/>
        <v>126.14204123637161</v>
      </c>
      <c r="AS13" s="62" t="str">
        <f t="shared" si="53"/>
        <v>14.7801103929572+2.39773293639823i</v>
      </c>
      <c r="AT13" s="65">
        <f t="shared" si="39"/>
        <v>23.506371317006757</v>
      </c>
      <c r="AU13" s="63">
        <f t="shared" si="54"/>
        <v>9.2146461291792221</v>
      </c>
    </row>
    <row r="14" spans="1:48" s="31" customFormat="1" x14ac:dyDescent="0.35">
      <c r="B14" s="26"/>
      <c r="O14" s="50"/>
    </row>
    <row r="15" spans="1:48" ht="15" thickBot="1" x14ac:dyDescent="0.4">
      <c r="A15" s="68" t="s">
        <v>216</v>
      </c>
      <c r="N15" s="31"/>
      <c r="O15" s="50" t="s">
        <v>185</v>
      </c>
      <c r="P15" s="31">
        <f>B16</f>
        <v>12</v>
      </c>
      <c r="Q15" s="31" t="s">
        <v>11</v>
      </c>
      <c r="R15" s="31"/>
      <c r="S15" s="31"/>
      <c r="T15" s="31"/>
      <c r="U15" s="31"/>
      <c r="V15" s="31"/>
      <c r="W15" s="31"/>
      <c r="X15" s="31"/>
      <c r="Y15" s="31"/>
      <c r="Z15" s="31"/>
      <c r="AA15" s="31"/>
      <c r="AB15" s="31"/>
      <c r="AD15" s="31"/>
      <c r="AE15" s="31"/>
      <c r="AF15" s="31"/>
      <c r="AG15" s="31"/>
      <c r="AH15" s="31"/>
      <c r="AI15" s="31"/>
      <c r="AJ15" s="31"/>
      <c r="AK15" s="31"/>
      <c r="AL15" s="31"/>
      <c r="AM15" s="31"/>
      <c r="AN15" s="31"/>
      <c r="AO15" s="31"/>
      <c r="AQ15" s="31"/>
      <c r="AR15" s="31"/>
      <c r="AT15" s="31"/>
      <c r="AU15" s="31"/>
      <c r="AV15" s="31"/>
    </row>
    <row r="16" spans="1:48" ht="15" thickBot="1" x14ac:dyDescent="0.4">
      <c r="A16" t="s">
        <v>187</v>
      </c>
      <c r="B16" s="43">
        <f>VIN_var</f>
        <v>12</v>
      </c>
      <c r="C16" t="s">
        <v>11</v>
      </c>
      <c r="E16" t="s">
        <v>188</v>
      </c>
      <c r="F16" s="31"/>
      <c r="G16" s="31"/>
      <c r="N16" s="31"/>
      <c r="O16" s="67"/>
      <c r="P16" s="282" t="s">
        <v>214</v>
      </c>
      <c r="Q16" s="282"/>
      <c r="R16" s="282"/>
      <c r="S16" s="282"/>
      <c r="T16" s="282"/>
      <c r="U16" s="282"/>
      <c r="V16" s="282"/>
      <c r="W16" s="282"/>
      <c r="X16" s="282"/>
      <c r="Y16" s="282"/>
      <c r="Z16" s="282"/>
      <c r="AA16" s="282"/>
      <c r="AB16" s="282"/>
      <c r="AC16" s="282"/>
      <c r="AD16" s="282"/>
      <c r="AE16" s="283"/>
      <c r="AF16" s="284" t="s">
        <v>215</v>
      </c>
      <c r="AG16" s="282"/>
      <c r="AH16" s="282"/>
      <c r="AI16" s="282"/>
      <c r="AJ16" s="282"/>
      <c r="AK16" s="282"/>
      <c r="AL16" s="282"/>
      <c r="AM16" s="282"/>
      <c r="AN16" s="282"/>
      <c r="AO16" s="282"/>
      <c r="AP16" s="282"/>
      <c r="AQ16" s="282"/>
      <c r="AR16" s="283"/>
      <c r="AS16" s="284" t="s">
        <v>226</v>
      </c>
      <c r="AT16" s="282"/>
      <c r="AU16" s="283"/>
      <c r="AV16" s="31"/>
    </row>
    <row r="17" spans="1:48" x14ac:dyDescent="0.35">
      <c r="A17" t="s">
        <v>501</v>
      </c>
      <c r="B17" s="43">
        <f>POUT_Total</f>
        <v>24.324999999999999</v>
      </c>
      <c r="C17" t="s">
        <v>36</v>
      </c>
      <c r="E17" t="s">
        <v>502</v>
      </c>
      <c r="N17" s="31"/>
      <c r="O17" s="52"/>
      <c r="P17" s="49"/>
      <c r="Q17" s="285" t="s">
        <v>206</v>
      </c>
      <c r="R17" s="285"/>
      <c r="S17" s="285"/>
      <c r="T17" s="286" t="s">
        <v>208</v>
      </c>
      <c r="U17" s="286"/>
      <c r="V17" s="286"/>
      <c r="W17" s="286" t="s">
        <v>208</v>
      </c>
      <c r="X17" s="286"/>
      <c r="Y17" s="286"/>
      <c r="Z17" s="286" t="s">
        <v>211</v>
      </c>
      <c r="AA17" s="286"/>
      <c r="AB17" s="286"/>
      <c r="AC17" s="287" t="s">
        <v>213</v>
      </c>
      <c r="AD17" s="286"/>
      <c r="AE17" s="288"/>
      <c r="AF17" s="49"/>
      <c r="AG17" s="286" t="s">
        <v>222</v>
      </c>
      <c r="AH17" s="286"/>
      <c r="AI17" s="286"/>
      <c r="AJ17" s="286" t="s">
        <v>223</v>
      </c>
      <c r="AK17" s="286"/>
      <c r="AL17" s="286"/>
      <c r="AM17" s="286" t="s">
        <v>217</v>
      </c>
      <c r="AN17" s="286"/>
      <c r="AO17" s="286"/>
      <c r="AP17" s="287" t="s">
        <v>213</v>
      </c>
      <c r="AQ17" s="286"/>
      <c r="AR17" s="288"/>
      <c r="AS17" s="287" t="s">
        <v>213</v>
      </c>
      <c r="AT17" s="286"/>
      <c r="AU17" s="288"/>
      <c r="AV17" s="31"/>
    </row>
    <row r="18" spans="1:48" ht="15" thickBot="1" x14ac:dyDescent="0.4">
      <c r="A18" t="s">
        <v>503</v>
      </c>
      <c r="B18" s="1">
        <f>Cout_total</f>
        <v>3.0017777777777773E-4</v>
      </c>
      <c r="C18" t="s">
        <v>151</v>
      </c>
      <c r="N18" s="10"/>
      <c r="O18" s="53" t="s">
        <v>184</v>
      </c>
      <c r="P18" s="54" t="s">
        <v>189</v>
      </c>
      <c r="Q18" s="55" t="s">
        <v>212</v>
      </c>
      <c r="R18" s="54" t="s">
        <v>209</v>
      </c>
      <c r="S18" s="54" t="s">
        <v>210</v>
      </c>
      <c r="T18" s="54" t="s">
        <v>212</v>
      </c>
      <c r="U18" s="54" t="s">
        <v>209</v>
      </c>
      <c r="V18" s="54" t="s">
        <v>210</v>
      </c>
      <c r="W18" s="56" t="s">
        <v>212</v>
      </c>
      <c r="X18" s="54" t="s">
        <v>209</v>
      </c>
      <c r="Y18" s="54" t="s">
        <v>210</v>
      </c>
      <c r="Z18" s="56" t="s">
        <v>212</v>
      </c>
      <c r="AA18" s="56" t="s">
        <v>209</v>
      </c>
      <c r="AB18" s="56" t="s">
        <v>210</v>
      </c>
      <c r="AC18" s="60" t="s">
        <v>227</v>
      </c>
      <c r="AD18" s="56" t="s">
        <v>209</v>
      </c>
      <c r="AE18" s="57" t="s">
        <v>210</v>
      </c>
      <c r="AF18" s="54" t="s">
        <v>224</v>
      </c>
      <c r="AG18" s="56" t="s">
        <v>212</v>
      </c>
      <c r="AH18" s="56" t="s">
        <v>225</v>
      </c>
      <c r="AI18" s="56" t="s">
        <v>210</v>
      </c>
      <c r="AJ18" s="56" t="s">
        <v>212</v>
      </c>
      <c r="AK18" s="56" t="s">
        <v>225</v>
      </c>
      <c r="AL18" s="56" t="s">
        <v>210</v>
      </c>
      <c r="AM18" s="56" t="s">
        <v>212</v>
      </c>
      <c r="AN18" s="56" t="s">
        <v>225</v>
      </c>
      <c r="AO18" s="56" t="s">
        <v>210</v>
      </c>
      <c r="AP18" s="60" t="s">
        <v>227</v>
      </c>
      <c r="AQ18" s="56" t="s">
        <v>209</v>
      </c>
      <c r="AR18" s="57" t="s">
        <v>210</v>
      </c>
      <c r="AS18" s="60" t="s">
        <v>227</v>
      </c>
      <c r="AT18" s="56" t="s">
        <v>209</v>
      </c>
      <c r="AU18" s="57" t="s">
        <v>210</v>
      </c>
      <c r="AV18" s="31"/>
    </row>
    <row r="19" spans="1:48" x14ac:dyDescent="0.35">
      <c r="A19" t="s">
        <v>491</v>
      </c>
      <c r="B19" s="1">
        <f>Resr_total</f>
        <v>1.2089208688756069E-3</v>
      </c>
      <c r="C19" s="2" t="s">
        <v>35</v>
      </c>
      <c r="N19" s="10">
        <v>1</v>
      </c>
      <c r="O19" s="50">
        <f>10^(1+(N19/100))</f>
        <v>10.232929922807543</v>
      </c>
      <c r="P19" s="48" t="str">
        <f t="shared" ref="P19:P82" si="55">COMPLEX(Adc,0)</f>
        <v>547.187404092767</v>
      </c>
      <c r="Q19" s="17" t="str">
        <f t="shared" ref="Q19:Q82" si="56">IMSUM(COMPLEX(1,0),IMDIV(COMPLEX(0,2*PI()*O19),COMPLEX(wp_lf,0)))</f>
        <v>1+1.23307837102728i</v>
      </c>
      <c r="R19" s="17">
        <f>IMABS(Q19)</f>
        <v>1.5876026798589407</v>
      </c>
      <c r="S19" s="17">
        <f>IMARGUMENT(Q19)</f>
        <v>0.88939695796402707</v>
      </c>
      <c r="T19" s="17" t="str">
        <f t="shared" ref="T19:T82" si="57">IMSUM(COMPLEX(1,0),IMDIV(COMPLEX(0,2*PI()*O19),COMPLEX(wz_esr,0)))</f>
        <v>1+0.0000233322317338689i</v>
      </c>
      <c r="U19" s="17">
        <f>IMABS(T19)</f>
        <v>1.0000000002721965</v>
      </c>
      <c r="V19" s="17">
        <f>IMARGUMENT(T19)</f>
        <v>2.3332231729634931E-5</v>
      </c>
      <c r="W19" s="31" t="str">
        <f t="shared" ref="W19:W82" si="58">IMSUB(COMPLEX(1,0),IMDIV(COMPLEX(0,2*PI()*O19),COMPLEX(wz_rhp,0)))</f>
        <v>1-0.000405169988911147i</v>
      </c>
      <c r="X19" s="17">
        <f>IMABS(W19)</f>
        <v>1.0000000820813566</v>
      </c>
      <c r="Y19" s="17">
        <f>IMARGUMENT(W19)</f>
        <v>-4.0516996673988008E-4</v>
      </c>
      <c r="Z19" s="31" t="str">
        <f t="shared" ref="Z19:Z82" si="59">IMSUM(COMPLEX(1,0),IMDIV(COMPLEX(0,2*PI()*O19),COMPLEX(Q*(wsl/2),0)),IMDIV(IMPOWER(COMPLEX(0,2*PI()*O19),2),IMPOWER(COMPLEX(wsl/2,0),2)))</f>
        <v>0.99999996538418+0.00193860315755079i</v>
      </c>
      <c r="AA19" s="17">
        <f>IMABS(Z19)</f>
        <v>1.0000018444735808</v>
      </c>
      <c r="AB19" s="17">
        <f>IMARGUMENT(Z19)</f>
        <v>1.9386007961210594E-3</v>
      </c>
      <c r="AC19" s="66" t="str">
        <f>(IMDIV(IMPRODUCT(P19,T19,W19),IMPRODUCT(Q19,Z19)))</f>
        <v>216.474172350189-268.199331170423i</v>
      </c>
      <c r="AD19" s="64">
        <f>20*LOG(IMABS(AC19))</f>
        <v>50.747870060884878</v>
      </c>
      <c r="AE19" s="61">
        <f>(180/PI())*IMARGUMENT(AC19)</f>
        <v>-51.091643337566353</v>
      </c>
      <c r="AF19" s="31" t="str">
        <f t="shared" ref="AF19:AF82" si="60">COMPLEX(Adc_ea,0)</f>
        <v>-0.000106860158311346</v>
      </c>
      <c r="AG19" s="31" t="str">
        <f t="shared" ref="AG19:AG82" si="61">COMPLEX(0,2*PI()*O19*wp0_ea)</f>
        <v>2.97044724624568E-07i</v>
      </c>
      <c r="AH19" s="31">
        <f>IMABS(AG19)</f>
        <v>2.97044724624568E-7</v>
      </c>
      <c r="AI19" s="31">
        <f>IMARGUMENT(AG19)</f>
        <v>1.5707963267948966</v>
      </c>
      <c r="AJ19" s="31" t="str">
        <f t="shared" ref="AJ19:AJ82" si="62">IMSUM(COMPLEX(1,0),IMDIV(COMPLEX(0,2*PI()*O19),COMPLEX(wp1_ea,0)))</f>
        <v>1+0.00468938880500246i</v>
      </c>
      <c r="AK19" s="31">
        <f>IMABS(AJ19)</f>
        <v>1.0000109951232359</v>
      </c>
      <c r="AL19" s="31">
        <f>IMARGUMENT(AJ19)</f>
        <v>4.6893544316618093E-3</v>
      </c>
      <c r="AM19" s="31" t="str">
        <f t="shared" ref="AM19:AM82" si="63">IMSUM(COMPLEX(1,0),IMDIV(COMPLEX(0,2*PI()*O19),COMPLEX(wz_ea,0)))</f>
        <v>1+0.0300902448320991i</v>
      </c>
      <c r="AN19" s="31">
        <f>IMABS(AM19)</f>
        <v>1.0004526089895791</v>
      </c>
      <c r="AO19" s="31">
        <f>IMARGUMENT(AM19)</f>
        <v>3.0081168297532327E-2</v>
      </c>
      <c r="AP19" s="58" t="str">
        <f>IMPRODUCT(AF19,IMDIV(AM19,IMPRODUCT(AG19,AJ19)))</f>
        <v>-9.13761323894808+359.787189487268i</v>
      </c>
      <c r="AQ19" s="49">
        <f>20*LOG(IMABS(AP19))</f>
        <v>51.123714307072717</v>
      </c>
      <c r="AR19" s="61">
        <f>(180/PI())*IMARGUMENT(AP19)</f>
        <v>91.454843768696136</v>
      </c>
      <c r="AS19" s="58" t="str">
        <f>IMPRODUCT(AC19,AP19)</f>
        <v>94516.6263210141+80335.3358256368i</v>
      </c>
      <c r="AT19" s="64">
        <f>20*LOG(IMABS(AS19))</f>
        <v>101.87158436795758</v>
      </c>
      <c r="AU19" s="61">
        <f>(180/PI())*IMARGUMENT(AS19)</f>
        <v>40.363200431129783</v>
      </c>
      <c r="AV19" s="31"/>
    </row>
    <row r="20" spans="1:48" x14ac:dyDescent="0.35">
      <c r="N20" s="10">
        <v>2</v>
      </c>
      <c r="O20" s="50">
        <f t="shared" ref="O20:O83" si="64">10^(1+(N20/100))</f>
        <v>10.471285480509</v>
      </c>
      <c r="P20" s="48" t="str">
        <f t="shared" si="55"/>
        <v>547.187404092767</v>
      </c>
      <c r="Q20" s="17" t="str">
        <f t="shared" si="56"/>
        <v>1+1.26180045600519i</v>
      </c>
      <c r="R20" s="17">
        <f t="shared" ref="R20:R83" si="65">IMABS(Q20)</f>
        <v>1.6100125436700505</v>
      </c>
      <c r="S20" s="17">
        <f t="shared" ref="S20:S83" si="66">IMARGUMENT(Q20)</f>
        <v>0.90063405211731162</v>
      </c>
      <c r="T20" s="17" t="str">
        <f t="shared" si="57"/>
        <v>1+0.0000238757092275387i</v>
      </c>
      <c r="U20" s="17">
        <f t="shared" ref="U20:U83" si="67">IMABS(T20)</f>
        <v>1.0000000002850249</v>
      </c>
      <c r="V20" s="17">
        <f t="shared" ref="V20:V83" si="68">IMARGUMENT(T20)</f>
        <v>2.3875709223001922E-5</v>
      </c>
      <c r="W20" s="31" t="str">
        <f t="shared" si="58"/>
        <v>1-0.000414607610335247i</v>
      </c>
      <c r="X20" s="17">
        <f t="shared" ref="X20:X83" si="69">IMABS(W20)</f>
        <v>1.0000000859497316</v>
      </c>
      <c r="Y20" s="17">
        <f t="shared" ref="Y20:Y83" si="70">IMARGUMENT(W20)</f>
        <v>-4.1460758657830659E-4</v>
      </c>
      <c r="Z20" s="31" t="str">
        <f t="shared" si="59"/>
        <v>0.999999963752787+0.00198375902593506i</v>
      </c>
      <c r="AA20" s="17">
        <f t="shared" ref="AA20:AA83" si="71">IMABS(Z20)</f>
        <v>1.000001931400859</v>
      </c>
      <c r="AB20" s="17">
        <f t="shared" ref="AB20:AB83" si="72">IMARGUMENT(Z20)</f>
        <v>1.9837564956177792E-3</v>
      </c>
      <c r="AC20" s="66" t="str">
        <f t="shared" ref="AC20:AC83" si="73">(IMDIV(IMPRODUCT(P20,T20,W20),IMPRODUCT(Q20,Z20)))</f>
        <v>210.461367564064-266.859536074328i</v>
      </c>
      <c r="AD20" s="64">
        <f t="shared" ref="AD20:AD83" si="74">20*LOG(IMABS(AC20))</f>
        <v>50.62612061297213</v>
      </c>
      <c r="AE20" s="61">
        <f t="shared" ref="AE20:AE83" si="75">(180/PI())*IMARGUMENT(AC20)</f>
        <v>-51.738578234361754</v>
      </c>
      <c r="AF20" s="31" t="str">
        <f t="shared" si="60"/>
        <v>-0.000106860158311346</v>
      </c>
      <c r="AG20" s="31" t="str">
        <f t="shared" si="61"/>
        <v>3.03963785102287E-07i</v>
      </c>
      <c r="AH20" s="31">
        <f t="shared" ref="AH20:AH83" si="76">IMABS(AG20)</f>
        <v>3.0396378510228701E-7</v>
      </c>
      <c r="AI20" s="31">
        <f t="shared" ref="AI20:AI83" si="77">IMARGUMENT(AG20)</f>
        <v>1.5707963267948966</v>
      </c>
      <c r="AJ20" s="31" t="str">
        <f t="shared" si="62"/>
        <v>1+0.00479861870223884i</v>
      </c>
      <c r="AK20" s="31">
        <f t="shared" ref="AK20:AK83" si="78">IMABS(AJ20)</f>
        <v>1.0000115133044467</v>
      </c>
      <c r="AL20" s="31">
        <f t="shared" ref="AL20:AL83" si="79">IMARGUMENT(AJ20)</f>
        <v>4.7985818705636495E-3</v>
      </c>
      <c r="AM20" s="31" t="str">
        <f t="shared" si="63"/>
        <v>1+0.0307911366726992i</v>
      </c>
      <c r="AN20" s="31">
        <f t="shared" ref="AN20:AN83" si="80">IMABS(AM20)</f>
        <v>1.0004739347417286</v>
      </c>
      <c r="AO20" s="31">
        <f t="shared" ref="AO20:AO83" si="81">IMARGUMENT(AM20)</f>
        <v>3.0781411239496299E-2</v>
      </c>
      <c r="AP20" s="58" t="str">
        <f t="shared" ref="AP20:AP83" si="82">IMPRODUCT(AF20,IMDIV(AM20,IMPRODUCT(AG20,AJ20)))</f>
        <v>-9.13760376918058+351.599406626165i</v>
      </c>
      <c r="AQ20" s="49">
        <f t="shared" ref="AQ20:AQ83" si="83">20*LOG(IMABS(AP20))</f>
        <v>50.923894953614621</v>
      </c>
      <c r="AR20" s="61">
        <f t="shared" ref="AR20:AR83" si="84">(180/PI())*IMARGUMENT(AP20)</f>
        <v>91.488706462648395</v>
      </c>
      <c r="AS20" s="58" t="str">
        <f t="shared" ref="AS20:AS83" si="85">IMPRODUCT(AC20,AP20)</f>
        <v>91904.5419507471+76436.5486559307i</v>
      </c>
      <c r="AT20" s="64">
        <f t="shared" ref="AT20:AT83" si="86">20*LOG(IMABS(AS20))</f>
        <v>101.55001556658675</v>
      </c>
      <c r="AU20" s="61">
        <f t="shared" ref="AU20:AU83" si="87">(180/PI())*IMARGUMENT(AS20)</f>
        <v>39.750128228286663</v>
      </c>
      <c r="AV20" s="31"/>
    </row>
    <row r="21" spans="1:48" s="31" customFormat="1" x14ac:dyDescent="0.35">
      <c r="N21" s="10">
        <v>3</v>
      </c>
      <c r="O21" s="50">
        <f t="shared" si="64"/>
        <v>10.715193052376069</v>
      </c>
      <c r="P21" s="48" t="str">
        <f t="shared" si="55"/>
        <v>547.187404092767</v>
      </c>
      <c r="Q21" s="17" t="str">
        <f t="shared" si="56"/>
        <v>1+1.29119156428677i</v>
      </c>
      <c r="R21" s="17">
        <f t="shared" si="65"/>
        <v>1.6331489998421198</v>
      </c>
      <c r="S21" s="17">
        <f t="shared" si="66"/>
        <v>0.91181220224674764</v>
      </c>
      <c r="T21" s="17" t="str">
        <f t="shared" si="57"/>
        <v>1+0.0000244318459382733i</v>
      </c>
      <c r="U21" s="17">
        <f t="shared" si="67"/>
        <v>1.0000000002984577</v>
      </c>
      <c r="V21" s="17">
        <f t="shared" si="68"/>
        <v>2.4431845933412051E-5</v>
      </c>
      <c r="W21" s="31" t="str">
        <f t="shared" si="58"/>
        <v>1-0.000424265062202328i</v>
      </c>
      <c r="X21" s="17">
        <f t="shared" si="69"/>
        <v>1.0000000900004173</v>
      </c>
      <c r="Y21" s="17">
        <f t="shared" si="70"/>
        <v>-4.2426503674630777E-4</v>
      </c>
      <c r="Z21" s="31" t="str">
        <f t="shared" si="59"/>
        <v>0.999999962044508+0.00202996670961304i</v>
      </c>
      <c r="AA21" s="17">
        <f t="shared" si="71"/>
        <v>1.0000020224248847</v>
      </c>
      <c r="AB21" s="17">
        <f t="shared" si="72"/>
        <v>2.029963998329522E-3</v>
      </c>
      <c r="AC21" s="66" t="str">
        <f t="shared" si="73"/>
        <v>204.511474895436-265.39304172411i</v>
      </c>
      <c r="AD21" s="64">
        <f t="shared" si="74"/>
        <v>50.502188865322061</v>
      </c>
      <c r="AE21" s="61">
        <f t="shared" si="75"/>
        <v>-52.382208021278281</v>
      </c>
      <c r="AF21" s="31" t="str">
        <f t="shared" si="60"/>
        <v>-0.000106860158311346</v>
      </c>
      <c r="AG21" s="31" t="str">
        <f t="shared" si="61"/>
        <v>3.11044011202303E-07i</v>
      </c>
      <c r="AH21" s="31">
        <f t="shared" si="76"/>
        <v>3.1104401120230302E-7</v>
      </c>
      <c r="AI21" s="31">
        <f t="shared" si="77"/>
        <v>1.5707963267948966</v>
      </c>
      <c r="AJ21" s="31" t="str">
        <f t="shared" si="62"/>
        <v>1+0.00491039289062837i</v>
      </c>
      <c r="AK21" s="31">
        <f t="shared" si="78"/>
        <v>1.0000120559064978</v>
      </c>
      <c r="AL21" s="31">
        <f t="shared" si="79"/>
        <v>4.9103534248030566E-3</v>
      </c>
      <c r="AM21" s="31" t="str">
        <f t="shared" si="63"/>
        <v>1+0.031508354381532i</v>
      </c>
      <c r="AN21" s="31">
        <f t="shared" si="80"/>
        <v>1.0004962650584119</v>
      </c>
      <c r="AO21" s="31">
        <f t="shared" si="81"/>
        <v>3.1497933671255363E-2</v>
      </c>
      <c r="AP21" s="58" t="str">
        <f t="shared" si="82"/>
        <v>-9.13759385313772+343.59804642014i</v>
      </c>
      <c r="AQ21" s="49">
        <f t="shared" si="83"/>
        <v>50.724084105311235</v>
      </c>
      <c r="AR21" s="61">
        <f t="shared" si="84"/>
        <v>91.523356135587107</v>
      </c>
      <c r="AS21" s="58" t="str">
        <f t="shared" si="85"/>
        <v>89319.7878740022+72694.7970712971i</v>
      </c>
      <c r="AT21" s="64">
        <f t="shared" si="86"/>
        <v>101.22627297063329</v>
      </c>
      <c r="AU21" s="61">
        <f t="shared" si="87"/>
        <v>39.141148114308862</v>
      </c>
    </row>
    <row r="22" spans="1:48" x14ac:dyDescent="0.35">
      <c r="N22" s="10">
        <v>4</v>
      </c>
      <c r="O22" s="50">
        <f t="shared" si="64"/>
        <v>10.964781961431854</v>
      </c>
      <c r="P22" s="48" t="str">
        <f t="shared" si="55"/>
        <v>547.187404092767</v>
      </c>
      <c r="Q22" s="17" t="str">
        <f t="shared" si="56"/>
        <v>1+1.32126727942667i</v>
      </c>
      <c r="R22" s="17">
        <f t="shared" si="65"/>
        <v>1.657029638746258</v>
      </c>
      <c r="S22" s="17">
        <f t="shared" si="66"/>
        <v>0.92292616194658839</v>
      </c>
      <c r="T22" s="17" t="str">
        <f t="shared" si="57"/>
        <v>1+0.0000250009367371181i</v>
      </c>
      <c r="U22" s="17">
        <f t="shared" si="67"/>
        <v>1.0000000003125233</v>
      </c>
      <c r="V22" s="17">
        <f t="shared" si="68"/>
        <v>2.5000936731909184E-5</v>
      </c>
      <c r="W22" s="31" t="str">
        <f t="shared" si="58"/>
        <v>1-0.000434147465021201i</v>
      </c>
      <c r="X22" s="17">
        <f t="shared" si="69"/>
        <v>1.0000000942420062</v>
      </c>
      <c r="Y22" s="17">
        <f t="shared" si="70"/>
        <v>-4.3414743774458403E-4</v>
      </c>
      <c r="Z22" s="31" t="str">
        <f t="shared" si="59"/>
        <v>0.999999960255721+0.00207725070851025i</v>
      </c>
      <c r="AA22" s="17">
        <f t="shared" si="71"/>
        <v>1.0000021177387324</v>
      </c>
      <c r="AB22" s="17">
        <f t="shared" si="72"/>
        <v>2.0772478033179503E-3</v>
      </c>
      <c r="AC22" s="66" t="str">
        <f t="shared" si="73"/>
        <v>198.629717640888-263.803466131191i</v>
      </c>
      <c r="AD22" s="64">
        <f t="shared" si="74"/>
        <v>50.376098728294451</v>
      </c>
      <c r="AE22" s="61">
        <f t="shared" si="75"/>
        <v>-53.022233781590423</v>
      </c>
      <c r="AF22" s="31" t="str">
        <f t="shared" si="60"/>
        <v>-0.000106860158311346</v>
      </c>
      <c r="AG22" s="31" t="str">
        <f t="shared" si="61"/>
        <v>3.18289156954213E-07i</v>
      </c>
      <c r="AH22" s="31">
        <f t="shared" si="76"/>
        <v>3.1828915695421298E-7</v>
      </c>
      <c r="AI22" s="31">
        <f t="shared" si="77"/>
        <v>1.5707963267948966</v>
      </c>
      <c r="AJ22" s="31" t="str">
        <f t="shared" si="62"/>
        <v>1+0.00502477063432525i</v>
      </c>
      <c r="AK22" s="31">
        <f t="shared" si="78"/>
        <v>1.0000126240802802</v>
      </c>
      <c r="AL22" s="31">
        <f t="shared" si="79"/>
        <v>5.0247283459603611E-3</v>
      </c>
      <c r="AM22" s="31" t="str">
        <f t="shared" si="63"/>
        <v>1+0.0322422782369203i</v>
      </c>
      <c r="AN22" s="31">
        <f t="shared" si="80"/>
        <v>1.0005196472363282</v>
      </c>
      <c r="AO22" s="31">
        <f t="shared" si="81"/>
        <v>3.2231112557877924E-2</v>
      </c>
      <c r="AP22" s="58" t="str">
        <f t="shared" si="82"/>
        <v>-9.13758346978923+335.778866441793i</v>
      </c>
      <c r="AQ22" s="49">
        <f t="shared" si="83"/>
        <v>50.524282162183241</v>
      </c>
      <c r="AR22" s="61">
        <f t="shared" si="84"/>
        <v>91.558810991154232</v>
      </c>
      <c r="AS22" s="58" t="str">
        <f t="shared" si="85"/>
        <v>86764.633196423+69106.1876225043i</v>
      </c>
      <c r="AT22" s="64">
        <f t="shared" si="86"/>
        <v>100.90038089047769</v>
      </c>
      <c r="AU22" s="61">
        <f t="shared" si="87"/>
        <v>38.536577209563816</v>
      </c>
      <c r="AV22" s="31"/>
    </row>
    <row r="23" spans="1:48" x14ac:dyDescent="0.35">
      <c r="N23" s="10">
        <v>5</v>
      </c>
      <c r="O23" s="50">
        <f t="shared" si="64"/>
        <v>11.220184543019636</v>
      </c>
      <c r="P23" s="48" t="str">
        <f t="shared" si="55"/>
        <v>547.187404092767</v>
      </c>
      <c r="Q23" s="17" t="str">
        <f t="shared" si="56"/>
        <v>1+1.35204354796717i</v>
      </c>
      <c r="R23" s="17">
        <f t="shared" si="65"/>
        <v>1.6816723092206913</v>
      </c>
      <c r="S23" s="17">
        <f t="shared" si="66"/>
        <v>0.93397084208087033</v>
      </c>
      <c r="T23" s="17" t="str">
        <f t="shared" si="57"/>
        <v>1+0.0000255832833635474i</v>
      </c>
      <c r="U23" s="17">
        <f t="shared" si="67"/>
        <v>1.0000000003272522</v>
      </c>
      <c r="V23" s="17">
        <f t="shared" si="68"/>
        <v>2.5583283357965945E-5</v>
      </c>
      <c r="W23" s="31" t="str">
        <f t="shared" si="58"/>
        <v>1-0.000444260058572648i</v>
      </c>
      <c r="X23" s="17">
        <f t="shared" si="69"/>
        <v>1.0000000986834949</v>
      </c>
      <c r="Y23" s="17">
        <f t="shared" si="70"/>
        <v>-4.4426002934522653E-4</v>
      </c>
      <c r="Z23" s="31" t="str">
        <f t="shared" si="59"/>
        <v>0.999999958382631+0.00212563609322877i</v>
      </c>
      <c r="AA23" s="17">
        <f t="shared" si="71"/>
        <v>1.0000022175445735</v>
      </c>
      <c r="AB23" s="17">
        <f t="shared" si="72"/>
        <v>2.1256329802595082E-3</v>
      </c>
      <c r="AC23" s="66" t="str">
        <f t="shared" si="73"/>
        <v>192.821057482656-262.094676464416i</v>
      </c>
      <c r="AD23" s="64">
        <f t="shared" si="74"/>
        <v>50.247875970457656</v>
      </c>
      <c r="AE23" s="61">
        <f t="shared" si="75"/>
        <v>-53.658365648601396</v>
      </c>
      <c r="AF23" s="31" t="str">
        <f t="shared" si="60"/>
        <v>-0.000106860158311346</v>
      </c>
      <c r="AG23" s="31" t="str">
        <f t="shared" si="61"/>
        <v>3.25703063830195E-07i</v>
      </c>
      <c r="AH23" s="31">
        <f t="shared" si="76"/>
        <v>3.25703063830195E-7</v>
      </c>
      <c r="AI23" s="31">
        <f t="shared" si="77"/>
        <v>1.5707963267948966</v>
      </c>
      <c r="AJ23" s="31" t="str">
        <f t="shared" si="62"/>
        <v>1+0.00514181257792315i</v>
      </c>
      <c r="AK23" s="31">
        <f t="shared" si="78"/>
        <v>1.0000132190309219</v>
      </c>
      <c r="AL23" s="31">
        <f t="shared" si="79"/>
        <v>5.141767265156136E-3</v>
      </c>
      <c r="AM23" s="31" t="str">
        <f t="shared" si="63"/>
        <v>1+0.0329932973750068i</v>
      </c>
      <c r="AN23" s="31">
        <f t="shared" si="80"/>
        <v>1.0005441307966758</v>
      </c>
      <c r="AO23" s="31">
        <f t="shared" si="81"/>
        <v>3.2981333485741476E-2</v>
      </c>
      <c r="AP23" s="58" t="str">
        <f t="shared" si="82"/>
        <v>-9.1375725971139+328.137720858075i</v>
      </c>
      <c r="AQ23" s="49">
        <f t="shared" si="83"/>
        <v>50.324489543025372</v>
      </c>
      <c r="AR23" s="61">
        <f t="shared" si="84"/>
        <v>91.595089647914506</v>
      </c>
      <c r="AS23" s="58" t="str">
        <f t="shared" si="85"/>
        <v>84241.233373068+65666.7714693133i</v>
      </c>
      <c r="AT23" s="64">
        <f t="shared" si="86"/>
        <v>100.57236551348304</v>
      </c>
      <c r="AU23" s="61">
        <f t="shared" si="87"/>
        <v>37.936723999313124</v>
      </c>
      <c r="AV23" s="31"/>
    </row>
    <row r="24" spans="1:48" x14ac:dyDescent="0.35">
      <c r="N24" s="10">
        <v>6</v>
      </c>
      <c r="O24" s="50">
        <f t="shared" si="64"/>
        <v>11.481536214968834</v>
      </c>
      <c r="P24" s="48" t="str">
        <f t="shared" si="55"/>
        <v>547.187404092767</v>
      </c>
      <c r="Q24" s="17" t="str">
        <f t="shared" si="56"/>
        <v>1+1.38353668789322i</v>
      </c>
      <c r="R24" s="17">
        <f t="shared" si="65"/>
        <v>1.707095125277599</v>
      </c>
      <c r="S24" s="17">
        <f t="shared" si="66"/>
        <v>0.94494132078964432</v>
      </c>
      <c r="T24" s="17" t="str">
        <f t="shared" si="57"/>
        <v>1+0.0000261791945854508i</v>
      </c>
      <c r="U24" s="17">
        <f t="shared" si="67"/>
        <v>1.000000000342675</v>
      </c>
      <c r="V24" s="17">
        <f t="shared" si="68"/>
        <v>2.6179194579470163E-5</v>
      </c>
      <c r="W24" s="31" t="str">
        <f t="shared" si="58"/>
        <v>1-0.000454608204687629i</v>
      </c>
      <c r="X24" s="17">
        <f t="shared" si="69"/>
        <v>1.0000001033343044</v>
      </c>
      <c r="Y24" s="17">
        <f t="shared" si="70"/>
        <v>-4.546081733698828E-4</v>
      </c>
      <c r="Z24" s="31" t="str">
        <f t="shared" si="59"/>
        <v>0.999999956421265+0.00217514851834004i</v>
      </c>
      <c r="AA24" s="17">
        <f t="shared" si="71"/>
        <v>1.0000023220541083</v>
      </c>
      <c r="AB24" s="17">
        <f t="shared" si="72"/>
        <v>2.1751451827337971E-3</v>
      </c>
      <c r="AC24" s="66" t="str">
        <f t="shared" si="73"/>
        <v>187.090180631031-260.27076706451i</v>
      </c>
      <c r="AD24" s="64">
        <f t="shared" si="74"/>
        <v>50.117548120552257</v>
      </c>
      <c r="AE24" s="61">
        <f t="shared" si="75"/>
        <v>-54.290323379868845</v>
      </c>
      <c r="AF24" s="31" t="str">
        <f t="shared" si="60"/>
        <v>-0.000106860158311346</v>
      </c>
      <c r="AG24" s="31" t="str">
        <f t="shared" si="61"/>
        <v>3.3328966278181E-07i</v>
      </c>
      <c r="AH24" s="31">
        <f t="shared" si="76"/>
        <v>3.3328966278181001E-7</v>
      </c>
      <c r="AI24" s="31">
        <f t="shared" si="77"/>
        <v>1.5707963267948966</v>
      </c>
      <c r="AJ24" s="31" t="str">
        <f t="shared" si="62"/>
        <v>1+0.00526158077860979i</v>
      </c>
      <c r="AK24" s="31">
        <f t="shared" si="78"/>
        <v>1.0000138420203442</v>
      </c>
      <c r="AL24" s="31">
        <f t="shared" si="79"/>
        <v>5.2615322251414586E-3</v>
      </c>
      <c r="AM24" s="31" t="str">
        <f t="shared" si="63"/>
        <v>1+0.0337618099960794i</v>
      </c>
      <c r="AN24" s="31">
        <f t="shared" si="80"/>
        <v>1.0005697675895526</v>
      </c>
      <c r="AO24" s="31">
        <f t="shared" si="81"/>
        <v>3.3748990851997757E-2</v>
      </c>
      <c r="AP24" s="58" t="str">
        <f t="shared" si="82"/>
        <v>-9.13756121205287+320.6705582321i</v>
      </c>
      <c r="AQ24" s="49">
        <f t="shared" si="83"/>
        <v>50.124706686283325</v>
      </c>
      <c r="AR24" s="61">
        <f t="shared" si="84"/>
        <v>91.632211148372406</v>
      </c>
      <c r="AS24" s="58" t="str">
        <f t="shared" si="85"/>
        <v>81751.6241883832+62372.552728457i</v>
      </c>
      <c r="AT24" s="64">
        <f t="shared" si="86"/>
        <v>100.24225480683558</v>
      </c>
      <c r="AU24" s="61">
        <f t="shared" si="87"/>
        <v>37.341887768503561</v>
      </c>
      <c r="AV24" s="31"/>
    </row>
    <row r="25" spans="1:48" x14ac:dyDescent="0.35">
      <c r="A25" t="s">
        <v>32</v>
      </c>
      <c r="B25" s="43">
        <f>VOUT1</f>
        <v>48</v>
      </c>
      <c r="C25" t="s">
        <v>11</v>
      </c>
      <c r="E25" t="s">
        <v>160</v>
      </c>
      <c r="N25" s="10">
        <v>7</v>
      </c>
      <c r="O25" s="50">
        <f t="shared" si="64"/>
        <v>11.748975549395301</v>
      </c>
      <c r="P25" s="48" t="str">
        <f t="shared" si="55"/>
        <v>547.187404092767</v>
      </c>
      <c r="Q25" s="17" t="str">
        <f t="shared" si="56"/>
        <v>1+1.41576339728445i</v>
      </c>
      <c r="R25" s="17">
        <f t="shared" si="65"/>
        <v>1.7333164734376718</v>
      </c>
      <c r="S25" s="17">
        <f t="shared" si="66"/>
        <v>0.95583285255528194</v>
      </c>
      <c r="T25" s="17" t="str">
        <f t="shared" si="57"/>
        <v>1+0.0000267889863628461i</v>
      </c>
      <c r="U25" s="17">
        <f t="shared" si="67"/>
        <v>1.0000000003588247</v>
      </c>
      <c r="V25" s="17">
        <f t="shared" si="68"/>
        <v>2.6788986356437731E-5</v>
      </c>
      <c r="W25" s="31" t="str">
        <f t="shared" si="58"/>
        <v>1-0.000465197390090185i</v>
      </c>
      <c r="X25" s="17">
        <f t="shared" si="69"/>
        <v>1.0000001082043</v>
      </c>
      <c r="Y25" s="17">
        <f t="shared" si="70"/>
        <v>-4.6519735653261559E-4</v>
      </c>
      <c r="Z25" s="31" t="str">
        <f t="shared" si="59"/>
        <v>0.999999954367462+0.00222581423598723i</v>
      </c>
      <c r="AA25" s="17">
        <f t="shared" si="71"/>
        <v>1.0000024314890137</v>
      </c>
      <c r="AB25" s="17">
        <f t="shared" si="72"/>
        <v>2.2258106618212167E-3</v>
      </c>
      <c r="AC25" s="66" t="str">
        <f t="shared" si="73"/>
        <v>181.441486068089-258.336036709114i</v>
      </c>
      <c r="AD25" s="64">
        <f t="shared" si="74"/>
        <v>49.98514436478154</v>
      </c>
      <c r="AE25" s="61">
        <f t="shared" si="75"/>
        <v>-54.917836877599854</v>
      </c>
      <c r="AF25" s="31" t="str">
        <f t="shared" si="60"/>
        <v>-0.000106860158311346</v>
      </c>
      <c r="AG25" s="31" t="str">
        <f t="shared" si="61"/>
        <v>3.41052976324242E-07i</v>
      </c>
      <c r="AH25" s="31">
        <f t="shared" si="76"/>
        <v>3.4105297632424198E-7</v>
      </c>
      <c r="AI25" s="31">
        <f t="shared" si="77"/>
        <v>1.5707963267948966</v>
      </c>
      <c r="AJ25" s="31" t="str">
        <f t="shared" si="62"/>
        <v>1+0.00538413873907052i</v>
      </c>
      <c r="AK25" s="31">
        <f t="shared" si="78"/>
        <v>1.0000144943699374</v>
      </c>
      <c r="AL25" s="31">
        <f t="shared" si="79"/>
        <v>5.3840867131325926E-3</v>
      </c>
      <c r="AM25" s="31" t="str">
        <f t="shared" si="63"/>
        <v>1+0.0345482235757024i</v>
      </c>
      <c r="AN25" s="31">
        <f t="shared" si="80"/>
        <v>1.0005966119032368</v>
      </c>
      <c r="AO25" s="31">
        <f t="shared" si="81"/>
        <v>3.4534488057644579E-2</v>
      </c>
      <c r="AP25" s="58" t="str">
        <f t="shared" si="82"/>
        <v>-9.13754929046088+313.37341937503i</v>
      </c>
      <c r="AQ25" s="49">
        <f t="shared" si="83"/>
        <v>49.924934050971942</v>
      </c>
      <c r="AR25" s="61">
        <f t="shared" si="84"/>
        <v>91.670194968153012</v>
      </c>
      <c r="AS25" s="58" t="str">
        <f t="shared" si="85"/>
        <v>79297.7166490467+59219.4971745758i</v>
      </c>
      <c r="AT25" s="64">
        <f t="shared" si="86"/>
        <v>99.910078415753503</v>
      </c>
      <c r="AU25" s="61">
        <f t="shared" si="87"/>
        <v>36.75235809055318</v>
      </c>
      <c r="AV25" s="31"/>
    </row>
    <row r="26" spans="1:48" s="31" customFormat="1" x14ac:dyDescent="0.35">
      <c r="A26" t="s">
        <v>33</v>
      </c>
      <c r="B26" s="43">
        <f>IOUT1</f>
        <v>0.5</v>
      </c>
      <c r="C26" t="s">
        <v>12</v>
      </c>
      <c r="D26"/>
      <c r="E26" t="s">
        <v>34</v>
      </c>
      <c r="F26"/>
      <c r="G26"/>
      <c r="K26"/>
      <c r="N26" s="10">
        <v>8</v>
      </c>
      <c r="O26" s="50">
        <f t="shared" si="64"/>
        <v>12.022644346174133</v>
      </c>
      <c r="P26" s="48" t="str">
        <f t="shared" si="55"/>
        <v>547.187404092767</v>
      </c>
      <c r="Q26" s="17" t="str">
        <f t="shared" si="56"/>
        <v>1+1.44874076316877i</v>
      </c>
      <c r="R26" s="17">
        <f t="shared" si="65"/>
        <v>1.7603550206895284</v>
      </c>
      <c r="S26" s="17">
        <f t="shared" si="66"/>
        <v>0.96664087630204454</v>
      </c>
      <c r="T26" s="17" t="str">
        <f t="shared" si="57"/>
        <v>1+0.0000274129820154051i</v>
      </c>
      <c r="U26" s="17">
        <f t="shared" si="67"/>
        <v>1.0000000003757357</v>
      </c>
      <c r="V26" s="17">
        <f t="shared" si="68"/>
        <v>2.7412982008538408E-5</v>
      </c>
      <c r="W26" s="31" t="str">
        <f t="shared" si="58"/>
        <v>1-0.000476033229306582i</v>
      </c>
      <c r="X26" s="17">
        <f t="shared" si="69"/>
        <v>1.0000001133038112</v>
      </c>
      <c r="Y26" s="17">
        <f t="shared" si="70"/>
        <v>-4.7603319334899876E-4</v>
      </c>
      <c r="Z26" s="31" t="str">
        <f t="shared" si="59"/>
        <v>0.999999952216867+0.00227766010980447i</v>
      </c>
      <c r="AA26" s="17">
        <f t="shared" si="71"/>
        <v>1.0000025460814148</v>
      </c>
      <c r="AB26" s="17">
        <f t="shared" si="72"/>
        <v>2.2776562800171122E-3</v>
      </c>
      <c r="AC26" s="66" t="str">
        <f t="shared" si="73"/>
        <v>175.879075917536-256.294965349761i</v>
      </c>
      <c r="AD26" s="64">
        <f t="shared" si="74"/>
        <v>49.850695440199885</v>
      </c>
      <c r="AE26" s="61">
        <f t="shared" si="75"/>
        <v>-55.540646653675083</v>
      </c>
      <c r="AF26" s="31" t="str">
        <f t="shared" si="60"/>
        <v>-0.000106860158311346</v>
      </c>
      <c r="AG26" s="31" t="str">
        <f t="shared" si="61"/>
        <v>3.48997120669091E-07i</v>
      </c>
      <c r="AH26" s="31">
        <f t="shared" si="76"/>
        <v>3.4899712066909102E-7</v>
      </c>
      <c r="AI26" s="31">
        <f t="shared" si="77"/>
        <v>1.5707963267948966</v>
      </c>
      <c r="AJ26" s="31" t="str">
        <f t="shared" si="62"/>
        <v>1+0.00550955144115819i</v>
      </c>
      <c r="AK26" s="31">
        <f t="shared" si="78"/>
        <v>1.0000151774633637</v>
      </c>
      <c r="AL26" s="31">
        <f t="shared" si="79"/>
        <v>5.5094956944070237E-3</v>
      </c>
      <c r="AM26" s="31" t="str">
        <f t="shared" si="63"/>
        <v>1+0.035352955080765i</v>
      </c>
      <c r="AN26" s="31">
        <f t="shared" si="80"/>
        <v>1.0006247205785705</v>
      </c>
      <c r="AO26" s="31">
        <f t="shared" si="81"/>
        <v>3.5338237704231001E-2</v>
      </c>
      <c r="AP26" s="58" t="str">
        <f t="shared" si="82"/>
        <v>-9.1375368070549+306.242435246846i</v>
      </c>
      <c r="AQ26" s="49">
        <f t="shared" si="83"/>
        <v>49.725172117635168</v>
      </c>
      <c r="AR26" s="61">
        <f t="shared" si="84"/>
        <v>91.709061025347495</v>
      </c>
      <c r="AS26" s="58" t="str">
        <f t="shared" si="85"/>
        <v>76881.2928004295+56203.5411972974i</v>
      </c>
      <c r="AT26" s="64">
        <f t="shared" si="86"/>
        <v>99.575867557835039</v>
      </c>
      <c r="AU26" s="61">
        <f t="shared" si="87"/>
        <v>36.168414371672419</v>
      </c>
      <c r="AV26"/>
    </row>
    <row r="27" spans="1:48" s="31" customFormat="1" x14ac:dyDescent="0.35">
      <c r="A27"/>
      <c r="B27"/>
      <c r="C27"/>
      <c r="D27"/>
      <c r="E27"/>
      <c r="F27"/>
      <c r="G27"/>
      <c r="K27"/>
      <c r="N27" s="10">
        <v>9</v>
      </c>
      <c r="O27" s="50">
        <f t="shared" si="64"/>
        <v>12.302687708123818</v>
      </c>
      <c r="P27" s="48" t="str">
        <f t="shared" si="55"/>
        <v>547.187404092767</v>
      </c>
      <c r="Q27" s="17" t="str">
        <f t="shared" si="56"/>
        <v>1+1.48248627058208i</v>
      </c>
      <c r="R27" s="17">
        <f t="shared" si="65"/>
        <v>1.7882297230681421</v>
      </c>
      <c r="S27" s="17">
        <f t="shared" si="66"/>
        <v>0.9773610225112751</v>
      </c>
      <c r="T27" s="17" t="str">
        <f t="shared" si="57"/>
        <v>1+0.0000280515123938824i</v>
      </c>
      <c r="U27" s="17">
        <f t="shared" si="67"/>
        <v>1.0000000003934437</v>
      </c>
      <c r="V27" s="17">
        <f t="shared" si="68"/>
        <v>2.8051512386524607E-5</v>
      </c>
      <c r="W27" s="31" t="str">
        <f t="shared" si="58"/>
        <v>1-0.000487121467642203i</v>
      </c>
      <c r="X27" s="17">
        <f t="shared" si="69"/>
        <v>1.0000001186436551</v>
      </c>
      <c r="Y27" s="17">
        <f t="shared" si="70"/>
        <v>-4.8712142911295857E-4</v>
      </c>
      <c r="Z27" s="31" t="str">
        <f t="shared" si="59"/>
        <v>0.999999949964917+0.00233071362916033i</v>
      </c>
      <c r="AA27" s="17">
        <f t="shared" si="71"/>
        <v>1.0000026660743748</v>
      </c>
      <c r="AB27" s="17">
        <f t="shared" si="72"/>
        <v>2.3307095254698328E-3</v>
      </c>
      <c r="AC27" s="66" t="str">
        <f t="shared" si="73"/>
        <v>170.406747940355-254.152190538834i</v>
      </c>
      <c r="AD27" s="64">
        <f t="shared" si="74"/>
        <v>49.714233524976393</v>
      </c>
      <c r="AE27" s="61">
        <f t="shared" si="75"/>
        <v>-56.158504238297063</v>
      </c>
      <c r="AF27" s="31" t="str">
        <f t="shared" si="60"/>
        <v>-0.000106860158311346</v>
      </c>
      <c r="AG27" s="31" t="str">
        <f t="shared" si="61"/>
        <v>3.57126307906841E-07i</v>
      </c>
      <c r="AH27" s="31">
        <f t="shared" si="76"/>
        <v>3.5712630790684101E-7</v>
      </c>
      <c r="AI27" s="31">
        <f t="shared" si="77"/>
        <v>1.5707963267948966</v>
      </c>
      <c r="AJ27" s="31" t="str">
        <f t="shared" si="62"/>
        <v>1+0.00563788538034751i</v>
      </c>
      <c r="AK27" s="31">
        <f t="shared" si="78"/>
        <v>1.0000158927494913</v>
      </c>
      <c r="AL27" s="31">
        <f t="shared" si="79"/>
        <v>5.6378256466787019E-3</v>
      </c>
      <c r="AM27" s="31" t="str">
        <f t="shared" si="63"/>
        <v>1+0.0361764311905631i</v>
      </c>
      <c r="AN27" s="31">
        <f t="shared" si="80"/>
        <v>1.0006541531286848</v>
      </c>
      <c r="AO27" s="31">
        <f t="shared" si="81"/>
        <v>3.616066179422063E-2</v>
      </c>
      <c r="AP27" s="58" t="str">
        <f t="shared" si="82"/>
        <v>-9.13752373536069+299.273824904947i</v>
      </c>
      <c r="AQ27" s="49">
        <f t="shared" si="83"/>
        <v>49.525421389351237</v>
      </c>
      <c r="AR27" s="61">
        <f t="shared" si="84"/>
        <v>91.748829690023499</v>
      </c>
      <c r="AS27" s="58" t="str">
        <f t="shared" si="85"/>
        <v>74504.0024665571+53320.6009191657i</v>
      </c>
      <c r="AT27" s="64">
        <f t="shared" si="86"/>
        <v>99.239654914327645</v>
      </c>
      <c r="AU27" s="61">
        <f t="shared" si="87"/>
        <v>35.590325451726422</v>
      </c>
      <c r="AV27"/>
    </row>
    <row r="28" spans="1:48" x14ac:dyDescent="0.35">
      <c r="A28" t="s">
        <v>161</v>
      </c>
      <c r="K28" s="31"/>
      <c r="N28" s="10">
        <v>10</v>
      </c>
      <c r="O28" s="50">
        <f t="shared" si="64"/>
        <v>12.58925411794168</v>
      </c>
      <c r="P28" s="48" t="str">
        <f t="shared" si="55"/>
        <v>547.187404092767</v>
      </c>
      <c r="Q28" s="17" t="str">
        <f t="shared" si="56"/>
        <v>1+1.51701781183907i</v>
      </c>
      <c r="R28" s="17">
        <f t="shared" si="65"/>
        <v>1.8169598348441827</v>
      </c>
      <c r="S28" s="17">
        <f t="shared" si="66"/>
        <v>0.98798911934372124</v>
      </c>
      <c r="T28" s="17" t="str">
        <f t="shared" si="57"/>
        <v>1+0.0000287049160555366i</v>
      </c>
      <c r="U28" s="17">
        <f t="shared" si="67"/>
        <v>1.000000000411986</v>
      </c>
      <c r="V28" s="17">
        <f t="shared" si="68"/>
        <v>2.8704916047652584E-5</v>
      </c>
      <c r="W28" s="31" t="str">
        <f t="shared" si="58"/>
        <v>1-0.000498467984227783i</v>
      </c>
      <c r="X28" s="17">
        <f t="shared" si="69"/>
        <v>1.0000001242351579</v>
      </c>
      <c r="Y28" s="17">
        <f t="shared" si="70"/>
        <v>-4.9846794294295413E-4</v>
      </c>
      <c r="Z28" s="31" t="str">
        <f t="shared" si="59"/>
        <v>0.999999947606837+0.00238500292373301i</v>
      </c>
      <c r="AA28" s="17">
        <f t="shared" si="71"/>
        <v>1.0000027917224146</v>
      </c>
      <c r="AB28" s="17">
        <f t="shared" si="72"/>
        <v>2.3849985265500806E-3</v>
      </c>
      <c r="AC28" s="66" t="str">
        <f t="shared" si="73"/>
        <v>165.02799013204-251.912483758097i</v>
      </c>
      <c r="AD28" s="64">
        <f t="shared" si="74"/>
        <v>49.575792126305018</v>
      </c>
      <c r="AE28" s="61">
        <f t="shared" si="75"/>
        <v>-56.771172531770802</v>
      </c>
      <c r="AF28" s="31" t="str">
        <f t="shared" si="60"/>
        <v>-0.000106860158311346</v>
      </c>
      <c r="AG28" s="31" t="str">
        <f t="shared" si="61"/>
        <v>3.6544484824017E-07i</v>
      </c>
      <c r="AH28" s="31">
        <f t="shared" si="76"/>
        <v>3.6544484824016998E-7</v>
      </c>
      <c r="AI28" s="31">
        <f t="shared" si="77"/>
        <v>1.5707963267948966</v>
      </c>
      <c r="AJ28" s="31" t="str">
        <f t="shared" si="62"/>
        <v>1+0.00576920860099173i</v>
      </c>
      <c r="AK28" s="31">
        <f t="shared" si="78"/>
        <v>1.000016641745467</v>
      </c>
      <c r="AL28" s="31">
        <f t="shared" si="79"/>
        <v>5.7691445952699569E-3</v>
      </c>
      <c r="AM28" s="31" t="str">
        <f t="shared" si="63"/>
        <v>1+0.0370190885230302i</v>
      </c>
      <c r="AN28" s="31">
        <f t="shared" si="80"/>
        <v>1.0006849718643105</v>
      </c>
      <c r="AO28" s="31">
        <f t="shared" si="81"/>
        <v>3.7002191935031806E-2</v>
      </c>
      <c r="AP28" s="58" t="str">
        <f t="shared" si="82"/>
        <v>-9.13751004765659+292.463893499419i</v>
      </c>
      <c r="AQ28" s="49">
        <f t="shared" si="83"/>
        <v>49.325682392783094</v>
      </c>
      <c r="AR28" s="61">
        <f t="shared" si="84"/>
        <v>91.789521793900647</v>
      </c>
      <c r="AS28" s="58" t="str">
        <f t="shared" si="85"/>
        <v>72167.3609030261+50566.5813818699i</v>
      </c>
      <c r="AT28" s="64">
        <f t="shared" si="86"/>
        <v>98.901474519088097</v>
      </c>
      <c r="AU28" s="61">
        <f t="shared" si="87"/>
        <v>35.018349262129888</v>
      </c>
    </row>
    <row r="29" spans="1:48" x14ac:dyDescent="0.35">
      <c r="A29" t="s">
        <v>162</v>
      </c>
      <c r="B29" s="43">
        <f>Lm</f>
        <v>1.8E-5</v>
      </c>
      <c r="C29" t="s">
        <v>75</v>
      </c>
      <c r="E29" t="s">
        <v>163</v>
      </c>
      <c r="N29" s="10">
        <v>11</v>
      </c>
      <c r="O29" s="50">
        <f t="shared" si="64"/>
        <v>12.882495516931346</v>
      </c>
      <c r="P29" s="48" t="str">
        <f t="shared" si="55"/>
        <v>547.187404092767</v>
      </c>
      <c r="Q29" s="17" t="str">
        <f t="shared" si="56"/>
        <v>1+1.55235369602i</v>
      </c>
      <c r="R29" s="17">
        <f t="shared" si="65"/>
        <v>1.8465649183137198</v>
      </c>
      <c r="S29" s="17">
        <f t="shared" si="66"/>
        <v>0.99852119776913606</v>
      </c>
      <c r="T29" s="17" t="str">
        <f t="shared" si="57"/>
        <v>1+0.0000293735394436379i</v>
      </c>
      <c r="U29" s="17">
        <f t="shared" si="67"/>
        <v>1.0000000004314022</v>
      </c>
      <c r="V29" s="17">
        <f t="shared" si="68"/>
        <v>2.9373539435190023E-5</v>
      </c>
      <c r="W29" s="31" t="str">
        <f t="shared" si="58"/>
        <v>1-0.000510078795136603i</v>
      </c>
      <c r="X29" s="17">
        <f t="shared" si="69"/>
        <v>1.0000001300901802</v>
      </c>
      <c r="Y29" s="17">
        <f t="shared" si="70"/>
        <v>-5.1007875089911217E-4</v>
      </c>
      <c r="Z29" s="31" t="str">
        <f t="shared" si="59"/>
        <v>0.999999945137623+0.00244055677842509i</v>
      </c>
      <c r="AA29" s="17">
        <f t="shared" si="71"/>
        <v>1.0000029232920462</v>
      </c>
      <c r="AB29" s="17">
        <f t="shared" si="72"/>
        <v>2.4405520667594369E-3</v>
      </c>
      <c r="AC29" s="66" t="str">
        <f t="shared" si="73"/>
        <v>159.745977374897-249.580726851357i</v>
      </c>
      <c r="AD29" s="64">
        <f t="shared" si="74"/>
        <v>49.435405966719401</v>
      </c>
      <c r="AE29" s="61">
        <f t="shared" si="75"/>
        <v>-57.378426099433419</v>
      </c>
      <c r="AF29" s="31" t="str">
        <f t="shared" si="60"/>
        <v>-0.000106860158311346</v>
      </c>
      <c r="AG29" s="31" t="str">
        <f t="shared" si="61"/>
        <v>3.73957152269269E-07i</v>
      </c>
      <c r="AH29" s="31">
        <f t="shared" si="76"/>
        <v>3.7395715226926901E-7</v>
      </c>
      <c r="AI29" s="31">
        <f t="shared" si="77"/>
        <v>1.5707963267948966</v>
      </c>
      <c r="AJ29" s="31" t="str">
        <f t="shared" si="62"/>
        <v>1+0.00590359073240068i</v>
      </c>
      <c r="AK29" s="31">
        <f t="shared" si="78"/>
        <v>1.0000174260399344</v>
      </c>
      <c r="AL29" s="31">
        <f t="shared" si="79"/>
        <v>5.9035221490987017E-3</v>
      </c>
      <c r="AM29" s="31" t="str">
        <f t="shared" si="63"/>
        <v>1+0.0378813738662376i</v>
      </c>
      <c r="AN29" s="31">
        <f t="shared" si="80"/>
        <v>1.0007172420249357</v>
      </c>
      <c r="AO29" s="31">
        <f t="shared" si="81"/>
        <v>3.786326954677055E-2</v>
      </c>
      <c r="AP29" s="58" t="str">
        <f t="shared" si="82"/>
        <v>-9.13749571491481+285.809030313998i</v>
      </c>
      <c r="AQ29" s="49">
        <f t="shared" si="83"/>
        <v>49.125955679278633</v>
      </c>
      <c r="AR29" s="61">
        <f t="shared" si="84"/>
        <v>91.831158640190807</v>
      </c>
      <c r="AS29" s="58" t="str">
        <f t="shared" si="85"/>
        <v>69872.7473427112+47937.3857122108i</v>
      </c>
      <c r="AT29" s="64">
        <f t="shared" si="86"/>
        <v>98.561361645998034</v>
      </c>
      <c r="AU29" s="61">
        <f t="shared" si="87"/>
        <v>34.452732540757403</v>
      </c>
    </row>
    <row r="30" spans="1:48" x14ac:dyDescent="0.35">
      <c r="A30" s="31"/>
      <c r="B30" s="31"/>
      <c r="C30" s="31"/>
      <c r="D30" s="31"/>
      <c r="E30" s="31"/>
      <c r="F30" s="31"/>
      <c r="G30" s="31"/>
      <c r="N30" s="10">
        <v>12</v>
      </c>
      <c r="O30" s="50">
        <f t="shared" si="64"/>
        <v>13.182567385564075</v>
      </c>
      <c r="P30" s="48" t="str">
        <f t="shared" si="55"/>
        <v>547.187404092767</v>
      </c>
      <c r="Q30" s="17" t="str">
        <f t="shared" si="56"/>
        <v>1+1.5885126586784i</v>
      </c>
      <c r="R30" s="17">
        <f t="shared" si="65"/>
        <v>1.8770648541756674</v>
      </c>
      <c r="S30" s="17">
        <f t="shared" si="66"/>
        <v>1.0089534957115587</v>
      </c>
      <c r="T30" s="17" t="str">
        <f t="shared" si="57"/>
        <v>1+0.0000300577370711569i</v>
      </c>
      <c r="U30" s="17">
        <f t="shared" si="67"/>
        <v>1.0000000004517338</v>
      </c>
      <c r="V30" s="17">
        <f t="shared" si="68"/>
        <v>3.0057737062104835E-5</v>
      </c>
      <c r="W30" s="31" t="str">
        <f t="shared" si="58"/>
        <v>1-0.000521960056574297i</v>
      </c>
      <c r="X30" s="17">
        <f t="shared" si="69"/>
        <v>1.000000136221141</v>
      </c>
      <c r="Y30" s="17">
        <f t="shared" si="70"/>
        <v>-5.2196000917297187E-4</v>
      </c>
      <c r="Z30" s="31" t="str">
        <f t="shared" si="59"/>
        <v>0.999999942552039+0.00249740464862569i</v>
      </c>
      <c r="AA30" s="17">
        <f t="shared" si="71"/>
        <v>1.0000030610623452</v>
      </c>
      <c r="AB30" s="17">
        <f t="shared" si="72"/>
        <v>2.4973995999858175E-3</v>
      </c>
      <c r="AC30" s="66" t="str">
        <f t="shared" si="73"/>
        <v>154.563570078619-247.161888752334i</v>
      </c>
      <c r="AD30" s="64">
        <f t="shared" si="74"/>
        <v>49.293110869551874</v>
      </c>
      <c r="AE30" s="61">
        <f t="shared" si="75"/>
        <v>-57.980051410204766</v>
      </c>
      <c r="AF30" s="31" t="str">
        <f t="shared" si="60"/>
        <v>-0.000106860158311346</v>
      </c>
      <c r="AG30" s="31" t="str">
        <f t="shared" si="61"/>
        <v>3.8266773333041E-07i</v>
      </c>
      <c r="AH30" s="31">
        <f t="shared" si="76"/>
        <v>3.8266773333040998E-7</v>
      </c>
      <c r="AI30" s="31">
        <f t="shared" si="77"/>
        <v>1.5707963267948966</v>
      </c>
      <c r="AJ30" s="31" t="str">
        <f t="shared" si="62"/>
        <v>1+0.00604110302575922i</v>
      </c>
      <c r="AK30" s="31">
        <f t="shared" si="78"/>
        <v>1.0000182472964021</v>
      </c>
      <c r="AL30" s="31">
        <f t="shared" si="79"/>
        <v>6.041029537499556E-3</v>
      </c>
      <c r="AM30" s="31" t="str">
        <f t="shared" si="63"/>
        <v>1+0.0387637444152883i</v>
      </c>
      <c r="AN30" s="31">
        <f t="shared" si="80"/>
        <v>1.0007510319160775</v>
      </c>
      <c r="AO30" s="31">
        <f t="shared" si="81"/>
        <v>3.8744346073669264E-2</v>
      </c>
      <c r="AP30" s="58" t="str">
        <f t="shared" si="82"/>
        <v>-9.13748070673994+279.305706851602i</v>
      </c>
      <c r="AQ30" s="49">
        <f t="shared" si="83"/>
        <v>48.926241826020544</v>
      </c>
      <c r="AR30" s="61">
        <f t="shared" si="84"/>
        <v>91.873762013602914</v>
      </c>
      <c r="AS30" s="58" t="str">
        <f t="shared" si="85"/>
        <v>67621.4044051894+45428.9241842317i</v>
      </c>
      <c r="AT30" s="64">
        <f t="shared" si="86"/>
        <v>98.219352695572425</v>
      </c>
      <c r="AU30" s="61">
        <f t="shared" si="87"/>
        <v>33.893710603398191</v>
      </c>
    </row>
    <row r="31" spans="1:48" x14ac:dyDescent="0.35">
      <c r="A31" t="s">
        <v>124</v>
      </c>
      <c r="B31" s="43">
        <f>R_cs</f>
        <v>2E-3</v>
      </c>
      <c r="C31" s="2" t="s">
        <v>35</v>
      </c>
      <c r="E31" t="s">
        <v>164</v>
      </c>
      <c r="N31" s="10">
        <v>13</v>
      </c>
      <c r="O31" s="50">
        <f t="shared" si="64"/>
        <v>13.489628825916535</v>
      </c>
      <c r="P31" s="48" t="str">
        <f t="shared" si="55"/>
        <v>547.187404092767</v>
      </c>
      <c r="Q31" s="17" t="str">
        <f t="shared" si="56"/>
        <v>1+1.62551387177487i</v>
      </c>
      <c r="R31" s="17">
        <f t="shared" si="65"/>
        <v>1.9084798524827367</v>
      </c>
      <c r="S31" s="17">
        <f t="shared" si="66"/>
        <v>1.0192824612264657</v>
      </c>
      <c r="T31" s="17" t="str">
        <f t="shared" si="57"/>
        <v>1+0.0000307578717087323i</v>
      </c>
      <c r="U31" s="17">
        <f t="shared" si="67"/>
        <v>1.0000000004730232</v>
      </c>
      <c r="V31" s="17">
        <f t="shared" si="68"/>
        <v>3.0757871699032838E-5</v>
      </c>
      <c r="W31" s="31" t="str">
        <f t="shared" si="58"/>
        <v>1-0.000534118068142944i</v>
      </c>
      <c r="X31" s="17">
        <f t="shared" si="69"/>
        <v>1.0000001426410452</v>
      </c>
      <c r="Y31" s="17">
        <f t="shared" si="70"/>
        <v>-5.3411801735150932E-4</v>
      </c>
      <c r="Z31" s="31" t="str">
        <f t="shared" si="59"/>
        <v>0.9999999398446+0.00255557667582805i</v>
      </c>
      <c r="AA31" s="17">
        <f t="shared" si="71"/>
        <v>1.0000032053255377</v>
      </c>
      <c r="AB31" s="17">
        <f t="shared" si="72"/>
        <v>2.5555712661138978E-3</v>
      </c>
      <c r="AC31" s="66" t="str">
        <f t="shared" si="73"/>
        <v>149.483314723972-244.661002685355i</v>
      </c>
      <c r="AD31" s="64">
        <f t="shared" si="74"/>
        <v>49.148943644246323</v>
      </c>
      <c r="AE31" s="61">
        <f t="shared" si="75"/>
        <v>-58.575847019697669</v>
      </c>
      <c r="AF31" s="31" t="str">
        <f t="shared" si="60"/>
        <v>-0.000106860158311346</v>
      </c>
      <c r="AG31" s="31" t="str">
        <f t="shared" si="61"/>
        <v>3.91581209888969E-07i</v>
      </c>
      <c r="AH31" s="31">
        <f t="shared" si="76"/>
        <v>3.9158120988896897E-7</v>
      </c>
      <c r="AI31" s="31">
        <f t="shared" si="77"/>
        <v>1.5707963267948966</v>
      </c>
      <c r="AJ31" s="31" t="str">
        <f t="shared" si="62"/>
        <v>1+0.00618181839190547i</v>
      </c>
      <c r="AK31" s="31">
        <f t="shared" si="78"/>
        <v>1.0000191072567717</v>
      </c>
      <c r="AL31" s="31">
        <f t="shared" si="79"/>
        <v>6.1817396478977904E-3</v>
      </c>
      <c r="AM31" s="31" t="str">
        <f t="shared" si="63"/>
        <v>1+0.0396666680147267i</v>
      </c>
      <c r="AN31" s="31">
        <f t="shared" si="80"/>
        <v>1.0007864130529505</v>
      </c>
      <c r="AO31" s="31">
        <f t="shared" si="81"/>
        <v>3.9645883199233969E-2</v>
      </c>
      <c r="AP31" s="58" t="str">
        <f t="shared" si="82"/>
        <v>-9.1374649913044+272.950474963478i</v>
      </c>
      <c r="AQ31" s="49">
        <f t="shared" si="83"/>
        <v>48.726541437229585</v>
      </c>
      <c r="AR31" s="61">
        <f t="shared" si="84"/>
        <v>91.917354190511489</v>
      </c>
      <c r="AS31" s="58" t="str">
        <f t="shared" si="85"/>
        <v>65414.438332934+43037.1230997981i</v>
      </c>
      <c r="AT31" s="64">
        <f t="shared" si="86"/>
        <v>97.875485081475915</v>
      </c>
      <c r="AU31" s="61">
        <f t="shared" si="87"/>
        <v>33.341507170813834</v>
      </c>
    </row>
    <row r="32" spans="1:48" x14ac:dyDescent="0.35">
      <c r="A32" t="s">
        <v>125</v>
      </c>
      <c r="B32" s="43">
        <f>R_sl</f>
        <v>0</v>
      </c>
      <c r="C32" s="2" t="s">
        <v>35</v>
      </c>
      <c r="E32" t="s">
        <v>165</v>
      </c>
      <c r="N32" s="10">
        <v>14</v>
      </c>
      <c r="O32" s="50">
        <f t="shared" si="64"/>
        <v>13.803842646028857</v>
      </c>
      <c r="P32" s="48" t="str">
        <f t="shared" si="55"/>
        <v>547.187404092767</v>
      </c>
      <c r="Q32" s="17" t="str">
        <f t="shared" si="56"/>
        <v>1+1.66337695384238i</v>
      </c>
      <c r="R32" s="17">
        <f t="shared" si="65"/>
        <v>1.9408304641503222</v>
      </c>
      <c r="S32" s="17">
        <f t="shared" si="66"/>
        <v>1.0295047547331555</v>
      </c>
      <c r="T32" s="17" t="str">
        <f t="shared" si="57"/>
        <v>1+0.0000314743145770163i</v>
      </c>
      <c r="U32" s="17">
        <f t="shared" si="67"/>
        <v>1.0000000004953162</v>
      </c>
      <c r="V32" s="17">
        <f t="shared" si="68"/>
        <v>3.147431456662314E-5</v>
      </c>
      <c r="W32" s="31" t="str">
        <f t="shared" si="58"/>
        <v>1-0.000546559276181209i</v>
      </c>
      <c r="X32" s="17">
        <f t="shared" si="69"/>
        <v>1.00000014936351</v>
      </c>
      <c r="Y32" s="17">
        <f t="shared" si="70"/>
        <v>-5.4655922175720674E-4</v>
      </c>
      <c r="Z32" s="31" t="str">
        <f t="shared" si="59"/>
        <v>0.999999937009563+0.00261510370361099i</v>
      </c>
      <c r="AA32" s="17">
        <f t="shared" si="71"/>
        <v>1.0000033563876225</v>
      </c>
      <c r="AB32" s="17">
        <f t="shared" si="72"/>
        <v>2.6150979069988912E-3</v>
      </c>
      <c r="AC32" s="66" t="str">
        <f t="shared" si="73"/>
        <v>144.507446208577-242.083144001284i</v>
      </c>
      <c r="AD32" s="64">
        <f t="shared" si="74"/>
        <v>49.00294197220046</v>
      </c>
      <c r="AE32" s="61">
        <f t="shared" si="75"/>
        <v>-59.165623699218209</v>
      </c>
      <c r="AF32" s="31" t="str">
        <f t="shared" si="60"/>
        <v>-0.000106860158311346</v>
      </c>
      <c r="AG32" s="31" t="str">
        <f t="shared" si="61"/>
        <v>4.00702307988201E-07i</v>
      </c>
      <c r="AH32" s="31">
        <f t="shared" si="76"/>
        <v>4.0070230798820098E-7</v>
      </c>
      <c r="AI32" s="31">
        <f t="shared" si="77"/>
        <v>1.5707963267948966</v>
      </c>
      <c r="AJ32" s="31" t="str">
        <f t="shared" si="62"/>
        <v>1+0.00632581143998915i</v>
      </c>
      <c r="AK32" s="31">
        <f t="shared" si="78"/>
        <v>1.0000200077450323</v>
      </c>
      <c r="AL32" s="31">
        <f t="shared" si="79"/>
        <v>6.3257270643559231E-3</v>
      </c>
      <c r="AM32" s="31" t="str">
        <f t="shared" si="63"/>
        <v>1+0.040590623406597i</v>
      </c>
      <c r="AN32" s="31">
        <f t="shared" si="80"/>
        <v>1.0008234603108264</v>
      </c>
      <c r="AO32" s="31">
        <f t="shared" si="81"/>
        <v>4.0568353065105422E-2</v>
      </c>
      <c r="AP32" s="58" t="str">
        <f t="shared" si="82"/>
        <v>-9.13744853528116+266.739965020948i</v>
      </c>
      <c r="AQ32" s="49">
        <f t="shared" si="83"/>
        <v>48.526855145423291</v>
      </c>
      <c r="AR32" s="61">
        <f t="shared" si="84"/>
        <v>91.961957949287893</v>
      </c>
      <c r="AS32" s="58" t="str">
        <f t="shared" si="85"/>
        <v>63252.8200103678+40757.9334165131i</v>
      </c>
      <c r="AT32" s="64">
        <f t="shared" si="86"/>
        <v>97.529797117623758</v>
      </c>
      <c r="AU32" s="61">
        <f t="shared" si="87"/>
        <v>32.79633425006967</v>
      </c>
      <c r="AV32" s="31"/>
    </row>
    <row r="33" spans="1:48" x14ac:dyDescent="0.35">
      <c r="A33" t="s">
        <v>111</v>
      </c>
      <c r="B33" s="21">
        <f>Rsl_int</f>
        <v>1333</v>
      </c>
      <c r="C33" s="2" t="s">
        <v>35</v>
      </c>
      <c r="E33" t="s">
        <v>166</v>
      </c>
      <c r="K33" s="31"/>
      <c r="N33" s="10">
        <v>15</v>
      </c>
      <c r="O33" s="50">
        <f t="shared" si="64"/>
        <v>14.125375446227544</v>
      </c>
      <c r="P33" s="48" t="str">
        <f t="shared" si="55"/>
        <v>547.187404092767</v>
      </c>
      <c r="Q33" s="17" t="str">
        <f t="shared" si="56"/>
        <v>1+1.70212198038822i</v>
      </c>
      <c r="R33" s="17">
        <f t="shared" si="65"/>
        <v>1.9741375930063019</v>
      </c>
      <c r="S33" s="17">
        <f t="shared" si="66"/>
        <v>1.0396172503321079</v>
      </c>
      <c r="T33" s="17" t="str">
        <f t="shared" si="57"/>
        <v>1+0.0000322074455435007i</v>
      </c>
      <c r="U33" s="17">
        <f t="shared" si="67"/>
        <v>1.0000000005186598</v>
      </c>
      <c r="V33" s="17">
        <f t="shared" si="68"/>
        <v>3.2207445532364228E-5</v>
      </c>
      <c r="W33" s="31" t="str">
        <f t="shared" si="58"/>
        <v>1-0.000559290277182272i</v>
      </c>
      <c r="X33" s="17">
        <f t="shared" si="69"/>
        <v>1.0000001564027947</v>
      </c>
      <c r="Y33" s="17">
        <f t="shared" si="70"/>
        <v>-5.5929021886590342E-4</v>
      </c>
      <c r="Z33" s="31" t="str">
        <f t="shared" si="59"/>
        <v>0.999999934040915+0.00267601729399257i</v>
      </c>
      <c r="AA33" s="17">
        <f t="shared" si="71"/>
        <v>1.00000351456902</v>
      </c>
      <c r="AB33" s="17">
        <f t="shared" si="72"/>
        <v>2.6760110828119806E-3</v>
      </c>
      <c r="AC33" s="66" t="str">
        <f t="shared" si="73"/>
        <v>139.637891880279-239.433408794765i</v>
      </c>
      <c r="AD33" s="64">
        <f t="shared" si="74"/>
        <v>48.855144293775901</v>
      </c>
      <c r="AE33" s="61">
        <f t="shared" si="75"/>
        <v>-59.749204512366717</v>
      </c>
      <c r="AF33" s="31" t="str">
        <f t="shared" si="60"/>
        <v>-0.000106860158311346</v>
      </c>
      <c r="AG33" s="31" t="str">
        <f t="shared" si="61"/>
        <v>4.10035863755051E-07i</v>
      </c>
      <c r="AH33" s="31">
        <f t="shared" si="76"/>
        <v>4.10035863755051E-7</v>
      </c>
      <c r="AI33" s="31">
        <f t="shared" si="77"/>
        <v>1.5707963267948966</v>
      </c>
      <c r="AJ33" s="31" t="str">
        <f t="shared" si="62"/>
        <v>1+0.00647315851703032i</v>
      </c>
      <c r="AK33" s="31">
        <f t="shared" si="78"/>
        <v>1.000020950671128</v>
      </c>
      <c r="AL33" s="31">
        <f t="shared" si="79"/>
        <v>6.4730681070127244E-3</v>
      </c>
      <c r="AM33" s="31" t="str">
        <f t="shared" si="63"/>
        <v>1+0.0415361004842778i</v>
      </c>
      <c r="AN33" s="31">
        <f t="shared" si="80"/>
        <v>1.0008622520823931</v>
      </c>
      <c r="AO33" s="31">
        <f t="shared" si="81"/>
        <v>4.1512238493624974E-2</v>
      </c>
      <c r="AP33" s="58" t="str">
        <f t="shared" si="82"/>
        <v>-9.13743130377292+260.670884128779i</v>
      </c>
      <c r="AQ33" s="49">
        <f t="shared" si="83"/>
        <v>48.327183612732078</v>
      </c>
      <c r="AR33" s="61">
        <f t="shared" si="84"/>
        <v>92.007596580792651</v>
      </c>
      <c r="AS33" s="58" t="str">
        <f t="shared" si="85"/>
        <v>61137.386716039+38587.3390590015i</v>
      </c>
      <c r="AT33" s="64">
        <f t="shared" si="86"/>
        <v>97.182327906507965</v>
      </c>
      <c r="AU33" s="61">
        <f t="shared" si="87"/>
        <v>32.258392068425948</v>
      </c>
    </row>
    <row r="34" spans="1:48" x14ac:dyDescent="0.35">
      <c r="A34" t="s">
        <v>109</v>
      </c>
      <c r="B34" s="21">
        <f>Isl</f>
        <v>2.9999999999999997E-5</v>
      </c>
      <c r="C34" s="2" t="s">
        <v>12</v>
      </c>
      <c r="E34" t="s">
        <v>167</v>
      </c>
      <c r="K34" s="31"/>
      <c r="N34" s="10">
        <v>16</v>
      </c>
      <c r="O34" s="50">
        <f t="shared" si="64"/>
        <v>14.454397707459275</v>
      </c>
      <c r="P34" s="48" t="str">
        <f t="shared" si="55"/>
        <v>547.187404092767</v>
      </c>
      <c r="Q34" s="17" t="str">
        <f t="shared" si="56"/>
        <v>1+1.7417694945383i</v>
      </c>
      <c r="R34" s="17">
        <f t="shared" si="65"/>
        <v>2.0084225083642644</v>
      </c>
      <c r="S34" s="17">
        <f t="shared" si="66"/>
        <v>1.0496170362429473</v>
      </c>
      <c r="T34" s="17" t="str">
        <f t="shared" si="57"/>
        <v>1+0.0000329576533239283i</v>
      </c>
      <c r="U34" s="17">
        <f t="shared" si="67"/>
        <v>1.0000000005431033</v>
      </c>
      <c r="V34" s="17">
        <f t="shared" si="68"/>
        <v>3.2957653311995353E-5</v>
      </c>
      <c r="W34" s="31" t="str">
        <f t="shared" si="58"/>
        <v>1-0.000572317821291379i</v>
      </c>
      <c r="X34" s="17">
        <f t="shared" si="69"/>
        <v>1.0000001637738309</v>
      </c>
      <c r="Y34" s="17">
        <f t="shared" si="70"/>
        <v>-5.7231775880426479E-4</v>
      </c>
      <c r="Z34" s="31" t="str">
        <f t="shared" si="59"/>
        <v>0.999999930932359+0.0027383497441647i</v>
      </c>
      <c r="AA34" s="17">
        <f t="shared" si="71"/>
        <v>1.0000036802052499</v>
      </c>
      <c r="AB34" s="17">
        <f t="shared" si="72"/>
        <v>2.7383430887661137E-3</v>
      </c>
      <c r="AC34" s="66" t="str">
        <f t="shared" si="73"/>
        <v>134.876277132551-236.716893431456i</v>
      </c>
      <c r="AD34" s="64">
        <f t="shared" si="74"/>
        <v>48.705589697067978</v>
      </c>
      <c r="AE34" s="61">
        <f t="shared" si="75"/>
        <v>-60.326424841278346</v>
      </c>
      <c r="AF34" s="31" t="str">
        <f t="shared" si="60"/>
        <v>-0.000106860158311346</v>
      </c>
      <c r="AG34" s="31" t="str">
        <f t="shared" si="61"/>
        <v>4.1958682596433E-07i</v>
      </c>
      <c r="AH34" s="31">
        <f t="shared" si="76"/>
        <v>4.1958682596433E-7</v>
      </c>
      <c r="AI34" s="31">
        <f t="shared" si="77"/>
        <v>1.5707963267948966</v>
      </c>
      <c r="AJ34" s="31" t="str">
        <f t="shared" si="62"/>
        <v>1+0.00662393774839961i</v>
      </c>
      <c r="AK34" s="31">
        <f t="shared" si="78"/>
        <v>1.0000219380350086</v>
      </c>
      <c r="AL34" s="31">
        <f t="shared" si="79"/>
        <v>6.6238408724351508E-3</v>
      </c>
      <c r="AM34" s="31" t="str">
        <f t="shared" si="63"/>
        <v>1+0.0425036005522307i</v>
      </c>
      <c r="AN34" s="31">
        <f t="shared" si="80"/>
        <v>1.0009028704424339</v>
      </c>
      <c r="AO34" s="31">
        <f t="shared" si="81"/>
        <v>4.2478033214096857E-2</v>
      </c>
      <c r="AP34" s="58" t="str">
        <f t="shared" si="82"/>
        <v>-9.1374132602384+254.740014379246i</v>
      </c>
      <c r="AQ34" s="49">
        <f t="shared" si="83"/>
        <v>48.127527532276055</v>
      </c>
      <c r="AR34" s="61">
        <f t="shared" si="84"/>
        <v>92.054293899027485</v>
      </c>
      <c r="AS34" s="58" t="str">
        <f t="shared" si="85"/>
        <v>59068.844553377+36521.3648571282i</v>
      </c>
      <c r="AT34" s="64">
        <f t="shared" si="86"/>
        <v>96.83311722934404</v>
      </c>
      <c r="AU34" s="61">
        <f t="shared" si="87"/>
        <v>31.727869057749118</v>
      </c>
    </row>
    <row r="35" spans="1:48" x14ac:dyDescent="0.35">
      <c r="A35" s="31"/>
      <c r="B35" s="26"/>
      <c r="C35" s="2"/>
      <c r="D35" s="31"/>
      <c r="E35" s="31"/>
      <c r="F35" s="31"/>
      <c r="G35" s="31"/>
      <c r="N35" s="10">
        <v>17</v>
      </c>
      <c r="O35" s="50">
        <f t="shared" si="64"/>
        <v>14.791083881682074</v>
      </c>
      <c r="P35" s="48" t="str">
        <f t="shared" si="55"/>
        <v>547.187404092767</v>
      </c>
      <c r="Q35" s="17" t="str">
        <f t="shared" si="56"/>
        <v>1+1.78234051792944i</v>
      </c>
      <c r="R35" s="17">
        <f t="shared" si="65"/>
        <v>2.04370685810196</v>
      </c>
      <c r="S35" s="17">
        <f t="shared" si="66"/>
        <v>1.0595014144036228</v>
      </c>
      <c r="T35" s="17" t="str">
        <f t="shared" si="57"/>
        <v>1+0.0000337253356883943i</v>
      </c>
      <c r="U35" s="17">
        <f t="shared" si="67"/>
        <v>1.0000000005686991</v>
      </c>
      <c r="V35" s="17">
        <f t="shared" si="68"/>
        <v>3.3725335675607915E-5</v>
      </c>
      <c r="W35" s="31" t="str">
        <f t="shared" si="58"/>
        <v>1-0.000585648815884858i</v>
      </c>
      <c r="X35" s="17">
        <f t="shared" si="69"/>
        <v>1.0000001714922531</v>
      </c>
      <c r="Y35" s="17">
        <f t="shared" si="70"/>
        <v>-5.8564874892870933E-4</v>
      </c>
      <c r="Z35" s="31" t="str">
        <f t="shared" si="59"/>
        <v>0.999999927677302+0.00280213410361754i</v>
      </c>
      <c r="AA35" s="17">
        <f t="shared" si="71"/>
        <v>1.0000038536476465</v>
      </c>
      <c r="AB35" s="17">
        <f t="shared" si="72"/>
        <v>2.8021269722309527E-3</v>
      </c>
      <c r="AC35" s="66" t="str">
        <f t="shared" si="73"/>
        <v>130.223932427873-233.938675096109i</v>
      </c>
      <c r="AD35" s="64">
        <f t="shared" si="74"/>
        <v>48.554317808981118</v>
      </c>
      <c r="AE35" s="61">
        <f t="shared" si="75"/>
        <v>-60.89713236483135</v>
      </c>
      <c r="AF35" s="31" t="str">
        <f t="shared" si="60"/>
        <v>-0.000106860158311346</v>
      </c>
      <c r="AG35" s="31" t="str">
        <f t="shared" si="61"/>
        <v>4.29360258662623E-07i</v>
      </c>
      <c r="AH35" s="31">
        <f t="shared" si="76"/>
        <v>4.2936025866262298E-7</v>
      </c>
      <c r="AI35" s="31">
        <f t="shared" si="77"/>
        <v>1.5707963267948966</v>
      </c>
      <c r="AJ35" s="31" t="str">
        <f t="shared" si="62"/>
        <v>1+0.00677822907924127i</v>
      </c>
      <c r="AK35" s="31">
        <f t="shared" si="78"/>
        <v>1.0000229719308706</v>
      </c>
      <c r="AL35" s="31">
        <f t="shared" si="79"/>
        <v>6.7781252749039237E-3</v>
      </c>
      <c r="AM35" s="31" t="str">
        <f t="shared" si="63"/>
        <v>1+0.0434936365917981i</v>
      </c>
      <c r="AN35" s="31">
        <f t="shared" si="80"/>
        <v>1.0009454013201617</v>
      </c>
      <c r="AO35" s="31">
        <f t="shared" si="81"/>
        <v>4.3466242092725794E-2</v>
      </c>
      <c r="AP35" s="58" t="str">
        <f t="shared" si="82"/>
        <v>-9.13739436641469+248.944211145951i</v>
      </c>
      <c r="AQ35" s="49">
        <f t="shared" si="83"/>
        <v>47.927887629604847</v>
      </c>
      <c r="AR35" s="61">
        <f t="shared" si="84"/>
        <v>92.102074251944131</v>
      </c>
      <c r="AS35" s="58" t="str">
        <f t="shared" si="85"/>
        <v>57047.771501791+34556.0840624902i</v>
      </c>
      <c r="AT35" s="64">
        <f t="shared" si="86"/>
        <v>96.482205438585979</v>
      </c>
      <c r="AU35" s="61">
        <f t="shared" si="87"/>
        <v>31.204941887112781</v>
      </c>
    </row>
    <row r="36" spans="1:48" x14ac:dyDescent="0.35">
      <c r="A36" s="31" t="s">
        <v>190</v>
      </c>
      <c r="B36" s="21">
        <f>Gcomp</f>
        <v>0.14199999999999999</v>
      </c>
      <c r="C36" s="2"/>
      <c r="D36" s="31"/>
      <c r="E36" s="31" t="s">
        <v>191</v>
      </c>
      <c r="F36" s="31"/>
      <c r="G36" s="31"/>
      <c r="N36" s="10">
        <v>18</v>
      </c>
      <c r="O36" s="50">
        <f t="shared" si="64"/>
        <v>15.135612484362087</v>
      </c>
      <c r="P36" s="48" t="str">
        <f t="shared" si="55"/>
        <v>547.187404092767</v>
      </c>
      <c r="Q36" s="17" t="str">
        <f t="shared" si="56"/>
        <v>1+1.82385656185524i</v>
      </c>
      <c r="R36" s="17">
        <f t="shared" si="65"/>
        <v>2.0800126822263407</v>
      </c>
      <c r="S36" s="17">
        <f t="shared" si="66"/>
        <v>1.0692678992756433</v>
      </c>
      <c r="T36" s="17" t="str">
        <f t="shared" si="57"/>
        <v>1+0.00003451089967225i</v>
      </c>
      <c r="U36" s="17">
        <f t="shared" si="67"/>
        <v>1.000000000595501</v>
      </c>
      <c r="V36" s="17">
        <f t="shared" si="68"/>
        <v>3.4510899658549149E-5</v>
      </c>
      <c r="W36" s="31" t="str">
        <f t="shared" si="58"/>
        <v>1-0.000599290329232497i</v>
      </c>
      <c r="X36" s="17">
        <f t="shared" si="69"/>
        <v>1.0000001795744331</v>
      </c>
      <c r="Y36" s="17">
        <f t="shared" si="70"/>
        <v>-5.9929025748769191E-4</v>
      </c>
      <c r="Z36" s="31" t="str">
        <f t="shared" si="59"/>
        <v>0.999999924268838+0.00286740419166274i</v>
      </c>
      <c r="AA36" s="17">
        <f t="shared" si="71"/>
        <v>1.0000040352640984</v>
      </c>
      <c r="AB36" s="17">
        <f t="shared" si="72"/>
        <v>2.8673965502460041E-3</v>
      </c>
      <c r="AC36" s="66" t="str">
        <f t="shared" si="73"/>
        <v>125.681901608948-231.103793454293i</v>
      </c>
      <c r="AD36" s="64">
        <f t="shared" si="74"/>
        <v>48.401368689105936</v>
      </c>
      <c r="AE36" s="61">
        <f t="shared" si="75"/>
        <v>-61.461186991393198</v>
      </c>
      <c r="AF36" s="31" t="str">
        <f t="shared" si="60"/>
        <v>-0.000106860158311346</v>
      </c>
      <c r="AG36" s="31" t="str">
        <f t="shared" si="61"/>
        <v>4.39361343853314E-07i</v>
      </c>
      <c r="AH36" s="31">
        <f t="shared" si="76"/>
        <v>4.39361343853314E-7</v>
      </c>
      <c r="AI36" s="31">
        <f t="shared" si="77"/>
        <v>1.5707963267948966</v>
      </c>
      <c r="AJ36" s="31" t="str">
        <f t="shared" si="62"/>
        <v>1+0.00693611431686123i</v>
      </c>
      <c r="AK36" s="31">
        <f t="shared" si="78"/>
        <v>1.0000240545515975</v>
      </c>
      <c r="AL36" s="31">
        <f t="shared" si="79"/>
        <v>6.9360030886542953E-3</v>
      </c>
      <c r="AM36" s="31" t="str">
        <f t="shared" si="63"/>
        <v>1+0.0445067335331928i</v>
      </c>
      <c r="AN36" s="31">
        <f t="shared" si="80"/>
        <v>1.0009899346795623</v>
      </c>
      <c r="AO36" s="31">
        <f t="shared" si="81"/>
        <v>4.447738136620534E-2</v>
      </c>
      <c r="AP36" s="58" t="str">
        <f t="shared" si="82"/>
        <v>-9.13737458223624+243.280401416499i</v>
      </c>
      <c r="AQ36" s="49">
        <f t="shared" si="83"/>
        <v>47.728264664203259</v>
      </c>
      <c r="AR36" s="61">
        <f t="shared" si="84"/>
        <v>92.150962532407775</v>
      </c>
      <c r="AS36" s="58" t="str">
        <f t="shared" si="85"/>
        <v>55074.6210272274+32687.6254023814i</v>
      </c>
      <c r="AT36" s="64">
        <f t="shared" si="86"/>
        <v>96.129633353309188</v>
      </c>
      <c r="AU36" s="61">
        <f t="shared" si="87"/>
        <v>30.689775541014548</v>
      </c>
    </row>
    <row r="37" spans="1:48" x14ac:dyDescent="0.35">
      <c r="N37" s="10">
        <v>19</v>
      </c>
      <c r="O37" s="50">
        <f t="shared" si="64"/>
        <v>15.488166189124817</v>
      </c>
      <c r="P37" s="48" t="str">
        <f t="shared" si="55"/>
        <v>547.187404092767</v>
      </c>
      <c r="Q37" s="17" t="str">
        <f t="shared" si="56"/>
        <v>1+1.86633963867174i</v>
      </c>
      <c r="R37" s="17">
        <f t="shared" si="65"/>
        <v>2.1173624269069666</v>
      </c>
      <c r="S37" s="17">
        <f t="shared" si="66"/>
        <v>1.0789142159038541</v>
      </c>
      <c r="T37" s="17" t="str">
        <f t="shared" si="57"/>
        <v>1+0.0000353147617919176i</v>
      </c>
      <c r="U37" s="17">
        <f t="shared" si="67"/>
        <v>1.0000000006235661</v>
      </c>
      <c r="V37" s="17">
        <f t="shared" si="68"/>
        <v>3.5314761777236873E-5</v>
      </c>
      <c r="W37" s="31" t="str">
        <f t="shared" si="58"/>
        <v>1-0.00061324959424524i</v>
      </c>
      <c r="X37" s="17">
        <f t="shared" si="69"/>
        <v>1.0000001880375147</v>
      </c>
      <c r="Y37" s="17">
        <f t="shared" si="70"/>
        <v>-6.1324951736929699E-4</v>
      </c>
      <c r="Z37" s="31" t="str">
        <f t="shared" si="59"/>
        <v>0.999999920699738+0.00293419461536494i</v>
      </c>
      <c r="AA37" s="17">
        <f t="shared" si="71"/>
        <v>1.0000042254398342</v>
      </c>
      <c r="AB37" s="17">
        <f t="shared" si="72"/>
        <v>2.9341864274412578E-3</v>
      </c>
      <c r="AC37" s="66" t="str">
        <f t="shared" si="73"/>
        <v>121.250951353799-228.217233502599i</v>
      </c>
      <c r="AD37" s="64">
        <f t="shared" si="74"/>
        <v>48.246782726840458</v>
      </c>
      <c r="AE37" s="61">
        <f t="shared" si="75"/>
        <v>-62.018460748883712</v>
      </c>
      <c r="AF37" s="31" t="str">
        <f t="shared" si="60"/>
        <v>-0.000106860158311346</v>
      </c>
      <c r="AG37" s="31" t="str">
        <f t="shared" si="61"/>
        <v>4.49595384244151E-07i</v>
      </c>
      <c r="AH37" s="31">
        <f t="shared" si="76"/>
        <v>4.4959538424415099E-7</v>
      </c>
      <c r="AI37" s="31">
        <f t="shared" si="77"/>
        <v>1.5707963267948966</v>
      </c>
      <c r="AJ37" s="31" t="str">
        <f t="shared" si="62"/>
        <v>1+0.0070976771741023i</v>
      </c>
      <c r="AK37" s="31">
        <f t="shared" si="78"/>
        <v>1.0000251881934115</v>
      </c>
      <c r="AL37" s="31">
        <f t="shared" si="79"/>
        <v>7.0975579910934131E-3</v>
      </c>
      <c r="AM37" s="31" t="str">
        <f t="shared" si="63"/>
        <v>1+0.045543428533823i</v>
      </c>
      <c r="AN37" s="31">
        <f t="shared" si="80"/>
        <v>1.0010365647081105</v>
      </c>
      <c r="AO37" s="31">
        <f t="shared" si="81"/>
        <v>4.5511978878921618E-2</v>
      </c>
      <c r="AP37" s="58" t="str">
        <f t="shared" si="82"/>
        <v>-9.13735386575+237.745582163136i</v>
      </c>
      <c r="AQ37" s="49">
        <f t="shared" si="83"/>
        <v>47.528659431065527</v>
      </c>
      <c r="AR37" s="61">
        <f t="shared" si="84"/>
        <v>92.200984189311754</v>
      </c>
      <c r="AS37" s="58" t="str">
        <f t="shared" si="85"/>
        <v>53149.7261896572+30912.1796382188i</v>
      </c>
      <c r="AT37" s="64">
        <f t="shared" si="86"/>
        <v>95.775442157905971</v>
      </c>
      <c r="AU37" s="61">
        <f t="shared" si="87"/>
        <v>30.182523440428092</v>
      </c>
      <c r="AV37" s="31"/>
    </row>
    <row r="38" spans="1:48" x14ac:dyDescent="0.35">
      <c r="N38" s="10">
        <v>20</v>
      </c>
      <c r="O38" s="50">
        <f t="shared" si="64"/>
        <v>15.848931924611136</v>
      </c>
      <c r="P38" s="48" t="str">
        <f t="shared" si="55"/>
        <v>547.187404092767</v>
      </c>
      <c r="Q38" s="17" t="str">
        <f t="shared" si="56"/>
        <v>1+1.90981227346859i</v>
      </c>
      <c r="R38" s="17">
        <f t="shared" si="65"/>
        <v>2.1557789589592122</v>
      </c>
      <c r="S38" s="17">
        <f t="shared" si="66"/>
        <v>1.088438297281856</v>
      </c>
      <c r="T38" s="17" t="str">
        <f t="shared" si="57"/>
        <v>1+0.0000361373482657334i</v>
      </c>
      <c r="U38" s="17">
        <f t="shared" si="67"/>
        <v>1.0000000006529539</v>
      </c>
      <c r="V38" s="17">
        <f t="shared" si="68"/>
        <v>3.6137348250002718E-5</v>
      </c>
      <c r="W38" s="31" t="str">
        <f t="shared" si="58"/>
        <v>1-0.00062753401231017i</v>
      </c>
      <c r="X38" s="17">
        <f t="shared" si="69"/>
        <v>1.000000196899449</v>
      </c>
      <c r="Y38" s="17">
        <f t="shared" si="70"/>
        <v>-6.275339299361139E-4</v>
      </c>
      <c r="Z38" s="31" t="str">
        <f t="shared" si="59"/>
        <v>0.999999916962432+0.00300254078789087i</v>
      </c>
      <c r="AA38" s="17">
        <f t="shared" si="71"/>
        <v>1.0000044245782385</v>
      </c>
      <c r="AB38" s="17">
        <f t="shared" si="72"/>
        <v>3.0025320143746703E-3</v>
      </c>
      <c r="AC38" s="66" t="str">
        <f t="shared" si="73"/>
        <v>116.931581629309-225.283909664673i</v>
      </c>
      <c r="AD38" s="64">
        <f t="shared" si="74"/>
        <v>48.090600542147556</v>
      </c>
      <c r="AE38" s="61">
        <f t="shared" si="75"/>
        <v>-62.568837635081579</v>
      </c>
      <c r="AF38" s="31" t="str">
        <f t="shared" si="60"/>
        <v>-0.000106860158311346</v>
      </c>
      <c r="AG38" s="31" t="str">
        <f t="shared" si="61"/>
        <v>4.60067806058813E-07i</v>
      </c>
      <c r="AH38" s="31">
        <f t="shared" si="76"/>
        <v>4.6006780605881299E-7</v>
      </c>
      <c r="AI38" s="31">
        <f t="shared" si="77"/>
        <v>1.5707963267948966</v>
      </c>
      <c r="AJ38" s="31" t="str">
        <f t="shared" si="62"/>
        <v>1+0.00726300331372995i</v>
      </c>
      <c r="AK38" s="31">
        <f t="shared" si="78"/>
        <v>1.0000263752607406</v>
      </c>
      <c r="AL38" s="31">
        <f t="shared" si="79"/>
        <v>7.2628756070169838E-3</v>
      </c>
      <c r="AM38" s="31" t="str">
        <f t="shared" si="63"/>
        <v>1+0.0466042712631004i</v>
      </c>
      <c r="AN38" s="31">
        <f t="shared" si="80"/>
        <v>1.0010853900142409</v>
      </c>
      <c r="AO38" s="31">
        <f t="shared" si="81"/>
        <v>4.6570574323728867E-2</v>
      </c>
      <c r="AP38" s="58" t="str">
        <f t="shared" si="82"/>
        <v>-9.13733217302651+232.33681875051i</v>
      </c>
      <c r="AQ38" s="49">
        <f t="shared" si="83"/>
        <v>47.329072762341937</v>
      </c>
      <c r="AR38" s="61">
        <f t="shared" si="84"/>
        <v>92.252165238839382</v>
      </c>
      <c r="AS38" s="58" t="str">
        <f t="shared" si="85"/>
        <v>51273.304184303+29226.0056030634i</v>
      </c>
      <c r="AT38" s="64">
        <f t="shared" si="86"/>
        <v>95.419673304489478</v>
      </c>
      <c r="AU38" s="61">
        <f t="shared" si="87"/>
        <v>29.683327603757792</v>
      </c>
      <c r="AV38" s="31"/>
    </row>
    <row r="39" spans="1:48" x14ac:dyDescent="0.35">
      <c r="A39" t="s">
        <v>504</v>
      </c>
      <c r="N39" s="10">
        <v>21</v>
      </c>
      <c r="O39" s="50">
        <f t="shared" si="64"/>
        <v>16.218100973589298</v>
      </c>
      <c r="P39" s="48" t="str">
        <f t="shared" si="55"/>
        <v>547.187404092767</v>
      </c>
      <c r="Q39" s="17" t="str">
        <f t="shared" si="56"/>
        <v>1+1.95429751601217i</v>
      </c>
      <c r="R39" s="17">
        <f t="shared" si="65"/>
        <v>2.1952855807596734</v>
      </c>
      <c r="S39" s="17">
        <f t="shared" si="66"/>
        <v>1.0978382810763607</v>
      </c>
      <c r="T39" s="17" t="str">
        <f t="shared" si="57"/>
        <v>1+0.0000369790952399339i</v>
      </c>
      <c r="U39" s="17">
        <f t="shared" si="67"/>
        <v>1.0000000006837266</v>
      </c>
      <c r="V39" s="17">
        <f t="shared" si="68"/>
        <v>3.6979095223078167E-5</v>
      </c>
      <c r="W39" s="31" t="str">
        <f t="shared" si="58"/>
        <v>1-0.00064215115721482i</v>
      </c>
      <c r="X39" s="17">
        <f t="shared" si="69"/>
        <v>1.0000002061790332</v>
      </c>
      <c r="Y39" s="17">
        <f t="shared" si="70"/>
        <v>-6.4215106894942959E-4</v>
      </c>
      <c r="Z39" s="31" t="str">
        <f t="shared" si="59"/>
        <v>0.999999913048992+0.00307247894728585i</v>
      </c>
      <c r="AA39" s="17">
        <f t="shared" si="71"/>
        <v>1.0000046331017038</v>
      </c>
      <c r="AB39" s="17">
        <f t="shared" si="72"/>
        <v>3.0724695462962196E-3</v>
      </c>
      <c r="AC39" s="66" t="str">
        <f t="shared" si="73"/>
        <v>112.724036998148-222.308651173543i</v>
      </c>
      <c r="AD39" s="64">
        <f t="shared" si="74"/>
        <v>47.932862890285662</v>
      </c>
      <c r="AE39" s="61">
        <f t="shared" si="75"/>
        <v>-63.112213431231829</v>
      </c>
      <c r="AF39" s="31" t="str">
        <f t="shared" si="60"/>
        <v>-0.000106860158311346</v>
      </c>
      <c r="AG39" s="31" t="str">
        <f t="shared" si="61"/>
        <v>4.70784161913964E-07i</v>
      </c>
      <c r="AH39" s="31">
        <f t="shared" si="76"/>
        <v>4.70784161913964E-7</v>
      </c>
      <c r="AI39" s="31">
        <f t="shared" si="77"/>
        <v>1.5707963267948966</v>
      </c>
      <c r="AJ39" s="31" t="str">
        <f t="shared" si="62"/>
        <v>1+0.00743218039385174i</v>
      </c>
      <c r="AK39" s="31">
        <f t="shared" si="78"/>
        <v>1.000027618271319</v>
      </c>
      <c r="AL39" s="31">
        <f t="shared" si="79"/>
        <v>7.4320435538474975E-3</v>
      </c>
      <c r="AM39" s="31" t="str">
        <f t="shared" si="63"/>
        <v>1+0.0476898241938819i</v>
      </c>
      <c r="AN39" s="31">
        <f t="shared" si="80"/>
        <v>1.0011365138339743</v>
      </c>
      <c r="AO39" s="31">
        <f t="shared" si="81"/>
        <v>4.7653719486242661E-2</v>
      </c>
      <c r="AP39" s="58" t="str">
        <f t="shared" si="82"/>
        <v>-9.13730945806687+227.051243379673i</v>
      </c>
      <c r="AQ39" s="49">
        <f t="shared" si="83"/>
        <v>47.129505529059642</v>
      </c>
      <c r="AR39" s="61">
        <f t="shared" si="84"/>
        <v>92.30453227586915</v>
      </c>
      <c r="AS39" s="58" t="str">
        <f t="shared" si="85"/>
        <v>49445.4612535963+27625.4357001839i</v>
      </c>
      <c r="AT39" s="64">
        <f t="shared" si="86"/>
        <v>95.062368419345319</v>
      </c>
      <c r="AU39" s="61">
        <f t="shared" si="87"/>
        <v>29.192318844637342</v>
      </c>
    </row>
    <row r="40" spans="1:48" x14ac:dyDescent="0.35">
      <c r="A40" t="s">
        <v>505</v>
      </c>
      <c r="B40" s="32">
        <f>((Np/NS1_)*(VOUT1+VD))/((VIN_var+(Np/NS1_)*(VOUT1+VD)))</f>
        <v>0.4825090470446321</v>
      </c>
      <c r="C40" t="s">
        <v>14</v>
      </c>
      <c r="E40" t="s">
        <v>506</v>
      </c>
      <c r="N40" s="10">
        <v>22</v>
      </c>
      <c r="O40" s="50">
        <f t="shared" si="64"/>
        <v>16.595869074375614</v>
      </c>
      <c r="P40" s="48" t="str">
        <f t="shared" si="55"/>
        <v>547.187404092767</v>
      </c>
      <c r="Q40" s="17" t="str">
        <f t="shared" si="56"/>
        <v>1+1.99981895296695i</v>
      </c>
      <c r="R40" s="17">
        <f t="shared" si="65"/>
        <v>2.2359060455765638</v>
      </c>
      <c r="S40" s="17">
        <f t="shared" si="66"/>
        <v>1.1071125057650641</v>
      </c>
      <c r="T40" s="17" t="str">
        <f t="shared" si="57"/>
        <v>1+0.0000378404490199071i</v>
      </c>
      <c r="U40" s="17">
        <f t="shared" si="67"/>
        <v>1.0000000007159497</v>
      </c>
      <c r="V40" s="17">
        <f t="shared" si="68"/>
        <v>3.7840449001845859E-5</v>
      </c>
      <c r="W40" s="31" t="str">
        <f t="shared" si="58"/>
        <v>1-0.000657108779162904i</v>
      </c>
      <c r="X40" s="17">
        <f t="shared" si="69"/>
        <v>1.0000002158959507</v>
      </c>
      <c r="Y40" s="17">
        <f t="shared" si="70"/>
        <v>-6.5710868458483532E-4</v>
      </c>
      <c r="Z40" s="31" t="str">
        <f t="shared" si="59"/>
        <v>0.999999908951117+0.00314404617568777i</v>
      </c>
      <c r="AA40" s="17">
        <f t="shared" si="71"/>
        <v>1.0000048514525304</v>
      </c>
      <c r="AB40" s="17">
        <f t="shared" si="72"/>
        <v>3.1440361023485322E-3</v>
      </c>
      <c r="AC40" s="66" t="str">
        <f t="shared" si="73"/>
        <v>108.628318636392-219.296188764698i</v>
      </c>
      <c r="AD40" s="64">
        <f t="shared" si="74"/>
        <v>47.773610570797729</v>
      </c>
      <c r="AE40" s="61">
        <f t="shared" si="75"/>
        <v>-63.648495482078076</v>
      </c>
      <c r="AF40" s="31" t="str">
        <f t="shared" si="60"/>
        <v>-0.000106860158311346</v>
      </c>
      <c r="AG40" s="31" t="str">
        <f t="shared" si="61"/>
        <v>4.81750133763327E-07i</v>
      </c>
      <c r="AH40" s="31">
        <f t="shared" si="76"/>
        <v>4.8175013376332697E-7</v>
      </c>
      <c r="AI40" s="31">
        <f t="shared" si="77"/>
        <v>1.5707963267948966</v>
      </c>
      <c r="AJ40" s="31" t="str">
        <f t="shared" si="62"/>
        <v>1+0.00760529811439492i</v>
      </c>
      <c r="AK40" s="31">
        <f t="shared" si="78"/>
        <v>1.0000289198615251</v>
      </c>
      <c r="AL40" s="31">
        <f t="shared" si="79"/>
        <v>7.6051514879176578E-3</v>
      </c>
      <c r="AM40" s="31" t="str">
        <f t="shared" si="63"/>
        <v>1+0.0488006629007007i</v>
      </c>
      <c r="AN40" s="31">
        <f t="shared" si="80"/>
        <v>1.0011900442471189</v>
      </c>
      <c r="AO40" s="31">
        <f t="shared" si="81"/>
        <v>4.8761978492587815E-2</v>
      </c>
      <c r="AP40" s="58" t="str">
        <f t="shared" si="82"/>
        <v>-9.13728567270526+221.886053567538i</v>
      </c>
      <c r="AQ40" s="49">
        <f t="shared" si="83"/>
        <v>46.929958642922415</v>
      </c>
      <c r="AR40" s="61">
        <f t="shared" si="84"/>
        <v>92.358112485517651</v>
      </c>
      <c r="AS40" s="58" t="str">
        <f t="shared" si="85"/>
        <v>47666.1979078743+26106.8808515846i</v>
      </c>
      <c r="AT40" s="64">
        <f t="shared" si="86"/>
        <v>94.703569213720144</v>
      </c>
      <c r="AU40" s="61">
        <f t="shared" si="87"/>
        <v>28.709617003439586</v>
      </c>
    </row>
    <row r="41" spans="1:48" x14ac:dyDescent="0.35">
      <c r="A41" t="s">
        <v>189</v>
      </c>
      <c r="B41" s="27">
        <f>Gcomp*((VOUT1^2)/(Pout_var))*((1-Dc_var_ccm)/((1+Dc_var_ccm)*((Acs*R_cs)/(Np/NS1_))))</f>
        <v>547.18740409276677</v>
      </c>
      <c r="C41" t="s">
        <v>144</v>
      </c>
      <c r="E41" t="s">
        <v>193</v>
      </c>
      <c r="N41" s="10">
        <v>23</v>
      </c>
      <c r="O41" s="50">
        <f t="shared" si="64"/>
        <v>16.982436524617448</v>
      </c>
      <c r="P41" s="48" t="str">
        <f t="shared" si="55"/>
        <v>547.187404092767</v>
      </c>
      <c r="Q41" s="17" t="str">
        <f t="shared" si="56"/>
        <v>1+2.04640072040131i</v>
      </c>
      <c r="R41" s="17">
        <f t="shared" si="65"/>
        <v>2.2776645732984915</v>
      </c>
      <c r="S41" s="17">
        <f t="shared" si="66"/>
        <v>1.1162595062432896</v>
      </c>
      <c r="T41" s="17" t="str">
        <f t="shared" si="57"/>
        <v>1+0.0000387218663068279i</v>
      </c>
      <c r="U41" s="17">
        <f t="shared" si="67"/>
        <v>1.0000000007496914</v>
      </c>
      <c r="V41" s="17">
        <f t="shared" si="68"/>
        <v>3.8721866287474932E-5</v>
      </c>
      <c r="W41" s="31" t="str">
        <f t="shared" si="58"/>
        <v>1-0.000672414808883559i</v>
      </c>
      <c r="X41" s="17">
        <f t="shared" si="69"/>
        <v>1.0000002260708121</v>
      </c>
      <c r="Y41" s="17">
        <f t="shared" si="70"/>
        <v>-6.7241470754133377E-4</v>
      </c>
      <c r="Z41" s="31" t="str">
        <f t="shared" si="59"/>
        <v>0.999999904660116+0.00321728041898839i</v>
      </c>
      <c r="AA41" s="17">
        <f t="shared" si="71"/>
        <v>1.000005080093864</v>
      </c>
      <c r="AB41" s="17">
        <f t="shared" si="72"/>
        <v>3.2172696252138876E-3</v>
      </c>
      <c r="AC41" s="66" t="str">
        <f t="shared" si="73"/>
        <v>104.644196923065-216.251142689473i</v>
      </c>
      <c r="AD41" s="64">
        <f t="shared" si="74"/>
        <v>47.61288434099307</v>
      </c>
      <c r="AE41" s="61">
        <f t="shared" si="75"/>
        <v>-64.17760244548947</v>
      </c>
      <c r="AF41" s="31" t="str">
        <f t="shared" si="60"/>
        <v>-0.000106860158311346</v>
      </c>
      <c r="AG41" s="31" t="str">
        <f t="shared" si="61"/>
        <v>4.92971535910329E-07i</v>
      </c>
      <c r="AH41" s="31">
        <f t="shared" si="76"/>
        <v>4.9297153591032903E-7</v>
      </c>
      <c r="AI41" s="31">
        <f t="shared" si="77"/>
        <v>1.5707963267948966</v>
      </c>
      <c r="AJ41" s="31" t="str">
        <f t="shared" si="62"/>
        <v>1+0.00778244826466633i</v>
      </c>
      <c r="AK41" s="31">
        <f t="shared" si="78"/>
        <v>1.0000302827919725</v>
      </c>
      <c r="AL41" s="31">
        <f t="shared" si="79"/>
        <v>7.7822911518222408E-3</v>
      </c>
      <c r="AM41" s="31" t="str">
        <f t="shared" si="63"/>
        <v>1+0.0499373763649422i</v>
      </c>
      <c r="AN41" s="31">
        <f t="shared" si="80"/>
        <v>1.0012460944034758</v>
      </c>
      <c r="AO41" s="31">
        <f t="shared" si="81"/>
        <v>4.9895928060522371E-2</v>
      </c>
      <c r="AP41" s="58" t="str">
        <f t="shared" si="82"/>
        <v>-9.13726076650671+216.838510660958i</v>
      </c>
      <c r="AQ41" s="49">
        <f t="shared" si="83"/>
        <v>46.730433058191679</v>
      </c>
      <c r="AR41" s="61">
        <f t="shared" si="84"/>
        <v>92.412933654814879</v>
      </c>
      <c r="AS41" s="58" t="str">
        <f t="shared" si="85"/>
        <v>45935.4143945279+24666.8348919182i</v>
      </c>
      <c r="AT41" s="64">
        <f t="shared" si="86"/>
        <v>94.343317399184755</v>
      </c>
      <c r="AU41" s="61">
        <f t="shared" si="87"/>
        <v>28.235331209325448</v>
      </c>
    </row>
    <row r="42" spans="1:48" s="31" customFormat="1" x14ac:dyDescent="0.35">
      <c r="A42" t="s">
        <v>206</v>
      </c>
      <c r="B42" s="29">
        <f>(1+Dc_var_ccm)/(Cout_total*((VOUT1^2)/Pout_var))</f>
        <v>52.142180457530785</v>
      </c>
      <c r="C42" t="s">
        <v>205</v>
      </c>
      <c r="D42"/>
      <c r="E42" t="s">
        <v>196</v>
      </c>
      <c r="F42"/>
      <c r="G42"/>
      <c r="K42"/>
      <c r="N42" s="10">
        <v>24</v>
      </c>
      <c r="O42" s="50">
        <f t="shared" si="64"/>
        <v>17.378008287493756</v>
      </c>
      <c r="P42" s="48" t="str">
        <f t="shared" si="55"/>
        <v>547.187404092767</v>
      </c>
      <c r="Q42" s="17" t="str">
        <f t="shared" si="56"/>
        <v>1+2.09406751658495i</v>
      </c>
      <c r="R42" s="17">
        <f t="shared" si="65"/>
        <v>2.3205858665466916</v>
      </c>
      <c r="S42" s="17">
        <f t="shared" si="66"/>
        <v>1.1252780089549141</v>
      </c>
      <c r="T42" s="17" t="str">
        <f t="shared" si="57"/>
        <v>1+0.0000396238144398094i</v>
      </c>
      <c r="U42" s="17">
        <f t="shared" si="67"/>
        <v>1.0000000007850234</v>
      </c>
      <c r="V42" s="17">
        <f t="shared" si="68"/>
        <v>3.9623814419072319E-5</v>
      </c>
      <c r="W42" s="31" t="str">
        <f t="shared" si="58"/>
        <v>1-0.000688077361836351i</v>
      </c>
      <c r="X42" s="17">
        <f t="shared" si="69"/>
        <v>1.0000002367251999</v>
      </c>
      <c r="Y42" s="17">
        <f t="shared" si="70"/>
        <v>-6.8807725324620162E-4</v>
      </c>
      <c r="Z42" s="31" t="str">
        <f t="shared" si="59"/>
        <v>0.999999900166885+0.00329222050695292i</v>
      </c>
      <c r="AA42" s="17">
        <f t="shared" si="71"/>
        <v>1.0000053195106746</v>
      </c>
      <c r="AB42" s="17">
        <f t="shared" si="72"/>
        <v>3.292208941218489E-3</v>
      </c>
      <c r="AC42" s="66" t="str">
        <f t="shared" si="73"/>
        <v>100.771224468141-213.17801204449i</v>
      </c>
      <c r="AD42" s="64">
        <f t="shared" si="74"/>
        <v>47.450724834104918</v>
      </c>
      <c r="AE42" s="61">
        <f t="shared" si="75"/>
        <v>-64.699464014863707</v>
      </c>
      <c r="AF42" s="31" t="str">
        <f t="shared" si="60"/>
        <v>-0.000106860158311346</v>
      </c>
      <c r="AG42" s="31" t="str">
        <f t="shared" si="61"/>
        <v>5.04454318090919E-07i</v>
      </c>
      <c r="AH42" s="31">
        <f t="shared" si="76"/>
        <v>5.0445431809091902E-7</v>
      </c>
      <c r="AI42" s="31">
        <f t="shared" si="77"/>
        <v>1.5707963267948966</v>
      </c>
      <c r="AJ42" s="31" t="str">
        <f t="shared" si="62"/>
        <v>1+0.0079637247720206i</v>
      </c>
      <c r="AK42" s="31">
        <f t="shared" si="78"/>
        <v>1.0000317099533618</v>
      </c>
      <c r="AL42" s="31">
        <f t="shared" si="79"/>
        <v>7.963556422863366E-3</v>
      </c>
      <c r="AM42" s="31" t="str">
        <f t="shared" si="63"/>
        <v>1+0.0511005672871321i</v>
      </c>
      <c r="AN42" s="31">
        <f t="shared" si="80"/>
        <v>1.0013047827595085</v>
      </c>
      <c r="AO42" s="31">
        <f t="shared" si="81"/>
        <v>5.1056157753854893E-2</v>
      </c>
      <c r="AP42" s="58" t="str">
        <f t="shared" si="82"/>
        <v>-9.13723468666082+211.905938384656i</v>
      </c>
      <c r="AQ42" s="49">
        <f t="shared" si="83"/>
        <v>46.530929773653178</v>
      </c>
      <c r="AR42" s="61">
        <f t="shared" si="84"/>
        <v>92.469024184505642</v>
      </c>
      <c r="AS42" s="58" t="str">
        <f t="shared" si="85"/>
        <v>44252.9163576356+23301.8784091785i</v>
      </c>
      <c r="AT42" s="64">
        <f t="shared" si="86"/>
        <v>93.981654607758088</v>
      </c>
      <c r="AU42" s="61">
        <f t="shared" si="87"/>
        <v>27.769560169641885</v>
      </c>
      <c r="AV42"/>
    </row>
    <row r="43" spans="1:48" s="31" customFormat="1" x14ac:dyDescent="0.35">
      <c r="A43"/>
      <c r="B43" s="29">
        <f>wp_lf/(2*PI())</f>
        <v>8.2986857634056488</v>
      </c>
      <c r="C43" t="s">
        <v>61</v>
      </c>
      <c r="D43"/>
      <c r="E43"/>
      <c r="F43"/>
      <c r="G43"/>
      <c r="N43" s="10">
        <v>25</v>
      </c>
      <c r="O43" s="50">
        <f t="shared" si="64"/>
        <v>17.782794100389236</v>
      </c>
      <c r="P43" s="48" t="str">
        <f t="shared" si="55"/>
        <v>547.187404092767</v>
      </c>
      <c r="Q43" s="17" t="str">
        <f t="shared" si="56"/>
        <v>1+2.14284461508413i</v>
      </c>
      <c r="R43" s="17">
        <f t="shared" si="65"/>
        <v>2.3646951271559411</v>
      </c>
      <c r="S43" s="17">
        <f t="shared" si="66"/>
        <v>1.1341669266024332</v>
      </c>
      <c r="T43" s="17" t="str">
        <f t="shared" si="57"/>
        <v>1+0.0000405467716436897i</v>
      </c>
      <c r="U43" s="17">
        <f t="shared" si="67"/>
        <v>1.0000000008220202</v>
      </c>
      <c r="V43" s="17">
        <f t="shared" si="68"/>
        <v>4.054677162146952E-5</v>
      </c>
      <c r="W43" s="31" t="str">
        <f t="shared" si="58"/>
        <v>1-0.000704104742514163i</v>
      </c>
      <c r="X43" s="17">
        <f t="shared" si="69"/>
        <v>1.0000002478817136</v>
      </c>
      <c r="Y43" s="17">
        <f t="shared" si="70"/>
        <v>-7.041046261577231E-4</v>
      </c>
      <c r="Z43" s="31" t="str">
        <f t="shared" si="59"/>
        <v>0.999999895461895+0.0033689061738079i</v>
      </c>
      <c r="AA43" s="17">
        <f t="shared" si="71"/>
        <v>1.0000055702107908</v>
      </c>
      <c r="AB43" s="17">
        <f t="shared" si="72"/>
        <v>3.3688937809039071E-3</v>
      </c>
      <c r="AC43" s="66" t="str">
        <f t="shared" si="73"/>
        <v>97.0087494521882-210.081165400476i</v>
      </c>
      <c r="AD43" s="64">
        <f t="shared" si="74"/>
        <v>47.28717248226198</v>
      </c>
      <c r="AE43" s="61">
        <f t="shared" si="75"/>
        <v>-65.214020617444618</v>
      </c>
      <c r="AF43" s="31" t="str">
        <f t="shared" si="60"/>
        <v>-0.000106860158311346</v>
      </c>
      <c r="AG43" s="31" t="str">
        <f t="shared" si="61"/>
        <v>5.16204568628205E-07i</v>
      </c>
      <c r="AH43" s="31">
        <f t="shared" si="76"/>
        <v>5.1620456862820503E-7</v>
      </c>
      <c r="AI43" s="31">
        <f t="shared" si="77"/>
        <v>1.5707963267948966</v>
      </c>
      <c r="AJ43" s="31" t="str">
        <f t="shared" si="62"/>
        <v>1+0.00814922375166129i</v>
      </c>
      <c r="AK43" s="31">
        <f t="shared" si="78"/>
        <v>1.0000332043726121</v>
      </c>
      <c r="AL43" s="31">
        <f t="shared" si="79"/>
        <v>8.1490433626127783E-3</v>
      </c>
      <c r="AM43" s="31" t="str">
        <f t="shared" si="63"/>
        <v>1+0.0522908524064931i</v>
      </c>
      <c r="AN43" s="31">
        <f t="shared" si="80"/>
        <v>1.0013662333259483</v>
      </c>
      <c r="AO43" s="31">
        <f t="shared" si="81"/>
        <v>5.2243270240044076E-2</v>
      </c>
      <c r="AP43" s="58" t="str">
        <f t="shared" si="82"/>
        <v>-9.13720737786909+207.085721422211i</v>
      </c>
      <c r="AQ43" s="49">
        <f t="shared" si="83"/>
        <v>46.331449834671758</v>
      </c>
      <c r="AR43" s="61">
        <f t="shared" si="84"/>
        <v>92.526413100969123</v>
      </c>
      <c r="AS43" s="58" t="str">
        <f t="shared" si="85"/>
        <v>42618.420632964+22008.6820390215i</v>
      </c>
      <c r="AT43" s="64">
        <f t="shared" si="86"/>
        <v>93.618622316933738</v>
      </c>
      <c r="AU43" s="61">
        <f t="shared" si="87"/>
        <v>27.312392483524555</v>
      </c>
      <c r="AV43"/>
    </row>
    <row r="44" spans="1:48" s="31" customFormat="1" x14ac:dyDescent="0.35">
      <c r="A44"/>
      <c r="B44" s="26"/>
      <c r="C44"/>
      <c r="D44"/>
      <c r="E44"/>
      <c r="F44"/>
      <c r="G44"/>
      <c r="N44" s="10">
        <v>26</v>
      </c>
      <c r="O44" s="50">
        <f t="shared" si="64"/>
        <v>18.197008586099841</v>
      </c>
      <c r="P44" s="48" t="str">
        <f t="shared" si="55"/>
        <v>547.187404092767</v>
      </c>
      <c r="Q44" s="17" t="str">
        <f t="shared" si="56"/>
        <v>1+2.19275787816215i</v>
      </c>
      <c r="R44" s="17">
        <f t="shared" si="65"/>
        <v>2.410018073011523</v>
      </c>
      <c r="S44" s="17">
        <f t="shared" si="66"/>
        <v>1.1429253524902854</v>
      </c>
      <c r="T44" s="17" t="str">
        <f t="shared" si="57"/>
        <v>1+0.0000414912272825958i</v>
      </c>
      <c r="U44" s="17">
        <f t="shared" si="67"/>
        <v>1.000000000860761</v>
      </c>
      <c r="V44" s="17">
        <f t="shared" si="68"/>
        <v>4.1491227258786449E-5</v>
      </c>
      <c r="W44" s="31" t="str">
        <f t="shared" si="58"/>
        <v>1-0.000720505448846389i</v>
      </c>
      <c r="X44" s="17">
        <f t="shared" si="69"/>
        <v>1.0000002595640172</v>
      </c>
      <c r="Y44" s="17">
        <f t="shared" si="70"/>
        <v>-7.2050532416821915E-4</v>
      </c>
      <c r="Z44" s="31" t="str">
        <f t="shared" si="59"/>
        <v>0.999999890535166+0.00344737807930899i</v>
      </c>
      <c r="AA44" s="17">
        <f t="shared" si="71"/>
        <v>1.0000058327259724</v>
      </c>
      <c r="AB44" s="17">
        <f t="shared" si="72"/>
        <v>3.4473648000772962E-3</v>
      </c>
      <c r="AC44" s="66" t="str">
        <f t="shared" si="73"/>
        <v>93.3559291582102-206.964832702607i</v>
      </c>
      <c r="AD44" s="64">
        <f t="shared" si="74"/>
        <v>47.122267444363636</v>
      </c>
      <c r="AE44" s="61">
        <f t="shared" si="75"/>
        <v>-65.721223091664413</v>
      </c>
      <c r="AF44" s="31" t="str">
        <f t="shared" si="60"/>
        <v>-0.000106860158311346</v>
      </c>
      <c r="AG44" s="31" t="str">
        <f t="shared" si="61"/>
        <v>5.28228517660551E-07i</v>
      </c>
      <c r="AH44" s="31">
        <f t="shared" si="76"/>
        <v>5.28228517660551E-7</v>
      </c>
      <c r="AI44" s="31">
        <f t="shared" si="77"/>
        <v>1.5707963267948966</v>
      </c>
      <c r="AJ44" s="31" t="str">
        <f t="shared" si="62"/>
        <v>1+0.00833904355760288i</v>
      </c>
      <c r="AK44" s="31">
        <f t="shared" si="78"/>
        <v>1.0000347692192786</v>
      </c>
      <c r="AL44" s="31">
        <f t="shared" si="79"/>
        <v>8.3388502676179019E-3</v>
      </c>
      <c r="AM44" s="31" t="str">
        <f t="shared" si="63"/>
        <v>1+0.0535088628279517i</v>
      </c>
      <c r="AN44" s="31">
        <f t="shared" si="80"/>
        <v>1.0014305759268289</v>
      </c>
      <c r="AO44" s="31">
        <f t="shared" si="81"/>
        <v>5.345788155087617E-2</v>
      </c>
      <c r="AP44" s="58" t="str">
        <f t="shared" si="82"/>
        <v>-9.13717878222874+202.375304029387i</v>
      </c>
      <c r="AQ44" s="49">
        <f t="shared" si="83"/>
        <v>46.131994335339868</v>
      </c>
      <c r="AR44" s="61">
        <f t="shared" si="84"/>
        <v>92.585130068249427</v>
      </c>
      <c r="AS44" s="58" t="str">
        <f t="shared" si="85"/>
        <v>41031.5611264817+20784.0092243765i</v>
      </c>
      <c r="AT44" s="64">
        <f t="shared" si="86"/>
        <v>93.254261779703512</v>
      </c>
      <c r="AU44" s="61">
        <f t="shared" si="87"/>
        <v>26.86390697658501</v>
      </c>
      <c r="AV44"/>
    </row>
    <row r="45" spans="1:48" x14ac:dyDescent="0.35">
      <c r="A45" t="s">
        <v>207</v>
      </c>
      <c r="B45" s="29">
        <f>(((VOUT1^2)/Pout_var)*((1-Dc_var_ccm)^2))/((Lm/((Np/NS1_)^2))*Dc_var_ccm)</f>
        <v>158687.45637644632</v>
      </c>
      <c r="C45" t="s">
        <v>205</v>
      </c>
      <c r="E45" t="s">
        <v>197</v>
      </c>
      <c r="N45" s="10">
        <v>27</v>
      </c>
      <c r="O45" s="50">
        <f t="shared" si="64"/>
        <v>18.62087136662868</v>
      </c>
      <c r="P45" s="48" t="str">
        <f t="shared" si="55"/>
        <v>547.187404092767</v>
      </c>
      <c r="Q45" s="17" t="str">
        <f t="shared" si="56"/>
        <v>1+2.24383377049174i</v>
      </c>
      <c r="R45" s="17">
        <f t="shared" si="65"/>
        <v>2.4565809552300895</v>
      </c>
      <c r="S45" s="17">
        <f t="shared" si="66"/>
        <v>1.151552554554002</v>
      </c>
      <c r="T45" s="17" t="str">
        <f t="shared" si="57"/>
        <v>1+0.0000424576821194082i</v>
      </c>
      <c r="U45" s="17">
        <f t="shared" si="67"/>
        <v>1.0000000009013272</v>
      </c>
      <c r="V45" s="17">
        <f t="shared" si="68"/>
        <v>4.2457682093896024E-5</v>
      </c>
      <c r="W45" s="31" t="str">
        <f t="shared" si="58"/>
        <v>1-0.000737288176704609i</v>
      </c>
      <c r="X45" s="17">
        <f t="shared" si="69"/>
        <v>1.0000002717968908</v>
      </c>
      <c r="Y45" s="17">
        <f t="shared" si="70"/>
        <v>-7.3728804310954502E-4</v>
      </c>
      <c r="Z45" s="31" t="str">
        <f t="shared" si="59"/>
        <v>0.999999885376248+0.00352767783029918i</v>
      </c>
      <c r="AA45" s="17">
        <f t="shared" si="71"/>
        <v>1.0000061076130402</v>
      </c>
      <c r="AB45" s="17">
        <f t="shared" si="72"/>
        <v>3.5276636013507521E-3</v>
      </c>
      <c r="AC45" s="66" t="str">
        <f t="shared" si="73"/>
        <v>89.811743584661-203.833098404843i</v>
      </c>
      <c r="AD45" s="64">
        <f t="shared" si="74"/>
        <v>46.956049538910705</v>
      </c>
      <c r="AE45" s="61">
        <f t="shared" si="75"/>
        <v>-66.221032346515841</v>
      </c>
      <c r="AF45" s="31" t="str">
        <f t="shared" si="60"/>
        <v>-0.000106860158311346</v>
      </c>
      <c r="AG45" s="31" t="str">
        <f t="shared" si="61"/>
        <v>5.40532540444893E-07i</v>
      </c>
      <c r="AH45" s="31">
        <f t="shared" si="76"/>
        <v>5.4053254044489298E-7</v>
      </c>
      <c r="AI45" s="31">
        <f t="shared" si="77"/>
        <v>1.5707963267948966</v>
      </c>
      <c r="AJ45" s="31" t="str">
        <f t="shared" si="62"/>
        <v>1+0.008533284834819i</v>
      </c>
      <c r="AK45" s="31">
        <f t="shared" si="78"/>
        <v>1.0000364078122717</v>
      </c>
      <c r="AL45" s="31">
        <f t="shared" si="79"/>
        <v>8.533077721275829E-3</v>
      </c>
      <c r="AM45" s="31" t="str">
        <f t="shared" si="63"/>
        <v>1+0.0547552443567551i</v>
      </c>
      <c r="AN45" s="31">
        <f t="shared" si="80"/>
        <v>1.0014979464704699</v>
      </c>
      <c r="AO45" s="31">
        <f t="shared" si="81"/>
        <v>5.4700621346074819E-2</v>
      </c>
      <c r="AP45" s="58" t="str">
        <f t="shared" si="82"/>
        <v>-9.13714883910916+197.772188679032i</v>
      </c>
      <c r="AQ45" s="49">
        <f t="shared" si="83"/>
        <v>45.932564420722137</v>
      </c>
      <c r="AR45" s="61">
        <f t="shared" si="84"/>
        <v>92.645205400187081</v>
      </c>
      <c r="AS45" s="58" t="str">
        <f t="shared" si="85"/>
        <v>39491.8947281214+19624.7184562803i</v>
      </c>
      <c r="AT45" s="64">
        <f t="shared" si="86"/>
        <v>92.888613959632835</v>
      </c>
      <c r="AU45" s="61">
        <f t="shared" si="87"/>
        <v>26.424173053671282</v>
      </c>
    </row>
    <row r="46" spans="1:48" x14ac:dyDescent="0.35">
      <c r="A46" s="31"/>
      <c r="B46" s="29">
        <f>wz_rhp/(2*PI())</f>
        <v>25255.893088990939</v>
      </c>
      <c r="C46" s="31" t="s">
        <v>61</v>
      </c>
      <c r="D46" s="31"/>
      <c r="E46" s="31"/>
      <c r="F46" s="31"/>
      <c r="G46" s="31"/>
      <c r="K46" s="31"/>
      <c r="N46" s="10">
        <v>28</v>
      </c>
      <c r="O46" s="50">
        <f t="shared" si="64"/>
        <v>19.054607179632477</v>
      </c>
      <c r="P46" s="48" t="str">
        <f t="shared" si="55"/>
        <v>547.187404092767</v>
      </c>
      <c r="Q46" s="17" t="str">
        <f t="shared" si="56"/>
        <v>1+2.2960993731871i</v>
      </c>
      <c r="R46" s="17">
        <f t="shared" si="65"/>
        <v>2.5044105756744828</v>
      </c>
      <c r="S46" s="17">
        <f t="shared" si="66"/>
        <v>1.1600479691261574</v>
      </c>
      <c r="T46" s="17" t="str">
        <f t="shared" si="57"/>
        <v>1+0.0000434466485812743i</v>
      </c>
      <c r="U46" s="17">
        <f t="shared" si="67"/>
        <v>1.0000000009438055</v>
      </c>
      <c r="V46" s="17">
        <f t="shared" si="68"/>
        <v>4.3446648553937507E-5</v>
      </c>
      <c r="W46" s="31" t="str">
        <f t="shared" si="58"/>
        <v>1-0.00075446182451328i</v>
      </c>
      <c r="X46" s="17">
        <f t="shared" si="69"/>
        <v>1.0000002846062819</v>
      </c>
      <c r="Y46" s="17">
        <f t="shared" si="70"/>
        <v>-7.5446168136359207E-4</v>
      </c>
      <c r="Z46" s="31" t="str">
        <f t="shared" si="59"/>
        <v>0.999999879974197+0.00360984800276932i</v>
      </c>
      <c r="AA46" s="17">
        <f t="shared" si="71"/>
        <v>1.0000063954550549</v>
      </c>
      <c r="AB46" s="17">
        <f t="shared" si="72"/>
        <v>3.6098327561816519E-3</v>
      </c>
      <c r="AC46" s="66" t="str">
        <f t="shared" si="73"/>
        <v>86.3750090372971-200.689895792272i</v>
      </c>
      <c r="AD46" s="64">
        <f t="shared" si="74"/>
        <v>46.788558181799672</v>
      </c>
      <c r="AE46" s="61">
        <f t="shared" si="75"/>
        <v>-66.713419005878848</v>
      </c>
      <c r="AF46" s="31" t="str">
        <f t="shared" si="60"/>
        <v>-0.000106860158311346</v>
      </c>
      <c r="AG46" s="31" t="str">
        <f t="shared" si="61"/>
        <v>5.53123160736972E-07i</v>
      </c>
      <c r="AH46" s="31">
        <f t="shared" si="76"/>
        <v>5.5312316073697202E-7</v>
      </c>
      <c r="AI46" s="31">
        <f t="shared" si="77"/>
        <v>1.5707963267948966</v>
      </c>
      <c r="AJ46" s="31" t="str">
        <f t="shared" si="62"/>
        <v>1+0.00873205057260591i</v>
      </c>
      <c r="AK46" s="31">
        <f t="shared" si="78"/>
        <v>1.0000381236268958</v>
      </c>
      <c r="AL46" s="31">
        <f t="shared" si="79"/>
        <v>8.7318286469029553E-3</v>
      </c>
      <c r="AM46" s="31" t="str">
        <f t="shared" si="63"/>
        <v>1+0.0560306578408878i</v>
      </c>
      <c r="AN46" s="31">
        <f t="shared" si="80"/>
        <v>1.0015684872329413</v>
      </c>
      <c r="AO46" s="31">
        <f t="shared" si="81"/>
        <v>5.5972133179706153E-2</v>
      </c>
      <c r="AP46" s="58" t="str">
        <f t="shared" si="82"/>
        <v>-9.1371174850242+193.27393473685i</v>
      </c>
      <c r="AQ46" s="49">
        <f t="shared" si="83"/>
        <v>45.733161289200993</v>
      </c>
      <c r="AR46" s="61">
        <f t="shared" si="84"/>
        <v>92.706670072642368</v>
      </c>
      <c r="AS46" s="58" t="str">
        <f t="shared" si="85"/>
        <v>37998.907216357+18527.7650154806i</v>
      </c>
      <c r="AT46" s="64">
        <f t="shared" si="86"/>
        <v>92.521719471000665</v>
      </c>
      <c r="AU46" s="61">
        <f t="shared" si="87"/>
        <v>25.993251066763463</v>
      </c>
    </row>
    <row r="47" spans="1:48" x14ac:dyDescent="0.35">
      <c r="A47" s="31"/>
      <c r="B47" s="1"/>
      <c r="C47" s="31"/>
      <c r="D47" s="31"/>
      <c r="E47" s="31"/>
      <c r="F47" s="31"/>
      <c r="G47" s="31"/>
      <c r="N47" s="10">
        <v>29</v>
      </c>
      <c r="O47" s="50">
        <f t="shared" si="64"/>
        <v>19.498445997580465</v>
      </c>
      <c r="P47" s="48" t="str">
        <f t="shared" si="55"/>
        <v>547.187404092767</v>
      </c>
      <c r="Q47" s="17" t="str">
        <f t="shared" si="56"/>
        <v>1+2.34958239816259i</v>
      </c>
      <c r="R47" s="17">
        <f t="shared" si="65"/>
        <v>2.5535343047931565</v>
      </c>
      <c r="S47" s="17">
        <f t="shared" si="66"/>
        <v>1.1684111944878541</v>
      </c>
      <c r="T47" s="17" t="str">
        <f t="shared" si="57"/>
        <v>1+0.0000444586510313027i</v>
      </c>
      <c r="U47" s="17">
        <f t="shared" si="67"/>
        <v>1.0000000009882857</v>
      </c>
      <c r="V47" s="17">
        <f t="shared" si="68"/>
        <v>4.4458651002010796E-5</v>
      </c>
      <c r="W47" s="31" t="str">
        <f t="shared" si="58"/>
        <v>1-0.000772035497967793i</v>
      </c>
      <c r="X47" s="17">
        <f t="shared" si="69"/>
        <v>1.0000002980193607</v>
      </c>
      <c r="Y47" s="17">
        <f t="shared" si="70"/>
        <v>-7.7203534458014135E-4</v>
      </c>
      <c r="Z47" s="31" t="str">
        <f t="shared" si="59"/>
        <v>0.999999874317555+0.00369393216443253i</v>
      </c>
      <c r="AA47" s="17">
        <f t="shared" si="71"/>
        <v>1.0000066968625567</v>
      </c>
      <c r="AB47" s="17">
        <f t="shared" si="72"/>
        <v>3.6939158274254136E-3</v>
      </c>
      <c r="AC47" s="66" t="str">
        <f t="shared" si="73"/>
        <v>83.0443916068285-197.539002438596i</v>
      </c>
      <c r="AD47" s="64">
        <f t="shared" si="74"/>
        <v>46.619832329058283</v>
      </c>
      <c r="AE47" s="61">
        <f t="shared" si="75"/>
        <v>-67.198363040595368</v>
      </c>
      <c r="AF47" s="31" t="str">
        <f t="shared" si="60"/>
        <v>-0.000106860158311346</v>
      </c>
      <c r="AG47" s="31" t="str">
        <f t="shared" si="61"/>
        <v>5.66007054250325E-07i</v>
      </c>
      <c r="AH47" s="31">
        <f t="shared" si="76"/>
        <v>5.6600705425032495E-7</v>
      </c>
      <c r="AI47" s="31">
        <f t="shared" si="77"/>
        <v>1.5707963267948966</v>
      </c>
      <c r="AJ47" s="31" t="str">
        <f t="shared" si="62"/>
        <v>1+0.00893544615918879i</v>
      </c>
      <c r="AK47" s="31">
        <f t="shared" si="78"/>
        <v>1.0000399203022166</v>
      </c>
      <c r="AL47" s="31">
        <f t="shared" si="79"/>
        <v>8.9352083620264245E-3</v>
      </c>
      <c r="AM47" s="31" t="str">
        <f t="shared" si="63"/>
        <v>1+0.0573357795214613i</v>
      </c>
      <c r="AN47" s="31">
        <f t="shared" si="80"/>
        <v>1.0016423471545788</v>
      </c>
      <c r="AO47" s="31">
        <f t="shared" si="81"/>
        <v>5.7273074769203756E-2</v>
      </c>
      <c r="AP47" s="58" t="str">
        <f t="shared" si="82"/>
        <v>-9.13708465349738+188.87815716734i</v>
      </c>
      <c r="AQ47" s="49">
        <f t="shared" si="83"/>
        <v>45.53378619492765</v>
      </c>
      <c r="AR47" s="61">
        <f t="shared" si="84"/>
        <v>92.769555735798448</v>
      </c>
      <c r="AS47" s="58" t="str">
        <f t="shared" si="85"/>
        <v>36552.0191131669+17490.2022374296i</v>
      </c>
      <c r="AT47" s="64">
        <f t="shared" si="86"/>
        <v>92.153618523985941</v>
      </c>
      <c r="AU47" s="61">
        <f t="shared" si="87"/>
        <v>25.571192695203155</v>
      </c>
    </row>
    <row r="48" spans="1:48" x14ac:dyDescent="0.35">
      <c r="A48" t="s">
        <v>208</v>
      </c>
      <c r="B48" s="29">
        <f>1/(Cout_total*Resr_total)</f>
        <v>2755647.0239857868</v>
      </c>
      <c r="C48" t="s">
        <v>205</v>
      </c>
      <c r="E48" t="s">
        <v>198</v>
      </c>
      <c r="K48" s="31"/>
      <c r="N48" s="10">
        <v>30</v>
      </c>
      <c r="O48" s="50">
        <f t="shared" si="64"/>
        <v>19.952623149688804</v>
      </c>
      <c r="P48" s="48" t="str">
        <f t="shared" si="55"/>
        <v>547.187404092767</v>
      </c>
      <c r="Q48" s="17" t="str">
        <f t="shared" si="56"/>
        <v>1+2.404311202826i</v>
      </c>
      <c r="R48" s="17">
        <f t="shared" si="65"/>
        <v>2.6039800997769946</v>
      </c>
      <c r="S48" s="17">
        <f t="shared" si="66"/>
        <v>1.1766419842522564</v>
      </c>
      <c r="T48" s="17" t="str">
        <f t="shared" si="57"/>
        <v>1+0.0000454942260465876i</v>
      </c>
      <c r="U48" s="17">
        <f t="shared" si="67"/>
        <v>1.0000000010348622</v>
      </c>
      <c r="V48" s="17">
        <f t="shared" si="68"/>
        <v>4.5494226015200758E-5</v>
      </c>
      <c r="W48" s="31" t="str">
        <f t="shared" si="58"/>
        <v>1-0.000790018514862427i</v>
      </c>
      <c r="X48" s="17">
        <f t="shared" si="69"/>
        <v>1.0000003120645782</v>
      </c>
      <c r="Y48" s="17">
        <f t="shared" si="70"/>
        <v>-7.9001835050459982E-4</v>
      </c>
      <c r="Z48" s="31" t="str">
        <f t="shared" si="59"/>
        <v>0.999999868394324+0.0037799748978243i</v>
      </c>
      <c r="AA48" s="17">
        <f t="shared" si="71"/>
        <v>1.0000070124748592</v>
      </c>
      <c r="AB48" s="17">
        <f t="shared" si="72"/>
        <v>3.7799573924124138E-3</v>
      </c>
      <c r="AC48" s="66" t="str">
        <f t="shared" si="73"/>
        <v>79.8184204486224-194.38403674009i</v>
      </c>
      <c r="AD48" s="64">
        <f t="shared" si="74"/>
        <v>46.449910424462615</v>
      </c>
      <c r="AE48" s="61">
        <f t="shared" si="75"/>
        <v>-67.675853390956348</v>
      </c>
      <c r="AF48" s="31" t="str">
        <f t="shared" si="60"/>
        <v>-0.000106860158311346</v>
      </c>
      <c r="AG48" s="31" t="str">
        <f t="shared" si="61"/>
        <v>5.7919105219583E-07i</v>
      </c>
      <c r="AH48" s="31">
        <f t="shared" si="76"/>
        <v>5.7919105219583004E-7</v>
      </c>
      <c r="AI48" s="31">
        <f t="shared" si="77"/>
        <v>1.5707963267948966</v>
      </c>
      <c r="AJ48" s="31" t="str">
        <f t="shared" si="62"/>
        <v>1+0.00914357943759989i</v>
      </c>
      <c r="AK48" s="31">
        <f t="shared" si="78"/>
        <v>1.0000418016487769</v>
      </c>
      <c r="AL48" s="31">
        <f t="shared" si="79"/>
        <v>9.1433246339249191E-3</v>
      </c>
      <c r="AM48" s="31" t="str">
        <f t="shared" si="63"/>
        <v>1+0.0586713013912658i</v>
      </c>
      <c r="AN48" s="31">
        <f t="shared" si="80"/>
        <v>1.0017196821501237</v>
      </c>
      <c r="AO48" s="31">
        <f t="shared" si="81"/>
        <v>5.8604118266829437E-2</v>
      </c>
      <c r="AP48" s="58" t="str">
        <f t="shared" si="82"/>
        <v>-9.13705027492124+184.5825252692i</v>
      </c>
      <c r="AQ48" s="49">
        <f t="shared" si="83"/>
        <v>45.334440450381933</v>
      </c>
      <c r="AR48" s="61">
        <f t="shared" si="84"/>
        <v>92.833894726532947</v>
      </c>
      <c r="AS48" s="58" t="str">
        <f t="shared" si="85"/>
        <v>35150.5914530029+16509.1823257418i</v>
      </c>
      <c r="AT48" s="64">
        <f t="shared" si="86"/>
        <v>91.784350874844534</v>
      </c>
      <c r="AU48" s="61">
        <f t="shared" si="87"/>
        <v>25.158041335576574</v>
      </c>
    </row>
    <row r="49" spans="1:48" x14ac:dyDescent="0.35">
      <c r="A49" s="31"/>
      <c r="B49" s="29">
        <f>wz_esr/(2*PI())</f>
        <v>438574.84528380865</v>
      </c>
      <c r="C49" s="31" t="s">
        <v>61</v>
      </c>
      <c r="D49" s="31"/>
      <c r="E49" s="31"/>
      <c r="F49" s="31"/>
      <c r="G49" s="31"/>
      <c r="K49" s="31"/>
      <c r="N49" s="10">
        <v>31</v>
      </c>
      <c r="O49" s="50">
        <f t="shared" si="64"/>
        <v>20.4173794466953</v>
      </c>
      <c r="P49" s="48" t="str">
        <f t="shared" si="55"/>
        <v>547.187404092767</v>
      </c>
      <c r="Q49" s="17" t="str">
        <f t="shared" si="56"/>
        <v>1+2.46031480511394i</v>
      </c>
      <c r="R49" s="17">
        <f t="shared" si="65"/>
        <v>2.6557765230272752</v>
      </c>
      <c r="S49" s="17">
        <f t="shared" si="66"/>
        <v>1.184740240624039</v>
      </c>
      <c r="T49" s="17" t="str">
        <f t="shared" si="57"/>
        <v>1+0.0000465539227027095i</v>
      </c>
      <c r="U49" s="17">
        <f t="shared" si="67"/>
        <v>1.0000000010836338</v>
      </c>
      <c r="V49" s="17">
        <f t="shared" si="68"/>
        <v>4.6553922669077893E-5</v>
      </c>
      <c r="W49" s="31" t="str">
        <f t="shared" si="58"/>
        <v>1-0.000808420410030767i</v>
      </c>
      <c r="X49" s="17">
        <f t="shared" si="69"/>
        <v>1.0000003267717263</v>
      </c>
      <c r="Y49" s="17">
        <f t="shared" si="70"/>
        <v>-8.0842023391818529E-4</v>
      </c>
      <c r="Z49" s="31" t="str">
        <f t="shared" si="59"/>
        <v>0.999999862191939+0.00386802182394075i</v>
      </c>
      <c r="AA49" s="17">
        <f t="shared" si="71"/>
        <v>1.0000073429614043</v>
      </c>
      <c r="AB49" s="17">
        <f t="shared" si="72"/>
        <v>3.8680030665614084E-3</v>
      </c>
      <c r="AC49" s="66" t="str">
        <f t="shared" si="73"/>
        <v>76.6955007901819-191.22845546305i</v>
      </c>
      <c r="AD49" s="64">
        <f t="shared" si="74"/>
        <v>46.278830351951882</v>
      </c>
      <c r="AE49" s="61">
        <f t="shared" si="75"/>
        <v>-68.145887582116401</v>
      </c>
      <c r="AF49" s="31" t="str">
        <f t="shared" si="60"/>
        <v>-0.000106860158311346</v>
      </c>
      <c r="AG49" s="31" t="str">
        <f t="shared" si="61"/>
        <v>5.92682144903709E-07i</v>
      </c>
      <c r="AH49" s="31">
        <f t="shared" si="76"/>
        <v>5.9268214490370896E-7</v>
      </c>
      <c r="AI49" s="31">
        <f t="shared" si="77"/>
        <v>1.5707963267948966</v>
      </c>
      <c r="AJ49" s="31" t="str">
        <f t="shared" si="62"/>
        <v>1+0.00935656076285833i</v>
      </c>
      <c r="AK49" s="31">
        <f t="shared" si="78"/>
        <v>1.0000437716566755</v>
      </c>
      <c r="AL49" s="31">
        <f t="shared" si="79"/>
        <v>9.3562877364469724E-3</v>
      </c>
      <c r="AM49" s="31" t="str">
        <f t="shared" si="63"/>
        <v>1+0.0600379315616742i</v>
      </c>
      <c r="AN49" s="31">
        <f t="shared" si="80"/>
        <v>1.0018006554331078</v>
      </c>
      <c r="AO49" s="31">
        <f t="shared" si="81"/>
        <v>5.9965950533361928E-2</v>
      </c>
      <c r="AP49" s="58" t="str">
        <f t="shared" si="82"/>
        <v>-9.13701427640998+180.384761439561i</v>
      </c>
      <c r="AQ49" s="49">
        <f t="shared" si="83"/>
        <v>45.135125429047314</v>
      </c>
      <c r="AR49" s="61">
        <f t="shared" si="84"/>
        <v>92.89972008084348</v>
      </c>
      <c r="AS49" s="58" t="str">
        <f t="shared" si="85"/>
        <v>33793.9314335017+15581.9567411463i</v>
      </c>
      <c r="AT49" s="64">
        <f t="shared" si="86"/>
        <v>91.413955780999189</v>
      </c>
      <c r="AU49" s="61">
        <f t="shared" si="87"/>
        <v>24.753832498727025</v>
      </c>
    </row>
    <row r="50" spans="1:48" x14ac:dyDescent="0.35">
      <c r="B50" s="26"/>
      <c r="N50" s="10">
        <v>32</v>
      </c>
      <c r="O50" s="50">
        <f t="shared" si="64"/>
        <v>20.8929613085404</v>
      </c>
      <c r="P50" s="48" t="str">
        <f t="shared" si="55"/>
        <v>547.187404092767</v>
      </c>
      <c r="Q50" s="17" t="str">
        <f t="shared" si="56"/>
        <v>1+2.5176228988777i</v>
      </c>
      <c r="R50" s="17">
        <f t="shared" si="65"/>
        <v>2.7089527609305692</v>
      </c>
      <c r="S50" s="17">
        <f t="shared" si="66"/>
        <v>1.192706007575991</v>
      </c>
      <c r="T50" s="17" t="str">
        <f t="shared" si="57"/>
        <v>1+0.0000476383028648628i</v>
      </c>
      <c r="U50" s="17">
        <f t="shared" si="67"/>
        <v>1.0000000011347039</v>
      </c>
      <c r="V50" s="17">
        <f t="shared" si="68"/>
        <v>4.7638302828825886E-5</v>
      </c>
      <c r="W50" s="31" t="str">
        <f t="shared" si="58"/>
        <v>1-0.000827250940401223i</v>
      </c>
      <c r="X50" s="17">
        <f t="shared" si="69"/>
        <v>1.0000003421720007</v>
      </c>
      <c r="Y50" s="17">
        <f t="shared" si="70"/>
        <v>-8.2725075169319529E-4</v>
      </c>
      <c r="Z50" s="31" t="str">
        <f t="shared" si="59"/>
        <v>0.999999855697246+0.00395811962642761i</v>
      </c>
      <c r="AA50" s="17">
        <f t="shared" si="71"/>
        <v>1.0000076890231844</v>
      </c>
      <c r="AB50" s="17">
        <f t="shared" si="72"/>
        <v>3.9580995275418718E-3</v>
      </c>
      <c r="AC50" s="66" t="str">
        <f t="shared" si="73"/>
        <v>73.6739266013564-188.075552238399i</v>
      </c>
      <c r="AD50" s="64">
        <f t="shared" si="74"/>
        <v>46.10662939272725</v>
      </c>
      <c r="AE50" s="61">
        <f t="shared" si="75"/>
        <v>-68.608471334799304</v>
      </c>
      <c r="AF50" s="31" t="str">
        <f t="shared" si="60"/>
        <v>-0.000106860158311346</v>
      </c>
      <c r="AG50" s="31" t="str">
        <f t="shared" si="61"/>
        <v>6.06487485529892E-07i</v>
      </c>
      <c r="AH50" s="31">
        <f t="shared" si="76"/>
        <v>6.0648748552989202E-7</v>
      </c>
      <c r="AI50" s="31">
        <f t="shared" si="77"/>
        <v>1.5707963267948966</v>
      </c>
      <c r="AJ50" s="31" t="str">
        <f t="shared" si="62"/>
        <v>1+0.00957450306048205i</v>
      </c>
      <c r="AK50" s="31">
        <f t="shared" si="78"/>
        <v>1.0000458345040266</v>
      </c>
      <c r="AL50" s="31">
        <f t="shared" si="79"/>
        <v>9.5742105081356096E-3</v>
      </c>
      <c r="AM50" s="31" t="str">
        <f t="shared" si="63"/>
        <v>1+0.061436394638093i</v>
      </c>
      <c r="AN50" s="31">
        <f t="shared" si="80"/>
        <v>1.001885437855111</v>
      </c>
      <c r="AO50" s="31">
        <f t="shared" si="81"/>
        <v>6.1359273413782556E-2</v>
      </c>
      <c r="AP50" s="58" t="str">
        <f t="shared" si="82"/>
        <v>-9.13697658164523+176.282639966359i</v>
      </c>
      <c r="AQ50" s="49">
        <f t="shared" si="83"/>
        <v>44.935842568204279</v>
      </c>
      <c r="AR50" s="61">
        <f t="shared" si="84"/>
        <v>92.967065546313037</v>
      </c>
      <c r="AS50" s="58" t="str">
        <f t="shared" si="85"/>
        <v>32481.2979196814+14705.8761943571i</v>
      </c>
      <c r="AT50" s="64">
        <f t="shared" si="86"/>
        <v>91.042471960931536</v>
      </c>
      <c r="AU50" s="61">
        <f t="shared" si="87"/>
        <v>24.358594211513729</v>
      </c>
    </row>
    <row r="51" spans="1:48" x14ac:dyDescent="0.35">
      <c r="A51" s="31" t="s">
        <v>201</v>
      </c>
      <c r="B51" s="1">
        <f>(Isl*(Rsl_int+R_sl)*Fsw)</f>
        <v>4398.8999999999996</v>
      </c>
      <c r="C51" s="31" t="s">
        <v>144</v>
      </c>
      <c r="D51" s="31"/>
      <c r="E51" s="31" t="s">
        <v>202</v>
      </c>
      <c r="F51" s="31"/>
      <c r="G51" s="31"/>
      <c r="N51" s="10">
        <v>33</v>
      </c>
      <c r="O51" s="50">
        <f t="shared" si="64"/>
        <v>21.379620895022335</v>
      </c>
      <c r="P51" s="48" t="str">
        <f t="shared" si="55"/>
        <v>547.187404092767</v>
      </c>
      <c r="Q51" s="17" t="str">
        <f t="shared" si="56"/>
        <v>1+2.5762658696271i</v>
      </c>
      <c r="R51" s="17">
        <f t="shared" si="65"/>
        <v>2.7635386429368913</v>
      </c>
      <c r="S51" s="17">
        <f t="shared" si="66"/>
        <v>1.2005394639810321</v>
      </c>
      <c r="T51" s="17" t="str">
        <f t="shared" si="57"/>
        <v>1+0.0000487479414857622i</v>
      </c>
      <c r="U51" s="17">
        <f t="shared" si="67"/>
        <v>1.0000000011881809</v>
      </c>
      <c r="V51" s="17">
        <f t="shared" si="68"/>
        <v>4.8747941447147954E-5</v>
      </c>
      <c r="W51" s="31" t="str">
        <f t="shared" si="58"/>
        <v>1-0.000846520090170233i</v>
      </c>
      <c r="X51" s="17">
        <f t="shared" si="69"/>
        <v>1.0000003582980672</v>
      </c>
      <c r="Y51" s="17">
        <f t="shared" si="70"/>
        <v>-8.465198879659421E-4</v>
      </c>
      <c r="Z51" s="31" t="str">
        <f t="shared" si="59"/>
        <v>0.999999848896466+0.00405031607633228i</v>
      </c>
      <c r="AA51" s="17">
        <f t="shared" si="71"/>
        <v>1.0000080513942242</v>
      </c>
      <c r="AB51" s="17">
        <f t="shared" si="72"/>
        <v>4.0502945399975652E-3</v>
      </c>
      <c r="AC51" s="66" t="str">
        <f t="shared" si="73"/>
        <v>70.7518928713837-184.928456935046i</v>
      </c>
      <c r="AD51" s="64">
        <f t="shared" si="74"/>
        <v>45.93334418690354</v>
      </c>
      <c r="AE51" s="61">
        <f t="shared" si="75"/>
        <v>-69.063618173487427</v>
      </c>
      <c r="AF51" s="31" t="str">
        <f t="shared" si="60"/>
        <v>-0.000106860158311346</v>
      </c>
      <c r="AG51" s="31" t="str">
        <f t="shared" si="61"/>
        <v>6.20614393848714E-07i</v>
      </c>
      <c r="AH51" s="31">
        <f t="shared" si="76"/>
        <v>6.2061439384871404E-7</v>
      </c>
      <c r="AI51" s="31">
        <f t="shared" si="77"/>
        <v>1.5707963267948966</v>
      </c>
      <c r="AJ51" s="31" t="str">
        <f t="shared" si="62"/>
        <v>1+0.00979752188636189i</v>
      </c>
      <c r="AK51" s="31">
        <f t="shared" si="78"/>
        <v>1.0000479945658176</v>
      </c>
      <c r="AL51" s="31">
        <f t="shared" si="79"/>
        <v>9.7972084116874116E-3</v>
      </c>
      <c r="AM51" s="31" t="str">
        <f t="shared" si="63"/>
        <v>1+0.0628674321041553i</v>
      </c>
      <c r="AN51" s="31">
        <f t="shared" si="80"/>
        <v>1.0019742082605574</v>
      </c>
      <c r="AO51" s="31">
        <f t="shared" si="81"/>
        <v>6.2784804014698867E-2</v>
      </c>
      <c r="AP51" s="58" t="str">
        <f t="shared" si="82"/>
        <v>-9.13693711071422+172.27398584822i</v>
      </c>
      <c r="AQ51" s="49">
        <f t="shared" si="83"/>
        <v>44.736593371847526</v>
      </c>
      <c r="AR51" s="61">
        <f t="shared" si="84"/>
        <v>93.035965594598508</v>
      </c>
      <c r="AS51" s="58" t="str">
        <f t="shared" si="85"/>
        <v>31211.9067773315+13878.3902722565i</v>
      </c>
      <c r="AT51" s="64">
        <f t="shared" si="86"/>
        <v>90.669937558751087</v>
      </c>
      <c r="AU51" s="61">
        <f t="shared" si="87"/>
        <v>23.97234742111111</v>
      </c>
    </row>
    <row r="52" spans="1:48" x14ac:dyDescent="0.35">
      <c r="A52" s="31" t="s">
        <v>204</v>
      </c>
      <c r="B52" s="1">
        <f>(R_cs*VIN_var*Acs*(1-Dc_var_ccm))/Lm</f>
        <v>689.98793727382395</v>
      </c>
      <c r="C52" s="31" t="s">
        <v>144</v>
      </c>
      <c r="D52" s="31"/>
      <c r="E52" s="31" t="s">
        <v>203</v>
      </c>
      <c r="F52" s="31"/>
      <c r="G52" s="31"/>
      <c r="N52" s="10">
        <v>34</v>
      </c>
      <c r="O52" s="50">
        <f t="shared" si="64"/>
        <v>21.877616239495538</v>
      </c>
      <c r="P52" s="48" t="str">
        <f t="shared" si="55"/>
        <v>547.187404092767</v>
      </c>
      <c r="Q52" s="17" t="str">
        <f t="shared" si="56"/>
        <v>1+2.6362748106415i</v>
      </c>
      <c r="R52" s="17">
        <f t="shared" si="65"/>
        <v>2.819564660940209</v>
      </c>
      <c r="S52" s="17">
        <f t="shared" si="66"/>
        <v>1.2082409167352084</v>
      </c>
      <c r="T52" s="17" t="str">
        <f t="shared" si="57"/>
        <v>1+0.0000498834269104927i</v>
      </c>
      <c r="U52" s="17">
        <f t="shared" si="67"/>
        <v>1.0000000012441781</v>
      </c>
      <c r="V52" s="17">
        <f t="shared" si="68"/>
        <v>4.9883426869116785E-5</v>
      </c>
      <c r="W52" s="31" t="str">
        <f t="shared" si="58"/>
        <v>1-0.000866238076096072i</v>
      </c>
      <c r="X52" s="17">
        <f t="shared" si="69"/>
        <v>1.000000375184132</v>
      </c>
      <c r="Y52" s="17">
        <f t="shared" si="70"/>
        <v>-8.6623785943027516E-4</v>
      </c>
      <c r="Z52" s="31" t="str">
        <f t="shared" si="59"/>
        <v>0.999999841775176+0.00414466005743291i</v>
      </c>
      <c r="AA52" s="17">
        <f t="shared" si="71"/>
        <v>1.0000084308431447</v>
      </c>
      <c r="AB52" s="17">
        <f t="shared" si="72"/>
        <v>4.1446369808450052E-3</v>
      </c>
      <c r="AC52" s="66" t="str">
        <f t="shared" si="73"/>
        <v>67.9275074455177-181.790135842346i</v>
      </c>
      <c r="AD52" s="64">
        <f t="shared" si="74"/>
        <v>45.75901069955875</v>
      </c>
      <c r="AE52" s="61">
        <f t="shared" si="75"/>
        <v>-69.511349034133787</v>
      </c>
      <c r="AF52" s="31" t="str">
        <f t="shared" si="60"/>
        <v>-0.000106860158311346</v>
      </c>
      <c r="AG52" s="31" t="str">
        <f t="shared" si="61"/>
        <v>6.35070360133957E-07i</v>
      </c>
      <c r="AH52" s="31">
        <f t="shared" si="76"/>
        <v>6.3507036013395701E-7</v>
      </c>
      <c r="AI52" s="31">
        <f t="shared" si="77"/>
        <v>1.5707963267948966</v>
      </c>
      <c r="AJ52" s="31" t="str">
        <f t="shared" si="62"/>
        <v>1+0.0100257354880314i</v>
      </c>
      <c r="AK52" s="31">
        <f t="shared" si="78"/>
        <v>1.0000502564231839</v>
      </c>
      <c r="AL52" s="31">
        <f t="shared" si="79"/>
        <v>1.0025399594777657E-2</v>
      </c>
      <c r="AM52" s="31" t="str">
        <f t="shared" si="63"/>
        <v>1+0.0643318027148683i</v>
      </c>
      <c r="AN52" s="31">
        <f t="shared" si="80"/>
        <v>1.0020671538577366</v>
      </c>
      <c r="AO52" s="31">
        <f t="shared" si="81"/>
        <v>6.4243274983233414E-2</v>
      </c>
      <c r="AP52" s="58" t="str">
        <f t="shared" si="82"/>
        <v>-9.13689577994109+168.356673641236i</v>
      </c>
      <c r="AQ52" s="49">
        <f t="shared" si="83"/>
        <v>44.537379413732353</v>
      </c>
      <c r="AR52" s="61">
        <f t="shared" si="84"/>
        <v>93.106455433924737</v>
      </c>
      <c r="AS52" s="58" t="str">
        <f t="shared" si="85"/>
        <v>29984.9360150849+13097.0467272805i</v>
      </c>
      <c r="AT52" s="64">
        <f t="shared" si="86"/>
        <v>90.296390113291096</v>
      </c>
      <c r="AU52" s="61">
        <f t="shared" si="87"/>
        <v>23.595106399790978</v>
      </c>
    </row>
    <row r="53" spans="1:48" x14ac:dyDescent="0.35">
      <c r="A53" t="s">
        <v>507</v>
      </c>
      <c r="B53" s="1">
        <f>1+(B51/B52)</f>
        <v>7.3753288461538453</v>
      </c>
      <c r="N53" s="10">
        <v>35</v>
      </c>
      <c r="O53" s="50">
        <f t="shared" si="64"/>
        <v>22.387211385683404</v>
      </c>
      <c r="P53" s="48" t="str">
        <f t="shared" si="55"/>
        <v>547.187404092767</v>
      </c>
      <c r="Q53" s="17" t="str">
        <f t="shared" si="56"/>
        <v>1+2.69768153945573i</v>
      </c>
      <c r="R53" s="17">
        <f t="shared" si="65"/>
        <v>2.8770619889603073</v>
      </c>
      <c r="S53" s="17">
        <f t="shared" si="66"/>
        <v>1.2158107939040732</v>
      </c>
      <c r="T53" s="17" t="str">
        <f t="shared" si="57"/>
        <v>1+0.0000510453611884565i</v>
      </c>
      <c r="U53" s="17">
        <f t="shared" si="67"/>
        <v>1.0000000013028143</v>
      </c>
      <c r="V53" s="17">
        <f t="shared" si="68"/>
        <v>5.1045361144121413E-5</v>
      </c>
      <c r="W53" s="31" t="str">
        <f t="shared" si="58"/>
        <v>1-0.000886415352915876i</v>
      </c>
      <c r="X53" s="17">
        <f t="shared" si="69"/>
        <v>1.0000003928660117</v>
      </c>
      <c r="Y53" s="17">
        <f t="shared" si="70"/>
        <v>-8.8641512075429685E-4</v>
      </c>
      <c r="Z53" s="31" t="str">
        <f t="shared" si="59"/>
        <v>0.99999983431827+0.00424120159215705i</v>
      </c>
      <c r="AA53" s="17">
        <f t="shared" si="71"/>
        <v>1.0000088281747881</v>
      </c>
      <c r="AB53" s="17">
        <f t="shared" si="72"/>
        <v>4.2411768651593991E-3</v>
      </c>
      <c r="AC53" s="66" t="str">
        <f t="shared" si="73"/>
        <v>65.1988023824161-178.663392591821i</v>
      </c>
      <c r="AD53" s="64">
        <f t="shared" si="74"/>
        <v>45.583664191016197</v>
      </c>
      <c r="AE53" s="61">
        <f t="shared" si="75"/>
        <v>-69.951691873254006</v>
      </c>
      <c r="AF53" s="31" t="str">
        <f t="shared" si="60"/>
        <v>-0.000106860158311346</v>
      </c>
      <c r="AG53" s="31" t="str">
        <f t="shared" si="61"/>
        <v>6.49863049130293E-07i</v>
      </c>
      <c r="AH53" s="31">
        <f t="shared" si="76"/>
        <v>6.4986304913029296E-7</v>
      </c>
      <c r="AI53" s="31">
        <f t="shared" si="77"/>
        <v>1.5707963267948966</v>
      </c>
      <c r="AJ53" s="31" t="str">
        <f t="shared" si="62"/>
        <v>1+0.0102592648673631i</v>
      </c>
      <c r="AK53" s="31">
        <f t="shared" si="78"/>
        <v>1.0000526248731207</v>
      </c>
      <c r="AL53" s="31">
        <f t="shared" si="79"/>
        <v>1.0258904952280112E-2</v>
      </c>
      <c r="AM53" s="31" t="str">
        <f t="shared" si="63"/>
        <v>1+0.0658302828989129i</v>
      </c>
      <c r="AN53" s="31">
        <f t="shared" si="80"/>
        <v>1.0021644706067716</v>
      </c>
      <c r="AO53" s="31">
        <f t="shared" si="81"/>
        <v>6.5735434787057276E-2</v>
      </c>
      <c r="AP53" s="58" t="str">
        <f t="shared" si="82"/>
        <v>-9.13685250170941+164.528626332018i</v>
      </c>
      <c r="AQ53" s="49">
        <f t="shared" si="83"/>
        <v>44.338202340555426</v>
      </c>
      <c r="AR53" s="61">
        <f t="shared" si="84"/>
        <v>93.178571021564323</v>
      </c>
      <c r="AS53" s="58" t="str">
        <f t="shared" si="85"/>
        <v>28799.5307182941+12359.4904600381i</v>
      </c>
      <c r="AT53" s="64">
        <f t="shared" si="86"/>
        <v>89.921866531571624</v>
      </c>
      <c r="AU53" s="61">
        <f t="shared" si="87"/>
        <v>23.226879148310353</v>
      </c>
      <c r="AV53" s="31"/>
    </row>
    <row r="54" spans="1:48" x14ac:dyDescent="0.35">
      <c r="A54" t="s">
        <v>199</v>
      </c>
      <c r="B54" s="1">
        <f>2*PI()*Fsw</f>
        <v>691150.38378975447</v>
      </c>
      <c r="C54" t="s">
        <v>205</v>
      </c>
      <c r="N54" s="10">
        <v>36</v>
      </c>
      <c r="O54" s="50">
        <f t="shared" si="64"/>
        <v>22.908676527677727</v>
      </c>
      <c r="P54" s="48" t="str">
        <f t="shared" si="55"/>
        <v>547.187404092767</v>
      </c>
      <c r="Q54" s="17" t="str">
        <f t="shared" si="56"/>
        <v>1+2.7605186147302i</v>
      </c>
      <c r="R54" s="17">
        <f t="shared" si="65"/>
        <v>2.9360625031276055</v>
      </c>
      <c r="S54" s="17">
        <f t="shared" si="66"/>
        <v>1.2232496379221149</v>
      </c>
      <c r="T54" s="17" t="str">
        <f t="shared" si="57"/>
        <v>1+0.0000522343603925875i</v>
      </c>
      <c r="U54" s="17">
        <f t="shared" si="67"/>
        <v>1.0000000013642141</v>
      </c>
      <c r="V54" s="17">
        <f t="shared" si="68"/>
        <v>5.2234360345081595E-5</v>
      </c>
      <c r="W54" s="31" t="str">
        <f t="shared" si="58"/>
        <v>1-0.000907062618888886i</v>
      </c>
      <c r="X54" s="17">
        <f t="shared" si="69"/>
        <v>1.0000004113812127</v>
      </c>
      <c r="Y54" s="17">
        <f t="shared" si="70"/>
        <v>-9.0706237012327755E-4</v>
      </c>
      <c r="Z54" s="31" t="str">
        <f t="shared" si="59"/>
        <v>0.99999982650993+0.00433999186810428i</v>
      </c>
      <c r="AA54" s="17">
        <f t="shared" si="71"/>
        <v>1.0000092442319246</v>
      </c>
      <c r="AB54" s="17">
        <f t="shared" si="72"/>
        <v>4.3399653726621653E-3</v>
      </c>
      <c r="AC54" s="66" t="str">
        <f t="shared" si="73"/>
        <v>62.5637448012385-175.550869748747i</v>
      </c>
      <c r="AD54" s="64">
        <f t="shared" si="74"/>
        <v>45.407339191176419</v>
      </c>
      <c r="AE54" s="61">
        <f t="shared" si="75"/>
        <v>-70.384681280099656</v>
      </c>
      <c r="AF54" s="31" t="str">
        <f t="shared" si="60"/>
        <v>-0.000106860158311346</v>
      </c>
      <c r="AG54" s="31" t="str">
        <f t="shared" si="61"/>
        <v>6.65000304117232E-07i</v>
      </c>
      <c r="AH54" s="31">
        <f t="shared" si="76"/>
        <v>6.6500030411723204E-7</v>
      </c>
      <c r="AI54" s="31">
        <f t="shared" si="77"/>
        <v>1.5707963267948966</v>
      </c>
      <c r="AJ54" s="31" t="str">
        <f t="shared" si="62"/>
        <v>1+0.0104982338447248i</v>
      </c>
      <c r="AK54" s="31">
        <f t="shared" si="78"/>
        <v>1.0000551049386521</v>
      </c>
      <c r="AL54" s="31">
        <f t="shared" si="79"/>
        <v>1.0497848189912831E-2</v>
      </c>
      <c r="AM54" s="31" t="str">
        <f t="shared" si="63"/>
        <v>1+0.0673636671703171i</v>
      </c>
      <c r="AN54" s="31">
        <f t="shared" si="80"/>
        <v>1.0022663636252755</v>
      </c>
      <c r="AO54" s="31">
        <f t="shared" si="81"/>
        <v>6.7262047995237301E-2</v>
      </c>
      <c r="AP54" s="58" t="str">
        <f t="shared" si="82"/>
        <v>-9.1368071842769+160.787814236418i</v>
      </c>
      <c r="AQ54" s="49">
        <f t="shared" si="83"/>
        <v>44.139063875274829</v>
      </c>
      <c r="AR54" s="61">
        <f t="shared" si="84"/>
        <v>93.252349076282414</v>
      </c>
      <c r="AS54" s="58" t="str">
        <f t="shared" si="85"/>
        <v>27654.8077612279+11663.4622249626i</v>
      </c>
      <c r="AT54" s="64">
        <f t="shared" si="86"/>
        <v>89.546403066451248</v>
      </c>
      <c r="AU54" s="61">
        <f t="shared" si="87"/>
        <v>22.867667796182772</v>
      </c>
      <c r="AV54" s="31"/>
    </row>
    <row r="55" spans="1:48" x14ac:dyDescent="0.35">
      <c r="A55" t="s">
        <v>200</v>
      </c>
      <c r="B55" s="1">
        <f>1/(PI()*(((1-Dc_var_ccm)*mc)-0.5))</f>
        <v>9.5972850657497069E-2</v>
      </c>
      <c r="N55" s="10">
        <v>37</v>
      </c>
      <c r="O55" s="50">
        <f t="shared" si="64"/>
        <v>23.442288153199236</v>
      </c>
      <c r="P55" s="48" t="str">
        <f t="shared" si="55"/>
        <v>547.187404092767</v>
      </c>
      <c r="Q55" s="17" t="str">
        <f t="shared" si="56"/>
        <v>1+2.82481935351399i</v>
      </c>
      <c r="R55" s="17">
        <f t="shared" si="65"/>
        <v>2.9965988019731964</v>
      </c>
      <c r="S55" s="17">
        <f t="shared" si="66"/>
        <v>1.2305580988719085</v>
      </c>
      <c r="T55" s="17" t="str">
        <f t="shared" si="57"/>
        <v>1+0.0000534510549460022i</v>
      </c>
      <c r="U55" s="17">
        <f t="shared" si="67"/>
        <v>1.0000000014285075</v>
      </c>
      <c r="V55" s="17">
        <f t="shared" si="68"/>
        <v>5.3451054895098707E-5</v>
      </c>
      <c r="W55" s="31" t="str">
        <f t="shared" si="58"/>
        <v>1-0.000928190821468827i</v>
      </c>
      <c r="X55" s="17">
        <f t="shared" si="69"/>
        <v>1.0000004307690078</v>
      </c>
      <c r="Y55" s="17">
        <f t="shared" si="70"/>
        <v>-9.2819055491168124E-4</v>
      </c>
      <c r="Z55" s="31" t="str">
        <f t="shared" si="59"/>
        <v>0.999999818333595+0.00444108326518658i</v>
      </c>
      <c r="AA55" s="17">
        <f t="shared" si="71"/>
        <v>1.0000096798970455</v>
      </c>
      <c r="AB55" s="17">
        <f t="shared" si="72"/>
        <v>4.4410548748236951E-3</v>
      </c>
      <c r="AC55" s="66" t="str">
        <f t="shared" si="73"/>
        <v>60.020247194785-172.455051005459i</v>
      </c>
      <c r="AD55" s="64">
        <f t="shared" si="74"/>
        <v>45.230069477708739</v>
      </c>
      <c r="AE55" s="61">
        <f t="shared" si="75"/>
        <v>-70.810358093440357</v>
      </c>
      <c r="AF55" s="31" t="str">
        <f t="shared" si="60"/>
        <v>-0.000106860158311346</v>
      </c>
      <c r="AG55" s="31" t="str">
        <f t="shared" si="61"/>
        <v>6.80490151067734E-07i</v>
      </c>
      <c r="AH55" s="31">
        <f t="shared" si="76"/>
        <v>6.8049015106773399E-7</v>
      </c>
      <c r="AI55" s="31">
        <f t="shared" si="77"/>
        <v>1.5707963267948966</v>
      </c>
      <c r="AJ55" s="31" t="str">
        <f t="shared" si="62"/>
        <v>1+0.0107427691246315i</v>
      </c>
      <c r="AK55" s="31">
        <f t="shared" si="78"/>
        <v>1.000057701879479</v>
      </c>
      <c r="AL55" s="31">
        <f t="shared" si="79"/>
        <v>1.0742355889343049E-2</v>
      </c>
      <c r="AM55" s="31" t="str">
        <f t="shared" si="63"/>
        <v>1+0.0689327685497186i</v>
      </c>
      <c r="AN55" s="31">
        <f t="shared" si="80"/>
        <v>1.002373047612479</v>
      </c>
      <c r="AO55" s="31">
        <f t="shared" si="81"/>
        <v>6.8823895559522411E-2</v>
      </c>
      <c r="AP55" s="58" t="str">
        <f t="shared" si="82"/>
        <v>-9.13675973158142+157.132253923354i</v>
      </c>
      <c r="AQ55" s="49">
        <f t="shared" si="83"/>
        <v>43.939965820575836</v>
      </c>
      <c r="AR55" s="61">
        <f t="shared" si="84"/>
        <v>93.327827090722934</v>
      </c>
      <c r="AS55" s="58" t="str">
        <f t="shared" si="85"/>
        <v>26549.8602873058+11006.7970882879i</v>
      </c>
      <c r="AT55" s="64">
        <f t="shared" si="86"/>
        <v>89.170035298284546</v>
      </c>
      <c r="AU55" s="61">
        <f t="shared" si="87"/>
        <v>22.517468997282592</v>
      </c>
      <c r="AV55" s="31"/>
    </row>
    <row r="56" spans="1:48" x14ac:dyDescent="0.35">
      <c r="N56" s="10">
        <v>38</v>
      </c>
      <c r="O56" s="50">
        <f t="shared" si="64"/>
        <v>23.988329190194907</v>
      </c>
      <c r="P56" s="48" t="str">
        <f t="shared" si="55"/>
        <v>547.187404092767</v>
      </c>
      <c r="Q56" s="17" t="str">
        <f t="shared" si="56"/>
        <v>1+2.89061784890991i</v>
      </c>
      <c r="R56" s="17">
        <f t="shared" si="65"/>
        <v>3.0587042270276079</v>
      </c>
      <c r="S56" s="17">
        <f t="shared" si="66"/>
        <v>1.2377369278668455</v>
      </c>
      <c r="T56" s="17" t="str">
        <f t="shared" si="57"/>
        <v>1+0.0000546960899562575i</v>
      </c>
      <c r="U56" s="17">
        <f t="shared" si="67"/>
        <v>1.000000001495831</v>
      </c>
      <c r="V56" s="17">
        <f t="shared" si="68"/>
        <v>5.4696089901713426E-5</v>
      </c>
      <c r="W56" s="31" t="str">
        <f t="shared" si="58"/>
        <v>1-0.000949811163108364i</v>
      </c>
      <c r="X56" s="17">
        <f t="shared" si="69"/>
        <v>1.0000004510705209</v>
      </c>
      <c r="Y56" s="17">
        <f t="shared" si="70"/>
        <v>-9.4981087748724339E-4</v>
      </c>
      <c r="Z56" s="31" t="str">
        <f t="shared" si="59"/>
        <v>0.999999809771921+0.00454452938340074i</v>
      </c>
      <c r="AA56" s="17">
        <f t="shared" si="71"/>
        <v>1.0000101360942273</v>
      </c>
      <c r="AB56" s="17">
        <f t="shared" si="72"/>
        <v>4.5444989625954774E-3</v>
      </c>
      <c r="AC56" s="66" t="str">
        <f t="shared" si="73"/>
        <v>57.5661771917571-169.378263910034i</v>
      </c>
      <c r="AD56" s="64">
        <f t="shared" si="74"/>
        <v>45.051888057904804</v>
      </c>
      <c r="AE56" s="61">
        <f t="shared" si="75"/>
        <v>-71.228769024325345</v>
      </c>
      <c r="AF56" s="31" t="str">
        <f t="shared" si="60"/>
        <v>-0.000106860158311346</v>
      </c>
      <c r="AG56" s="31" t="str">
        <f t="shared" si="61"/>
        <v>6.96340802903684E-07i</v>
      </c>
      <c r="AH56" s="31">
        <f t="shared" si="76"/>
        <v>6.9634080290368399E-7</v>
      </c>
      <c r="AI56" s="31">
        <f t="shared" si="77"/>
        <v>1.5707963267948966</v>
      </c>
      <c r="AJ56" s="31" t="str">
        <f t="shared" si="62"/>
        <v>1+0.0109930003629254i</v>
      </c>
      <c r="AK56" s="31">
        <f t="shared" si="78"/>
        <v>1.0000604212031288</v>
      </c>
      <c r="AL56" s="31">
        <f t="shared" si="79"/>
        <v>1.0992557574781068E-2</v>
      </c>
      <c r="AM56" s="31" t="str">
        <f t="shared" si="63"/>
        <v>1+0.0705384189954381i</v>
      </c>
      <c r="AN56" s="31">
        <f t="shared" si="80"/>
        <v>1.0024847472926339</v>
      </c>
      <c r="AO56" s="31">
        <f t="shared" si="81"/>
        <v>7.0421775095660707E-2</v>
      </c>
      <c r="AP56" s="58" t="str">
        <f t="shared" si="82"/>
        <v>-9.13671004303758+153.560007163156i</v>
      </c>
      <c r="AQ56" s="49">
        <f t="shared" si="83"/>
        <v>43.740910062487828</v>
      </c>
      <c r="AR56" s="61">
        <f t="shared" si="84"/>
        <v>93.405043343711313</v>
      </c>
      <c r="AS56" s="58" t="str">
        <f t="shared" si="85"/>
        <v>25483.7619500205+10387.4226668608i</v>
      </c>
      <c r="AT56" s="64">
        <f t="shared" si="86"/>
        <v>88.792798120392604</v>
      </c>
      <c r="AU56" s="61">
        <f t="shared" si="87"/>
        <v>22.176274319385996</v>
      </c>
    </row>
    <row r="57" spans="1:48" x14ac:dyDescent="0.35">
      <c r="N57" s="10">
        <v>39</v>
      </c>
      <c r="O57" s="50">
        <f t="shared" si="64"/>
        <v>24.547089156850316</v>
      </c>
      <c r="P57" s="48" t="str">
        <f t="shared" si="55"/>
        <v>547.187404092767</v>
      </c>
      <c r="Q57" s="17" t="str">
        <f t="shared" si="56"/>
        <v>1+2.95794898815117i</v>
      </c>
      <c r="R57" s="17">
        <f t="shared" si="65"/>
        <v>3.122412883733432</v>
      </c>
      <c r="S57" s="17">
        <f t="shared" si="66"/>
        <v>1.244786970558607</v>
      </c>
      <c r="T57" s="17" t="str">
        <f t="shared" si="57"/>
        <v>1+0.0000559701255573959i</v>
      </c>
      <c r="U57" s="17">
        <f t="shared" si="67"/>
        <v>1.0000000015663275</v>
      </c>
      <c r="V57" s="17">
        <f t="shared" si="68"/>
        <v>5.5970125498950873E-5</v>
      </c>
      <c r="W57" s="31" t="str">
        <f t="shared" si="58"/>
        <v>1-0.000971935107198819i</v>
      </c>
      <c r="X57" s="17">
        <f t="shared" si="69"/>
        <v>1.0000004723288147</v>
      </c>
      <c r="Y57" s="17">
        <f t="shared" si="70"/>
        <v>-9.71934801150282E-4</v>
      </c>
      <c r="Z57" s="31" t="str">
        <f t="shared" si="59"/>
        <v>0.999999800806748+0.00465038507124794i</v>
      </c>
      <c r="AA57" s="17">
        <f t="shared" si="71"/>
        <v>1.0000106137910969</v>
      </c>
      <c r="AB57" s="17">
        <f t="shared" si="72"/>
        <v>4.6503524747865035E-3</v>
      </c>
      <c r="AC57" s="66" t="str">
        <f t="shared" si="73"/>
        <v>55.1993667574203-166.322683066279i</v>
      </c>
      <c r="AD57" s="64">
        <f t="shared" si="74"/>
        <v>44.87282715399067</v>
      </c>
      <c r="AE57" s="61">
        <f t="shared" si="75"/>
        <v>-71.639966286034962</v>
      </c>
      <c r="AF57" s="31" t="str">
        <f t="shared" si="60"/>
        <v>-0.000106860158311346</v>
      </c>
      <c r="AG57" s="31" t="str">
        <f t="shared" si="61"/>
        <v>7.12560663850493E-07i</v>
      </c>
      <c r="AH57" s="31">
        <f t="shared" si="76"/>
        <v>7.1256066385049296E-7</v>
      </c>
      <c r="AI57" s="31">
        <f t="shared" si="77"/>
        <v>1.5707963267948966</v>
      </c>
      <c r="AJ57" s="31" t="str">
        <f t="shared" si="62"/>
        <v>1+0.0112490602355214i</v>
      </c>
      <c r="AK57" s="31">
        <f t="shared" si="78"/>
        <v>1.0000632686766284</v>
      </c>
      <c r="AL57" s="31">
        <f t="shared" si="79"/>
        <v>1.1248585781097749E-2</v>
      </c>
      <c r="AM57" s="31" t="str">
        <f t="shared" si="63"/>
        <v>1+0.0721814698445952i</v>
      </c>
      <c r="AN57" s="31">
        <f t="shared" si="80"/>
        <v>1.0026016978785375</v>
      </c>
      <c r="AO57" s="31">
        <f t="shared" si="81"/>
        <v>7.2056501164307826E-2</v>
      </c>
      <c r="AP57" s="58" t="str">
        <f t="shared" si="82"/>
        <v>-9.13665801332403+150.069179899868i</v>
      </c>
      <c r="AQ57" s="49">
        <f t="shared" si="83"/>
        <v>43.541898574157685</v>
      </c>
      <c r="AR57" s="61">
        <f t="shared" si="84"/>
        <v>93.48403691244657</v>
      </c>
      <c r="AS57" s="58" t="str">
        <f t="shared" si="85"/>
        <v>24455.5709098876+9803.35717531316i</v>
      </c>
      <c r="AT57" s="64">
        <f t="shared" si="86"/>
        <v>88.414725728148369</v>
      </c>
      <c r="AU57" s="61">
        <f t="shared" si="87"/>
        <v>21.844070626411568</v>
      </c>
    </row>
    <row r="58" spans="1:48" x14ac:dyDescent="0.35">
      <c r="N58" s="10">
        <v>40</v>
      </c>
      <c r="O58" s="50">
        <f t="shared" si="64"/>
        <v>25.118864315095799</v>
      </c>
      <c r="P58" s="48" t="str">
        <f t="shared" si="55"/>
        <v>547.187404092767</v>
      </c>
      <c r="Q58" s="17" t="str">
        <f t="shared" si="56"/>
        <v>1+3.02684847109905i</v>
      </c>
      <c r="R58" s="17">
        <f t="shared" si="65"/>
        <v>3.1877596626776397</v>
      </c>
      <c r="S58" s="17">
        <f t="shared" si="66"/>
        <v>1.2517091607878512</v>
      </c>
      <c r="T58" s="17" t="str">
        <f t="shared" si="57"/>
        <v>1+0.0000572738372599574i</v>
      </c>
      <c r="U58" s="17">
        <f t="shared" si="67"/>
        <v>1.0000000016401462</v>
      </c>
      <c r="V58" s="17">
        <f t="shared" si="68"/>
        <v>5.727383719733242E-5</v>
      </c>
      <c r="W58" s="31" t="str">
        <f t="shared" si="58"/>
        <v>1-0.000994574384148199i</v>
      </c>
      <c r="X58" s="17">
        <f t="shared" si="69"/>
        <v>1.0000004945889804</v>
      </c>
      <c r="Y58" s="17">
        <f t="shared" si="70"/>
        <v>-9.9457405621129194E-4</v>
      </c>
      <c r="Z58" s="31" t="str">
        <f t="shared" si="59"/>
        <v>0.99999979141906+0.00475870645481508i</v>
      </c>
      <c r="AA58" s="17">
        <f t="shared" si="71"/>
        <v>1.0000111140008827</v>
      </c>
      <c r="AB58" s="17">
        <f t="shared" si="72"/>
        <v>4.7586715270983284E-3</v>
      </c>
      <c r="AC58" s="66" t="str">
        <f t="shared" si="73"/>
        <v>52.9176208275481-163.290333743659i</v>
      </c>
      <c r="AD58" s="64">
        <f t="shared" si="74"/>
        <v>44.692918191691014</v>
      </c>
      <c r="AE58" s="61">
        <f t="shared" si="75"/>
        <v>-72.044007232284059</v>
      </c>
      <c r="AF58" s="31" t="str">
        <f t="shared" si="60"/>
        <v>-0.000106860158311346</v>
      </c>
      <c r="AG58" s="31" t="str">
        <f t="shared" si="61"/>
        <v>7.29158333893132E-07i</v>
      </c>
      <c r="AH58" s="31">
        <f t="shared" si="76"/>
        <v>7.2915833389313196E-7</v>
      </c>
      <c r="AI58" s="31">
        <f t="shared" si="77"/>
        <v>1.5707963267948966</v>
      </c>
      <c r="AJ58" s="31" t="str">
        <f t="shared" si="62"/>
        <v>1+0.0115110845087531i</v>
      </c>
      <c r="AK58" s="31">
        <f t="shared" si="78"/>
        <v>1.0000662503387301</v>
      </c>
      <c r="AL58" s="31">
        <f t="shared" si="79"/>
        <v>1.1510576123497629E-2</v>
      </c>
      <c r="AM58" s="31" t="str">
        <f t="shared" si="63"/>
        <v>1+0.0738627922644992i</v>
      </c>
      <c r="AN58" s="31">
        <f t="shared" si="80"/>
        <v>1.0027241455560489</v>
      </c>
      <c r="AO58" s="31">
        <f t="shared" si="81"/>
        <v>7.3728905551042612E-2</v>
      </c>
      <c r="AP58" s="58" t="str">
        <f t="shared" si="82"/>
        <v>-9.13660353216083+146.65792124699i</v>
      </c>
      <c r="AQ58" s="49">
        <f t="shared" si="83"/>
        <v>43.342933419787606</v>
      </c>
      <c r="AR58" s="61">
        <f t="shared" si="84"/>
        <v>93.564847684552944</v>
      </c>
      <c r="AS58" s="58" t="str">
        <f t="shared" si="85"/>
        <v>23464.3335852057+9252.70730795466i</v>
      </c>
      <c r="AT58" s="64">
        <f t="shared" si="86"/>
        <v>88.03585161147862</v>
      </c>
      <c r="AU58" s="61">
        <f t="shared" si="87"/>
        <v>21.520840452268928</v>
      </c>
    </row>
    <row r="59" spans="1:48" x14ac:dyDescent="0.35">
      <c r="N59" s="10">
        <v>41</v>
      </c>
      <c r="O59" s="50">
        <f t="shared" si="64"/>
        <v>25.703957827688647</v>
      </c>
      <c r="P59" s="48" t="str">
        <f t="shared" si="55"/>
        <v>547.187404092767</v>
      </c>
      <c r="Q59" s="17" t="str">
        <f t="shared" si="56"/>
        <v>1+3.09735282917137i</v>
      </c>
      <c r="R59" s="17">
        <f t="shared" si="65"/>
        <v>3.2547802611506493</v>
      </c>
      <c r="S59" s="17">
        <f t="shared" si="66"/>
        <v>1.2585045143941016</v>
      </c>
      <c r="T59" s="17" t="str">
        <f t="shared" si="57"/>
        <v>1+0.0000586079163091426i</v>
      </c>
      <c r="U59" s="17">
        <f t="shared" si="67"/>
        <v>1.000000001717444</v>
      </c>
      <c r="V59" s="17">
        <f t="shared" si="68"/>
        <v>5.8607916242038725E-5</v>
      </c>
      <c r="W59" s="31" t="str">
        <f t="shared" si="58"/>
        <v>1-0.0010177409976008i</v>
      </c>
      <c r="X59" s="17">
        <f t="shared" si="69"/>
        <v>1.000000517898235</v>
      </c>
      <c r="Y59" s="17">
        <f t="shared" si="70"/>
        <v>-1.0177406462100831E-3</v>
      </c>
      <c r="Z59" s="31" t="str">
        <f t="shared" si="59"/>
        <v>0.999999781588943+0.00486955096753345i</v>
      </c>
      <c r="AA59" s="17">
        <f t="shared" si="71"/>
        <v>1.0000116377845605</v>
      </c>
      <c r="AB59" s="17">
        <f t="shared" si="72"/>
        <v>4.869513541834185E-3</v>
      </c>
      <c r="AC59" s="66" t="str">
        <f t="shared" si="73"/>
        <v>50.718725375563-160.283095838829i</v>
      </c>
      <c r="AD59" s="64">
        <f t="shared" si="74"/>
        <v>44.512191791839442</v>
      </c>
      <c r="AE59" s="61">
        <f t="shared" si="75"/>
        <v>-72.440954004592172</v>
      </c>
      <c r="AF59" s="31" t="str">
        <f t="shared" si="60"/>
        <v>-0.000106860158311346</v>
      </c>
      <c r="AG59" s="31" t="str">
        <f t="shared" si="61"/>
        <v>7.46142613335952E-07i</v>
      </c>
      <c r="AH59" s="31">
        <f t="shared" si="76"/>
        <v>7.4614261333595205E-7</v>
      </c>
      <c r="AI59" s="31">
        <f t="shared" si="77"/>
        <v>1.5707963267948966</v>
      </c>
      <c r="AJ59" s="31" t="str">
        <f t="shared" si="62"/>
        <v>1+0.0117792121113586i</v>
      </c>
      <c r="AK59" s="31">
        <f t="shared" si="78"/>
        <v>1.0000693725127094</v>
      </c>
      <c r="AL59" s="31">
        <f t="shared" si="79"/>
        <v>1.1778667368783715E-2</v>
      </c>
      <c r="AM59" s="31" t="str">
        <f t="shared" si="63"/>
        <v>1+0.0755832777145509i</v>
      </c>
      <c r="AN59" s="31">
        <f t="shared" si="80"/>
        <v>1.002852347990508</v>
      </c>
      <c r="AO59" s="31">
        <f t="shared" si="81"/>
        <v>7.543983754496196E-2</v>
      </c>
      <c r="AP59" s="58" t="str">
        <f t="shared" si="82"/>
        <v>-9.13654648407581+143.324422506085i</v>
      </c>
      <c r="AQ59" s="49">
        <f t="shared" si="83"/>
        <v>43.144016758741131</v>
      </c>
      <c r="AR59" s="61">
        <f t="shared" si="84"/>
        <v>93.647516369959106</v>
      </c>
      <c r="AS59" s="58" t="str">
        <f t="shared" si="85"/>
        <v>22509.0881565807+8733.66598044032i</v>
      </c>
      <c r="AT59" s="64">
        <f t="shared" si="86"/>
        <v>87.656208550580573</v>
      </c>
      <c r="AU59" s="61">
        <f t="shared" si="87"/>
        <v>21.206562365366967</v>
      </c>
    </row>
    <row r="60" spans="1:48" x14ac:dyDescent="0.35">
      <c r="N60" s="10">
        <v>42</v>
      </c>
      <c r="O60" s="50">
        <f t="shared" si="64"/>
        <v>26.302679918953825</v>
      </c>
      <c r="P60" s="48" t="str">
        <f t="shared" si="55"/>
        <v>547.187404092767</v>
      </c>
      <c r="Q60" s="17" t="str">
        <f t="shared" si="56"/>
        <v>1+3.16949944471202i</v>
      </c>
      <c r="R60" s="17">
        <f t="shared" si="65"/>
        <v>3.3235112050405071</v>
      </c>
      <c r="S60" s="17">
        <f t="shared" si="66"/>
        <v>1.265174123198455</v>
      </c>
      <c r="T60" s="17" t="str">
        <f t="shared" si="57"/>
        <v>1+0.0000599730700513224i</v>
      </c>
      <c r="U60" s="17">
        <f t="shared" si="67"/>
        <v>1.0000000017983846</v>
      </c>
      <c r="V60" s="17">
        <f t="shared" si="68"/>
        <v>5.9973069979419303E-5</v>
      </c>
      <c r="W60" s="31" t="str">
        <f t="shared" si="58"/>
        <v>1-0.00104144723080172i</v>
      </c>
      <c r="X60" s="17">
        <f t="shared" si="69"/>
        <v>1.0000005423060203</v>
      </c>
      <c r="Y60" s="17">
        <f t="shared" si="70"/>
        <v>-1.0414468542797942E-3</v>
      </c>
      <c r="Z60" s="31" t="str">
        <f t="shared" si="59"/>
        <v>0.999999771295547+0.00498297738063093i</v>
      </c>
      <c r="AA60" s="17">
        <f t="shared" si="71"/>
        <v>1.0000121862531086</v>
      </c>
      <c r="AB60" s="17">
        <f t="shared" si="72"/>
        <v>4.9829372782980467E-3</v>
      </c>
      <c r="AC60" s="66" t="str">
        <f t="shared" si="73"/>
        <v>48.6004549172108-157.30270813366i</v>
      </c>
      <c r="AD60" s="64">
        <f t="shared" si="74"/>
        <v>44.330677764827456</v>
      </c>
      <c r="AE60" s="61">
        <f t="shared" si="75"/>
        <v>-72.830873189603878</v>
      </c>
      <c r="AF60" s="31" t="str">
        <f t="shared" si="60"/>
        <v>-0.000106860158311346</v>
      </c>
      <c r="AG60" s="31" t="str">
        <f t="shared" si="61"/>
        <v>7.63522507468728E-07i</v>
      </c>
      <c r="AH60" s="31">
        <f t="shared" si="76"/>
        <v>7.6352250746872801E-7</v>
      </c>
      <c r="AI60" s="31">
        <f t="shared" si="77"/>
        <v>1.5707963267948966</v>
      </c>
      <c r="AJ60" s="31" t="str">
        <f t="shared" si="62"/>
        <v>1+0.0120535852081418i</v>
      </c>
      <c r="AK60" s="31">
        <f t="shared" si="78"/>
        <v>1.0000726418197681</v>
      </c>
      <c r="AL60" s="31">
        <f t="shared" si="79"/>
        <v>1.2053001508246276E-2</v>
      </c>
      <c r="AM60" s="31" t="str">
        <f t="shared" si="63"/>
        <v>1+0.0773438384189099i</v>
      </c>
      <c r="AN60" s="31">
        <f t="shared" si="80"/>
        <v>1.0029865748559998</v>
      </c>
      <c r="AO60" s="31">
        <f t="shared" si="81"/>
        <v>7.719016421529537E-2</v>
      </c>
      <c r="AP60" s="58" t="str">
        <f t="shared" si="82"/>
        <v>-9.13648674816095+140.066916207769i</v>
      </c>
      <c r="AQ60" s="49">
        <f t="shared" si="83"/>
        <v>42.945150849826192</v>
      </c>
      <c r="AR60" s="61">
        <f t="shared" si="84"/>
        <v>93.732084512570836</v>
      </c>
      <c r="AS60" s="58" t="str">
        <f t="shared" si="85"/>
        <v>21588.8678271068+8244.50995486143i</v>
      </c>
      <c r="AT60" s="64">
        <f t="shared" si="86"/>
        <v>87.275828614653648</v>
      </c>
      <c r="AU60" s="61">
        <f t="shared" si="87"/>
        <v>20.901211322966965</v>
      </c>
    </row>
    <row r="61" spans="1:48" ht="15.5" x14ac:dyDescent="0.35">
      <c r="A61" s="51" t="s">
        <v>215</v>
      </c>
      <c r="N61" s="10">
        <v>43</v>
      </c>
      <c r="O61" s="50">
        <f t="shared" si="64"/>
        <v>26.915348039269158</v>
      </c>
      <c r="P61" s="48" t="str">
        <f t="shared" si="55"/>
        <v>547.187404092767</v>
      </c>
      <c r="Q61" s="17" t="str">
        <f t="shared" si="56"/>
        <v>1+3.24332657081156i</v>
      </c>
      <c r="R61" s="17">
        <f t="shared" si="65"/>
        <v>3.3939898710709602</v>
      </c>
      <c r="S61" s="17">
        <f t="shared" si="66"/>
        <v>1.2717191491704374</v>
      </c>
      <c r="T61" s="17" t="str">
        <f t="shared" si="57"/>
        <v>1+0.0000613700223090811i</v>
      </c>
      <c r="U61" s="17">
        <f t="shared" si="67"/>
        <v>1.0000000018831399</v>
      </c>
      <c r="V61" s="17">
        <f t="shared" si="68"/>
        <v>6.1370022232035539E-5</v>
      </c>
      <c r="W61" s="31" t="str">
        <f t="shared" si="58"/>
        <v>1-0.0010657056531096i</v>
      </c>
      <c r="X61" s="17">
        <f t="shared" si="69"/>
        <v>1.0000005678641082</v>
      </c>
      <c r="Y61" s="17">
        <f t="shared" si="70"/>
        <v>-1.0657052496590999E-3</v>
      </c>
      <c r="Z61" s="31" t="str">
        <f t="shared" si="59"/>
        <v>0.999999760517038+0.00509904583429315i</v>
      </c>
      <c r="AA61" s="17">
        <f t="shared" si="71"/>
        <v>1.0000127605698605</v>
      </c>
      <c r="AB61" s="17">
        <f t="shared" si="72"/>
        <v>5.0990028638988926E-3</v>
      </c>
      <c r="AC61" s="66" t="str">
        <f t="shared" si="73"/>
        <v>46.5605794610257-154.350772798118i</v>
      </c>
      <c r="AD61" s="64">
        <f t="shared" si="74"/>
        <v>44.148405107689882</v>
      </c>
      <c r="AE61" s="61">
        <f t="shared" si="75"/>
        <v>-73.213835487008438</v>
      </c>
      <c r="AF61" s="31" t="str">
        <f t="shared" si="60"/>
        <v>-0.000106860158311346</v>
      </c>
      <c r="AG61" s="31" t="str">
        <f t="shared" si="61"/>
        <v>7.81307231341379E-07i</v>
      </c>
      <c r="AH61" s="31">
        <f t="shared" si="76"/>
        <v>7.8130723134137896E-7</v>
      </c>
      <c r="AI61" s="31">
        <f t="shared" si="77"/>
        <v>1.5707963267948966</v>
      </c>
      <c r="AJ61" s="31" t="str">
        <f t="shared" si="62"/>
        <v>1+0.0123343492753505i</v>
      </c>
      <c r="AK61" s="31">
        <f t="shared" si="78"/>
        <v>1.0000760651930662</v>
      </c>
      <c r="AL61" s="31">
        <f t="shared" si="79"/>
        <v>1.2333723832213211E-2</v>
      </c>
      <c r="AM61" s="31" t="str">
        <f t="shared" si="63"/>
        <v>1+0.0791454078501656i</v>
      </c>
      <c r="AN61" s="31">
        <f t="shared" si="80"/>
        <v>1.0031271083884481</v>
      </c>
      <c r="AO61" s="31">
        <f t="shared" si="81"/>
        <v>7.8980770685409304E-2</v>
      </c>
      <c r="AP61" s="58" t="str">
        <f t="shared" si="82"/>
        <v>-9.13642419781639+136.883675174555i</v>
      </c>
      <c r="AQ61" s="49">
        <f t="shared" si="83"/>
        <v>42.746338055760482</v>
      </c>
      <c r="AR61" s="61">
        <f t="shared" si="84"/>
        <v>93.818594501698783</v>
      </c>
      <c r="AS61" s="58" t="str">
        <f t="shared" si="85"/>
        <v>20702.7038417871+7783.59737042648i</v>
      </c>
      <c r="AT61" s="64">
        <f t="shared" si="86"/>
        <v>86.894743163450386</v>
      </c>
      <c r="AU61" s="61">
        <f t="shared" si="87"/>
        <v>20.604759014690295</v>
      </c>
    </row>
    <row r="62" spans="1:48" x14ac:dyDescent="0.35">
      <c r="A62" t="s">
        <v>180</v>
      </c>
      <c r="N62" s="10">
        <v>44</v>
      </c>
      <c r="O62" s="50">
        <f t="shared" si="64"/>
        <v>27.542287033381665</v>
      </c>
      <c r="P62" s="48" t="str">
        <f t="shared" si="55"/>
        <v>547.187404092767</v>
      </c>
      <c r="Q62" s="17" t="str">
        <f t="shared" si="56"/>
        <v>1+3.31887335158945i</v>
      </c>
      <c r="R62" s="17">
        <f t="shared" si="65"/>
        <v>3.4662545093934729</v>
      </c>
      <c r="S62" s="17">
        <f t="shared" si="66"/>
        <v>1.2781408187882777</v>
      </c>
      <c r="T62" s="17" t="str">
        <f t="shared" si="57"/>
        <v>1+0.0000627995137649964i</v>
      </c>
      <c r="U62" s="17">
        <f t="shared" si="67"/>
        <v>1.0000000019718893</v>
      </c>
      <c r="V62" s="17">
        <f t="shared" si="68"/>
        <v>6.2799513682440598E-5</v>
      </c>
      <c r="W62" s="31" t="str">
        <f t="shared" si="58"/>
        <v>1-0.00109052912666104i</v>
      </c>
      <c r="X62" s="17">
        <f t="shared" si="69"/>
        <v>1.0000005946267112</v>
      </c>
      <c r="Y62" s="17">
        <f t="shared" si="70"/>
        <v>-1.0905286943560545E-3</v>
      </c>
      <c r="Z62" s="31" t="str">
        <f t="shared" si="59"/>
        <v>0.999999749230554+0.00521781786955057i</v>
      </c>
      <c r="AA62" s="17">
        <f t="shared" si="71"/>
        <v>1.0000133619529745</v>
      </c>
      <c r="AB62" s="17">
        <f t="shared" si="72"/>
        <v>5.2177718259767926E-3</v>
      </c>
      <c r="AC62" s="66" t="str">
        <f t="shared" si="73"/>
        <v>44.5968709161806-151.428760089838i</v>
      </c>
      <c r="AD62" s="64">
        <f t="shared" si="74"/>
        <v>43.965402003624888</v>
      </c>
      <c r="AE62" s="61">
        <f t="shared" si="75"/>
        <v>-73.589915388589489</v>
      </c>
      <c r="AF62" s="31" t="str">
        <f t="shared" si="60"/>
        <v>-0.000106860158311346</v>
      </c>
      <c r="AG62" s="31" t="str">
        <f t="shared" si="61"/>
        <v>7.99506214649911E-07i</v>
      </c>
      <c r="AH62" s="31">
        <f t="shared" si="76"/>
        <v>7.9950621464991104E-7</v>
      </c>
      <c r="AI62" s="31">
        <f t="shared" si="77"/>
        <v>1.5707963267948966</v>
      </c>
      <c r="AJ62" s="31" t="str">
        <f t="shared" si="62"/>
        <v>1+0.0126216531778094i</v>
      </c>
      <c r="AK62" s="31">
        <f t="shared" si="78"/>
        <v>1.0000796498924178</v>
      </c>
      <c r="AL62" s="31">
        <f t="shared" si="79"/>
        <v>1.262098300629616E-2</v>
      </c>
      <c r="AM62" s="31" t="str">
        <f t="shared" si="63"/>
        <v>1+0.0809889412242768i</v>
      </c>
      <c r="AN62" s="31">
        <f t="shared" si="80"/>
        <v>1.0032742439635483</v>
      </c>
      <c r="AO62" s="31">
        <f t="shared" si="81"/>
        <v>8.0812560403541525E-2</v>
      </c>
      <c r="AP62" s="58" t="str">
        <f t="shared" si="82"/>
        <v>-9.13635870048286+133.773011605059i</v>
      </c>
      <c r="AQ62" s="49">
        <f t="shared" si="83"/>
        <v>42.547580847826538</v>
      </c>
      <c r="AR62" s="61">
        <f t="shared" si="84"/>
        <v>93.907089583201852</v>
      </c>
      <c r="AS62" s="58" t="str">
        <f t="shared" si="85"/>
        <v>19849.6282712282+7349.36520036967i</v>
      </c>
      <c r="AT62" s="64">
        <f t="shared" si="86"/>
        <v>86.512982851451426</v>
      </c>
      <c r="AU62" s="61">
        <f t="shared" si="87"/>
        <v>20.317174194612399</v>
      </c>
    </row>
    <row r="63" spans="1:48" x14ac:dyDescent="0.35">
      <c r="A63" t="s">
        <v>178</v>
      </c>
      <c r="B63" s="3">
        <f>RFBT</f>
        <v>28700</v>
      </c>
      <c r="C63" s="2" t="s">
        <v>35</v>
      </c>
      <c r="E63" t="s">
        <v>181</v>
      </c>
      <c r="N63" s="10">
        <v>45</v>
      </c>
      <c r="O63" s="50">
        <f t="shared" si="64"/>
        <v>28.183829312644548</v>
      </c>
      <c r="P63" s="48" t="str">
        <f t="shared" si="55"/>
        <v>547.187404092767</v>
      </c>
      <c r="Q63" s="17" t="str">
        <f t="shared" si="56"/>
        <v>1+3.39617984294882i</v>
      </c>
      <c r="R63" s="17">
        <f t="shared" si="65"/>
        <v>3.5403442665441269</v>
      </c>
      <c r="S63" s="17">
        <f t="shared" si="66"/>
        <v>1.284440417599926</v>
      </c>
      <c r="T63" s="17" t="str">
        <f t="shared" si="57"/>
        <v>1+0.0000642623023543596i</v>
      </c>
      <c r="U63" s="17">
        <f t="shared" si="67"/>
        <v>1.0000000020648216</v>
      </c>
      <c r="V63" s="17">
        <f t="shared" si="68"/>
        <v>6.426230226589946E-5</v>
      </c>
      <c r="W63" s="31" t="str">
        <f t="shared" si="58"/>
        <v>1-0.00111593081319029i</v>
      </c>
      <c r="X63" s="17">
        <f t="shared" si="69"/>
        <v>1.000000622650596</v>
      </c>
      <c r="Y63" s="17">
        <f t="shared" si="70"/>
        <v>-1.1159303499671679E-3</v>
      </c>
      <c r="Z63" s="31" t="str">
        <f t="shared" si="59"/>
        <v>0.999999737412154+0.00533935646090839i</v>
      </c>
      <c r="AA63" s="17">
        <f t="shared" si="71"/>
        <v>1.0000139916780133</v>
      </c>
      <c r="AB63" s="17">
        <f t="shared" si="72"/>
        <v>5.3393071243674848E-3</v>
      </c>
      <c r="AC63" s="66" t="str">
        <f t="shared" si="73"/>
        <v>42.7071089721654-148.538013205859i</v>
      </c>
      <c r="AD63" s="64">
        <f t="shared" si="74"/>
        <v>43.781695823754305</v>
      </c>
      <c r="AE63" s="61">
        <f t="shared" si="75"/>
        <v>-73.959190868829182</v>
      </c>
      <c r="AF63" s="31" t="str">
        <f t="shared" si="60"/>
        <v>-0.000106860158311346</v>
      </c>
      <c r="AG63" s="31" t="str">
        <f t="shared" si="61"/>
        <v>8.18129106736167E-07i</v>
      </c>
      <c r="AH63" s="31">
        <f t="shared" si="76"/>
        <v>8.18129106736167E-7</v>
      </c>
      <c r="AI63" s="31">
        <f t="shared" si="77"/>
        <v>1.5707963267948966</v>
      </c>
      <c r="AJ63" s="31" t="str">
        <f t="shared" si="62"/>
        <v>1+0.0129156492478505i</v>
      </c>
      <c r="AK63" s="31">
        <f t="shared" si="78"/>
        <v>1.0000834035196733</v>
      </c>
      <c r="AL63" s="31">
        <f t="shared" si="79"/>
        <v>1.2914931149370647E-2</v>
      </c>
      <c r="AM63" s="31" t="str">
        <f t="shared" si="63"/>
        <v>1+0.0828754160070404i</v>
      </c>
      <c r="AN63" s="31">
        <f t="shared" si="80"/>
        <v>1.003428290700606</v>
      </c>
      <c r="AO63" s="31">
        <f t="shared" si="81"/>
        <v>8.268645540954063E-2</v>
      </c>
      <c r="AP63" s="58" t="str">
        <f t="shared" si="82"/>
        <v>-9.13629011736158+130.733276179083i</v>
      </c>
      <c r="AQ63" s="49">
        <f t="shared" si="83"/>
        <v>42.348881810723206</v>
      </c>
      <c r="AR63" s="61">
        <f t="shared" si="84"/>
        <v>93.997613870302374</v>
      </c>
      <c r="AS63" s="58" t="str">
        <f t="shared" si="85"/>
        <v>19028.6765658904+6940.32665417351i</v>
      </c>
      <c r="AT63" s="64">
        <f t="shared" si="86"/>
        <v>86.130577634477532</v>
      </c>
      <c r="AU63" s="61">
        <f t="shared" si="87"/>
        <v>20.03842300147317</v>
      </c>
    </row>
    <row r="64" spans="1:48" x14ac:dyDescent="0.35">
      <c r="A64" t="s">
        <v>179</v>
      </c>
      <c r="B64" s="3">
        <f>RFBB</f>
        <v>1620</v>
      </c>
      <c r="C64" s="2" t="s">
        <v>35</v>
      </c>
      <c r="E64" t="s">
        <v>182</v>
      </c>
      <c r="N64" s="10">
        <v>46</v>
      </c>
      <c r="O64" s="50">
        <f t="shared" si="64"/>
        <v>28.840315031266066</v>
      </c>
      <c r="P64" s="48" t="str">
        <f t="shared" si="55"/>
        <v>547.187404092767</v>
      </c>
      <c r="Q64" s="17" t="str">
        <f t="shared" si="56"/>
        <v>1+3.47528703381468i</v>
      </c>
      <c r="R64" s="17">
        <f t="shared" si="65"/>
        <v>3.6162992087769008</v>
      </c>
      <c r="S64" s="17">
        <f t="shared" si="66"/>
        <v>1.2906192849903217</v>
      </c>
      <c r="T64" s="17" t="str">
        <f t="shared" si="57"/>
        <v>1+0.0000657591636670432i</v>
      </c>
      <c r="U64" s="17">
        <f t="shared" si="67"/>
        <v>1.0000000021621338</v>
      </c>
      <c r="V64" s="17">
        <f t="shared" si="68"/>
        <v>6.5759163572256453E-5</v>
      </c>
      <c r="W64" s="31" t="str">
        <f t="shared" si="58"/>
        <v>1-0.00114192418100779i</v>
      </c>
      <c r="X64" s="17">
        <f t="shared" si="69"/>
        <v>1.0000006519952049</v>
      </c>
      <c r="Y64" s="17">
        <f t="shared" si="70"/>
        <v>-1.1419236846552895E-3</v>
      </c>
      <c r="Z64" s="31" t="str">
        <f t="shared" si="59"/>
        <v>0.99999972503677+0.00546372604973652i</v>
      </c>
      <c r="AA64" s="17">
        <f t="shared" si="71"/>
        <v>1.000014651080654</v>
      </c>
      <c r="AB64" s="17">
        <f t="shared" si="72"/>
        <v>5.4636731847223143E-3</v>
      </c>
      <c r="AC64" s="66" t="str">
        <f t="shared" si="73"/>
        <v>40.8890864671328-145.679753245553i</v>
      </c>
      <c r="AD64" s="64">
        <f t="shared" si="74"/>
        <v>43.597313130934161</v>
      </c>
      <c r="AE64" s="61">
        <f t="shared" si="75"/>
        <v>-74.321743087380639</v>
      </c>
      <c r="AF64" s="31" t="str">
        <f t="shared" si="60"/>
        <v>-0.000106860158311346</v>
      </c>
      <c r="AG64" s="31" t="str">
        <f t="shared" si="61"/>
        <v>8.37185781704033E-07i</v>
      </c>
      <c r="AH64" s="31">
        <f t="shared" si="76"/>
        <v>8.3718578170403302E-7</v>
      </c>
      <c r="AI64" s="31">
        <f t="shared" si="77"/>
        <v>1.5707963267948966</v>
      </c>
      <c r="AJ64" s="31" t="str">
        <f t="shared" si="62"/>
        <v>1+0.0132164933660816i</v>
      </c>
      <c r="AK64" s="31">
        <f t="shared" si="78"/>
        <v>1.0000873340348311</v>
      </c>
      <c r="AL64" s="31">
        <f t="shared" si="79"/>
        <v>1.3215723913326396E-2</v>
      </c>
      <c r="AM64" s="31" t="str">
        <f t="shared" si="63"/>
        <v>1+0.0848058324323566i</v>
      </c>
      <c r="AN64" s="31">
        <f t="shared" si="80"/>
        <v>1.0035895720933656</v>
      </c>
      <c r="AO64" s="31">
        <f t="shared" si="81"/>
        <v>8.4603396596829153E-2</v>
      </c>
      <c r="AP64" s="58" t="str">
        <f t="shared" si="82"/>
        <v>-9.13621830312095+127.762857183096i</v>
      </c>
      <c r="AQ64" s="49">
        <f t="shared" si="83"/>
        <v>42.150243647620712</v>
      </c>
      <c r="AR64" s="61">
        <f t="shared" si="84"/>
        <v>94.090212354026079</v>
      </c>
      <c r="AS64" s="58" t="str">
        <f t="shared" si="85"/>
        <v>18238.8898882013+6555.06854264372i</v>
      </c>
      <c r="AT64" s="64">
        <f t="shared" si="86"/>
        <v>85.747556778554852</v>
      </c>
      <c r="AU64" s="61">
        <f t="shared" si="87"/>
        <v>19.768469266645493</v>
      </c>
    </row>
    <row r="65" spans="1:47" x14ac:dyDescent="0.35">
      <c r="A65" t="s">
        <v>168</v>
      </c>
      <c r="B65" s="3">
        <f>RCOMP</f>
        <v>120000</v>
      </c>
      <c r="C65" s="2" t="s">
        <v>35</v>
      </c>
      <c r="E65" s="31" t="s">
        <v>175</v>
      </c>
      <c r="N65" s="10">
        <v>47</v>
      </c>
      <c r="O65" s="50">
        <f t="shared" si="64"/>
        <v>29.512092266663863</v>
      </c>
      <c r="P65" s="48" t="str">
        <f t="shared" si="55"/>
        <v>547.187404092767</v>
      </c>
      <c r="Q65" s="17" t="str">
        <f t="shared" si="56"/>
        <v>1+3.55623686786673i</v>
      </c>
      <c r="R65" s="17">
        <f t="shared" si="65"/>
        <v>3.6941603457855718</v>
      </c>
      <c r="S65" s="17">
        <f t="shared" si="66"/>
        <v>1.2966788091587798</v>
      </c>
      <c r="T65" s="17" t="str">
        <f t="shared" si="57"/>
        <v>1+0.0000672908913587284i</v>
      </c>
      <c r="U65" s="17">
        <f t="shared" si="67"/>
        <v>1.0000000022640321</v>
      </c>
      <c r="V65" s="17">
        <f t="shared" si="68"/>
        <v>6.7290891257162583E-5</v>
      </c>
      <c r="W65" s="31" t="str">
        <f t="shared" si="58"/>
        <v>1-0.00116852301214121i</v>
      </c>
      <c r="X65" s="17">
        <f t="shared" si="69"/>
        <v>1.0000006827227819</v>
      </c>
      <c r="Y65" s="17">
        <f t="shared" si="70"/>
        <v>-1.1685224802899432E-3</v>
      </c>
      <c r="Z65" s="31" t="str">
        <f t="shared" si="59"/>
        <v>0.999999712078152+0.00559099257843718i</v>
      </c>
      <c r="AA65" s="17">
        <f t="shared" si="71"/>
        <v>1.0000153415595177</v>
      </c>
      <c r="AB65" s="17">
        <f t="shared" si="72"/>
        <v>5.5909359326008178E-3</v>
      </c>
      <c r="AC65" s="66" t="str">
        <f t="shared" si="73"/>
        <v>39.1406142636766-142.855084247307i</v>
      </c>
      <c r="AD65" s="64">
        <f t="shared" si="74"/>
        <v>43.41227968543167</v>
      </c>
      <c r="AE65" s="61">
        <f t="shared" si="75"/>
        <v>-74.677656103631691</v>
      </c>
      <c r="AF65" s="31" t="str">
        <f t="shared" si="60"/>
        <v>-0.000106860158311346</v>
      </c>
      <c r="AG65" s="31" t="str">
        <f t="shared" si="61"/>
        <v>8.56686343654822E-07i</v>
      </c>
      <c r="AH65" s="31">
        <f t="shared" si="76"/>
        <v>8.5668634365482201E-7</v>
      </c>
      <c r="AI65" s="31">
        <f t="shared" si="77"/>
        <v>1.5707963267948966</v>
      </c>
      <c r="AJ65" s="31" t="str">
        <f t="shared" si="62"/>
        <v>1+0.0135243450440363i</v>
      </c>
      <c r="AK65" s="31">
        <f t="shared" si="78"/>
        <v>1.0000914497729045</v>
      </c>
      <c r="AL65" s="31">
        <f t="shared" si="79"/>
        <v>1.3523520564626411E-2</v>
      </c>
      <c r="AM65" s="31" t="str">
        <f t="shared" si="63"/>
        <v>1+0.0867812140325664i</v>
      </c>
      <c r="AN65" s="31">
        <f t="shared" si="80"/>
        <v>1.0037584266689701</v>
      </c>
      <c r="AO65" s="31">
        <f t="shared" si="81"/>
        <v>8.6564343968749236E-2</v>
      </c>
      <c r="AP65" s="58" t="str">
        <f t="shared" si="82"/>
        <v>-9.13614310558946+124.86017965566i</v>
      </c>
      <c r="AQ65" s="49">
        <f t="shared" si="83"/>
        <v>41.951669185426951</v>
      </c>
      <c r="AR65" s="61">
        <f t="shared" si="84"/>
        <v>94.184930913216604</v>
      </c>
      <c r="AS65" s="58" t="str">
        <f t="shared" si="85"/>
        <v>17479.3172306896+6192.24862183998i</v>
      </c>
      <c r="AT65" s="64">
        <f t="shared" si="86"/>
        <v>85.363948870858636</v>
      </c>
      <c r="AU65" s="61">
        <f t="shared" si="87"/>
        <v>19.507274809584878</v>
      </c>
    </row>
    <row r="66" spans="1:47" x14ac:dyDescent="0.35">
      <c r="A66" t="s">
        <v>173</v>
      </c>
      <c r="B66" s="3">
        <f>CCOMP</f>
        <v>3.9000000000000002E-9</v>
      </c>
      <c r="C66" s="2" t="s">
        <v>151</v>
      </c>
      <c r="E66" s="31" t="s">
        <v>176</v>
      </c>
      <c r="N66" s="10">
        <v>48</v>
      </c>
      <c r="O66" s="50">
        <f t="shared" si="64"/>
        <v>30.199517204020164</v>
      </c>
      <c r="P66" s="48" t="str">
        <f t="shared" si="55"/>
        <v>547.187404092767</v>
      </c>
      <c r="Q66" s="17" t="str">
        <f t="shared" si="56"/>
        <v>1+3.63907226577848i</v>
      </c>
      <c r="R66" s="17">
        <f t="shared" si="65"/>
        <v>3.7739696548274102</v>
      </c>
      <c r="S66" s="17">
        <f t="shared" si="66"/>
        <v>1.3026204223088795</v>
      </c>
      <c r="T66" s="17" t="str">
        <f t="shared" si="57"/>
        <v>1+0.0000688582975717123i</v>
      </c>
      <c r="U66" s="17">
        <f t="shared" si="67"/>
        <v>1.0000000023707325</v>
      </c>
      <c r="V66" s="17">
        <f t="shared" si="68"/>
        <v>6.885829746288257E-5</v>
      </c>
      <c r="W66" s="31" t="str">
        <f t="shared" si="58"/>
        <v>1-0.0011957414096429i</v>
      </c>
      <c r="X66" s="17">
        <f t="shared" si="69"/>
        <v>1.000000714898504</v>
      </c>
      <c r="Y66" s="17">
        <f t="shared" si="70"/>
        <v>-1.195740839754022E-3</v>
      </c>
      <c r="Z66" s="31" t="str">
        <f t="shared" si="59"/>
        <v>0.999999698508813+0.00572122352540848i</v>
      </c>
      <c r="AA66" s="17">
        <f t="shared" si="71"/>
        <v>1.0000160645791369</v>
      </c>
      <c r="AB66" s="17">
        <f t="shared" si="72"/>
        <v>5.721162828353916E-3</v>
      </c>
      <c r="AC66" s="66" t="str">
        <f t="shared" si="73"/>
        <v>37.4595256523463-140.064998265032i</v>
      </c>
      <c r="AD66" s="64">
        <f t="shared" si="74"/>
        <v>43.226620452294142</v>
      </c>
      <c r="AE66" s="61">
        <f t="shared" si="75"/>
        <v>-75.02701660349976</v>
      </c>
      <c r="AF66" s="31" t="str">
        <f t="shared" si="60"/>
        <v>-0.000106860158311346</v>
      </c>
      <c r="AG66" s="31" t="str">
        <f t="shared" si="61"/>
        <v>8.76641132044601E-07i</v>
      </c>
      <c r="AH66" s="31">
        <f t="shared" si="76"/>
        <v>8.7664113204460097E-7</v>
      </c>
      <c r="AI66" s="31">
        <f t="shared" si="77"/>
        <v>1.5707963267948966</v>
      </c>
      <c r="AJ66" s="31" t="str">
        <f t="shared" si="62"/>
        <v>1+0.0138393675087493i</v>
      </c>
      <c r="AK66" s="31">
        <f t="shared" si="78"/>
        <v>1.0000957594615838</v>
      </c>
      <c r="AL66" s="31">
        <f t="shared" si="79"/>
        <v>1.383848406771339E-2</v>
      </c>
      <c r="AM66" s="31" t="str">
        <f t="shared" si="63"/>
        <v>1+0.0888026081811414i</v>
      </c>
      <c r="AN66" s="31">
        <f t="shared" si="80"/>
        <v>1.0039352086762239</v>
      </c>
      <c r="AO66" s="31">
        <f t="shared" si="81"/>
        <v>8.8570276888381927E-2</v>
      </c>
      <c r="AP66" s="58" t="str">
        <f t="shared" si="82"/>
        <v>-9.13606436543422+122.023704552331i</v>
      </c>
      <c r="AQ66" s="49">
        <f t="shared" si="83"/>
        <v>41.753161380271521</v>
      </c>
      <c r="AR66" s="61">
        <f t="shared" si="84"/>
        <v>94.281816324070363</v>
      </c>
      <c r="AS66" s="58" t="str">
        <f t="shared" si="85"/>
        <v>16749.0173289565+5850.59293036613i</v>
      </c>
      <c r="AT66" s="64">
        <f t="shared" si="86"/>
        <v>84.979781832565635</v>
      </c>
      <c r="AU66" s="61">
        <f t="shared" si="87"/>
        <v>19.254799720570642</v>
      </c>
    </row>
    <row r="67" spans="1:47" x14ac:dyDescent="0.35">
      <c r="A67" t="s">
        <v>174</v>
      </c>
      <c r="B67" s="3">
        <f>CHF</f>
        <v>7.2E-10</v>
      </c>
      <c r="C67" s="2" t="s">
        <v>151</v>
      </c>
      <c r="E67" s="31" t="s">
        <v>177</v>
      </c>
      <c r="N67" s="10">
        <v>49</v>
      </c>
      <c r="O67" s="50">
        <f t="shared" si="64"/>
        <v>30.902954325135919</v>
      </c>
      <c r="P67" s="48" t="str">
        <f t="shared" si="55"/>
        <v>547.187404092767</v>
      </c>
      <c r="Q67" s="17" t="str">
        <f t="shared" si="56"/>
        <v>1+3.72383714797436i</v>
      </c>
      <c r="R67" s="17">
        <f t="shared" si="65"/>
        <v>3.8557701052622182</v>
      </c>
      <c r="S67" s="17">
        <f t="shared" si="66"/>
        <v>1.3084455960518691</v>
      </c>
      <c r="T67" s="17" t="str">
        <f t="shared" si="57"/>
        <v>1+0.000070462213365516i</v>
      </c>
      <c r="U67" s="17">
        <f t="shared" si="67"/>
        <v>1.0000000024824618</v>
      </c>
      <c r="V67" s="17">
        <f t="shared" si="68"/>
        <v>7.0462213248902834E-5</v>
      </c>
      <c r="W67" s="31" t="str">
        <f t="shared" si="58"/>
        <v>1-0.00122359380506748i</v>
      </c>
      <c r="X67" s="17">
        <f t="shared" si="69"/>
        <v>1.0000007485906197</v>
      </c>
      <c r="Y67" s="17">
        <f t="shared" si="70"/>
        <v>-1.2235931944205702E-3</v>
      </c>
      <c r="Z67" s="31" t="str">
        <f t="shared" si="59"/>
        <v>0.999999684299972+0.00585448794082228i</v>
      </c>
      <c r="AA67" s="17">
        <f t="shared" si="71"/>
        <v>1.0000168216730621</v>
      </c>
      <c r="AB67" s="17">
        <f t="shared" si="72"/>
        <v>5.8544229028156206E-3</v>
      </c>
      <c r="AC67" s="66" t="str">
        <f t="shared" si="73"/>
        <v>35.8436803043661-137.31038045386i</v>
      </c>
      <c r="AD67" s="64">
        <f t="shared" si="74"/>
        <v>43.040359610238959</v>
      </c>
      <c r="AE67" s="61">
        <f t="shared" si="75"/>
        <v>-75.369913638514447</v>
      </c>
      <c r="AF67" s="31" t="str">
        <f t="shared" si="60"/>
        <v>-0.000106860158311346</v>
      </c>
      <c r="AG67" s="31" t="str">
        <f t="shared" si="61"/>
        <v>8.97060727166308E-07i</v>
      </c>
      <c r="AH67" s="31">
        <f t="shared" si="76"/>
        <v>8.9706072716630804E-7</v>
      </c>
      <c r="AI67" s="31">
        <f t="shared" si="77"/>
        <v>1.5707963267948966</v>
      </c>
      <c r="AJ67" s="31" t="str">
        <f t="shared" si="62"/>
        <v>1+0.0141617277893011i</v>
      </c>
      <c r="AK67" s="31">
        <f t="shared" si="78"/>
        <v>1.0001002722397281</v>
      </c>
      <c r="AL67" s="31">
        <f t="shared" si="79"/>
        <v>1.4160781170302027E-2</v>
      </c>
      <c r="AM67" s="31" t="str">
        <f t="shared" si="63"/>
        <v>1+0.0908710866480155i</v>
      </c>
      <c r="AN67" s="31">
        <f t="shared" si="80"/>
        <v>1.0041202888043799</v>
      </c>
      <c r="AO67" s="31">
        <f t="shared" si="81"/>
        <v>9.062219432086531E-2</v>
      </c>
      <c r="AP67" s="58" t="str">
        <f t="shared" si="82"/>
        <v>-9.13598191582446+119.25192792961i</v>
      </c>
      <c r="AQ67" s="49">
        <f t="shared" si="83"/>
        <v>41.554723323216194</v>
      </c>
      <c r="AR67" s="61">
        <f t="shared" si="84"/>
        <v>94.380916269133351</v>
      </c>
      <c r="AS67" s="58" t="str">
        <f t="shared" si="85"/>
        <v>16047.0603788138+5528.89313306969i</v>
      </c>
      <c r="AT67" s="64">
        <f t="shared" si="86"/>
        <v>84.59508293345516</v>
      </c>
      <c r="AU67" s="61">
        <f t="shared" si="87"/>
        <v>19.011002630618869</v>
      </c>
    </row>
    <row r="68" spans="1:47" x14ac:dyDescent="0.35">
      <c r="N68" s="10">
        <v>50</v>
      </c>
      <c r="O68" s="50">
        <f t="shared" si="64"/>
        <v>31.622776601683803</v>
      </c>
      <c r="P68" s="48" t="str">
        <f t="shared" si="55"/>
        <v>547.187404092767</v>
      </c>
      <c r="Q68" s="17" t="str">
        <f t="shared" si="56"/>
        <v>1+3.81057645791691i</v>
      </c>
      <c r="R68" s="17">
        <f t="shared" si="65"/>
        <v>3.9396056835209512</v>
      </c>
      <c r="S68" s="17">
        <f t="shared" si="66"/>
        <v>1.3141558370233841</v>
      </c>
      <c r="T68" s="17" t="str">
        <f t="shared" si="57"/>
        <v>1+0.0000721034891575237i</v>
      </c>
      <c r="U68" s="17">
        <f t="shared" si="67"/>
        <v>1.0000000025994564</v>
      </c>
      <c r="V68" s="17">
        <f t="shared" si="68"/>
        <v>7.2103489032570445E-5</v>
      </c>
      <c r="W68" s="31" t="str">
        <f t="shared" si="58"/>
        <v>1-0.0012520949661237i</v>
      </c>
      <c r="X68" s="17">
        <f t="shared" si="69"/>
        <v>1.0000007838705949</v>
      </c>
      <c r="Y68" s="17">
        <f t="shared" si="70"/>
        <v>-1.2520943118037751E-3</v>
      </c>
      <c r="Z68" s="31" t="str">
        <f t="shared" si="59"/>
        <v>0.999999669421488+0.00599085648323561i</v>
      </c>
      <c r="AA68" s="17">
        <f t="shared" si="71"/>
        <v>1.0000176144471096</v>
      </c>
      <c r="AB68" s="17">
        <f t="shared" si="72"/>
        <v>5.9907867938221908E-3</v>
      </c>
      <c r="AC68" s="66" t="str">
        <f t="shared" si="73"/>
        <v>34.2909677958663-134.592014137701i</v>
      </c>
      <c r="AD68" s="64">
        <f t="shared" si="74"/>
        <v>42.853520561906713</v>
      </c>
      <c r="AE68" s="61">
        <f t="shared" si="75"/>
        <v>-75.706438377179637</v>
      </c>
      <c r="AF68" s="31" t="str">
        <f t="shared" si="60"/>
        <v>-0.000106860158311346</v>
      </c>
      <c r="AG68" s="31" t="str">
        <f t="shared" si="61"/>
        <v>9.1795595575956E-07i</v>
      </c>
      <c r="AH68" s="31">
        <f t="shared" si="76"/>
        <v>9.1795595575956E-7</v>
      </c>
      <c r="AI68" s="31">
        <f t="shared" si="77"/>
        <v>1.5707963267948966</v>
      </c>
      <c r="AJ68" s="31" t="str">
        <f t="shared" si="62"/>
        <v>1+0.0144915968053795i</v>
      </c>
      <c r="AK68" s="31">
        <f t="shared" si="78"/>
        <v>1.0001049976767289</v>
      </c>
      <c r="AL68" s="31">
        <f t="shared" si="79"/>
        <v>1.4490582490598612E-2</v>
      </c>
      <c r="AM68" s="31" t="str">
        <f t="shared" si="63"/>
        <v>1+0.0929877461678514i</v>
      </c>
      <c r="AN68" s="31">
        <f t="shared" si="80"/>
        <v>1.0043140549337028</v>
      </c>
      <c r="AO68" s="31">
        <f t="shared" si="81"/>
        <v>9.2721115067159007E-2</v>
      </c>
      <c r="AP68" s="58" t="str">
        <f t="shared" si="82"/>
        <v>-9.13589558207932+116.543380147499i</v>
      </c>
      <c r="AQ68" s="49">
        <f t="shared" si="83"/>
        <v>41.356358246198475</v>
      </c>
      <c r="AR68" s="61">
        <f t="shared" si="84"/>
        <v>94.482279345697634</v>
      </c>
      <c r="AS68" s="58" t="str">
        <f t="shared" si="85"/>
        <v>15372.5295672762+5226.00388280307i</v>
      </c>
      <c r="AT68" s="64">
        <f t="shared" si="86"/>
        <v>84.209878808105202</v>
      </c>
      <c r="AU68" s="61">
        <f t="shared" si="87"/>
        <v>18.775840968517961</v>
      </c>
    </row>
    <row r="69" spans="1:47" x14ac:dyDescent="0.35">
      <c r="A69" t="s">
        <v>218</v>
      </c>
      <c r="B69" s="1">
        <f>-(RFBB*gm_ea)/(RFBB+RFBT)</f>
        <v>-1.0686015831134566E-4</v>
      </c>
      <c r="C69" t="s">
        <v>144</v>
      </c>
      <c r="N69" s="10">
        <v>51</v>
      </c>
      <c r="O69" s="50">
        <f t="shared" si="64"/>
        <v>32.359365692962832</v>
      </c>
      <c r="P69" s="48" t="str">
        <f t="shared" si="55"/>
        <v>547.187404092767</v>
      </c>
      <c r="Q69" s="17" t="str">
        <f t="shared" si="56"/>
        <v>1+3.89933618593639i</v>
      </c>
      <c r="R69" s="17">
        <f t="shared" si="65"/>
        <v>4.0255214185187187</v>
      </c>
      <c r="S69" s="17">
        <f t="shared" si="66"/>
        <v>1.3197526827121999</v>
      </c>
      <c r="T69" s="17" t="str">
        <f t="shared" si="57"/>
        <v>1+0.0000737829951738853i</v>
      </c>
      <c r="U69" s="17">
        <f t="shared" si="67"/>
        <v>1.0000000027219651</v>
      </c>
      <c r="V69" s="17">
        <f t="shared" si="68"/>
        <v>7.378299503999546E-5</v>
      </c>
      <c r="W69" s="31" t="str">
        <f t="shared" si="58"/>
        <v>1-0.00128126000450439i</v>
      </c>
      <c r="X69" s="17">
        <f t="shared" si="69"/>
        <v>1.0000008208132627</v>
      </c>
      <c r="Y69" s="17">
        <f t="shared" si="70"/>
        <v>-1.2812593033879897E-3</v>
      </c>
      <c r="Z69" s="31" t="str">
        <f t="shared" si="59"/>
        <v>0.999999653841802+0.00613040145705472i</v>
      </c>
      <c r="AA69" s="17">
        <f t="shared" si="71"/>
        <v>1.0000184445827731</v>
      </c>
      <c r="AB69" s="17">
        <f t="shared" si="72"/>
        <v>6.1303267835772553E-3</v>
      </c>
      <c r="AC69" s="66" t="str">
        <f t="shared" si="73"/>
        <v>32.7993107264611-131.910585834349i</v>
      </c>
      <c r="AD69" s="64">
        <f t="shared" si="74"/>
        <v>42.666125945323415</v>
      </c>
      <c r="AE69" s="61">
        <f t="shared" si="75"/>
        <v>-76.036683868542511</v>
      </c>
      <c r="AF69" s="31" t="str">
        <f t="shared" si="60"/>
        <v>-0.000106860158311346</v>
      </c>
      <c r="AG69" s="31" t="str">
        <f t="shared" si="61"/>
        <v>9.3933789675114E-07i</v>
      </c>
      <c r="AH69" s="31">
        <f t="shared" si="76"/>
        <v>9.3933789675114001E-7</v>
      </c>
      <c r="AI69" s="31">
        <f t="shared" si="77"/>
        <v>1.5707963267948966</v>
      </c>
      <c r="AJ69" s="31" t="str">
        <f t="shared" si="62"/>
        <v>1+0.014829149457903i</v>
      </c>
      <c r="AK69" s="31">
        <f t="shared" si="78"/>
        <v>1.0001099457927838</v>
      </c>
      <c r="AL69" s="31">
        <f t="shared" si="79"/>
        <v>1.4828062606486694E-2</v>
      </c>
      <c r="AM69" s="31" t="str">
        <f t="shared" si="63"/>
        <v>1+0.0951537090215438i</v>
      </c>
      <c r="AN69" s="31">
        <f t="shared" si="80"/>
        <v>1.0045169129191189</v>
      </c>
      <c r="AO69" s="31">
        <f t="shared" si="81"/>
        <v>9.4868077988127533E-2</v>
      </c>
      <c r="AP69" s="58" t="str">
        <f t="shared" si="82"/>
        <v>-9.13580518129894+113.896625090246i</v>
      </c>
      <c r="AQ69" s="49">
        <f t="shared" si="83"/>
        <v>41.158069528216565</v>
      </c>
      <c r="AR69" s="61">
        <f t="shared" si="84"/>
        <v>94.585955073530215</v>
      </c>
      <c r="AS69" s="58" t="str">
        <f t="shared" si="85"/>
        <v>14724.5224273317+4940.84021056385i</v>
      </c>
      <c r="AT69" s="64">
        <f t="shared" si="86"/>
        <v>83.824195473539973</v>
      </c>
      <c r="AU69" s="61">
        <f t="shared" si="87"/>
        <v>18.549271204987757</v>
      </c>
    </row>
    <row r="70" spans="1:47" x14ac:dyDescent="0.35">
      <c r="A70" t="s">
        <v>217</v>
      </c>
      <c r="B70" s="1">
        <f>1/(RCOMP*CCOMP)</f>
        <v>2136.7521367521367</v>
      </c>
      <c r="E70" t="s">
        <v>230</v>
      </c>
      <c r="N70" s="10">
        <v>52</v>
      </c>
      <c r="O70" s="50">
        <f t="shared" si="64"/>
        <v>33.113112148259127</v>
      </c>
      <c r="P70" s="48" t="str">
        <f t="shared" si="55"/>
        <v>547.187404092767</v>
      </c>
      <c r="Q70" s="17" t="str">
        <f t="shared" si="56"/>
        <v>1+3.99016339361548i</v>
      </c>
      <c r="R70" s="17">
        <f t="shared" si="65"/>
        <v>4.1135634075274687</v>
      </c>
      <c r="S70" s="17">
        <f t="shared" si="66"/>
        <v>1.3252376974987778</v>
      </c>
      <c r="T70" s="17" t="str">
        <f t="shared" si="57"/>
        <v>1+0.0000755016219109218i</v>
      </c>
      <c r="U70" s="17">
        <f t="shared" si="67"/>
        <v>1.0000000028502474</v>
      </c>
      <c r="V70" s="17">
        <f t="shared" si="68"/>
        <v>7.5501621767456268E-5</v>
      </c>
      <c r="W70" s="31" t="str">
        <f t="shared" si="58"/>
        <v>1-0.00131110438389895i</v>
      </c>
      <c r="X70" s="17">
        <f t="shared" si="69"/>
        <v>1.0000008594969834</v>
      </c>
      <c r="Y70" s="17">
        <f t="shared" si="70"/>
        <v>-1.3111036326392267E-3</v>
      </c>
      <c r="Z70" s="31" t="str">
        <f t="shared" si="59"/>
        <v>0.999999637527869+0.00627319685087184i</v>
      </c>
      <c r="AA70" s="17">
        <f t="shared" si="71"/>
        <v>1.0000193138407873</v>
      </c>
      <c r="AB70" s="17">
        <f t="shared" si="72"/>
        <v>6.2731168368826001E-3</v>
      </c>
      <c r="AC70" s="66" t="str">
        <f t="shared" si="73"/>
        <v>31.3666674552877-129.266690216784i</v>
      </c>
      <c r="AD70" s="64">
        <f t="shared" si="74"/>
        <v>42.478197646428683</v>
      </c>
      <c r="AE70" s="61">
        <f t="shared" si="75"/>
        <v>-76.360744817841564</v>
      </c>
      <c r="AF70" s="31" t="str">
        <f t="shared" si="60"/>
        <v>-0.000106860158311346</v>
      </c>
      <c r="AG70" s="31" t="str">
        <f t="shared" si="61"/>
        <v>9.61217887129184E-07i</v>
      </c>
      <c r="AH70" s="31">
        <f t="shared" si="76"/>
        <v>9.6121788712918394E-7</v>
      </c>
      <c r="AI70" s="31">
        <f t="shared" si="77"/>
        <v>1.5707963267948966</v>
      </c>
      <c r="AJ70" s="31" t="str">
        <f t="shared" si="62"/>
        <v>1+0.0151745647217561i</v>
      </c>
      <c r="AK70" s="31">
        <f t="shared" si="78"/>
        <v>1.0001151270801252</v>
      </c>
      <c r="AL70" s="31">
        <f t="shared" si="79"/>
        <v>1.5173400146721888E-2</v>
      </c>
      <c r="AM70" s="31" t="str">
        <f t="shared" si="63"/>
        <v>1+0.097370123631268i</v>
      </c>
      <c r="AN70" s="31">
        <f t="shared" si="80"/>
        <v>1.0047292874082892</v>
      </c>
      <c r="AO70" s="31">
        <f t="shared" si="81"/>
        <v>9.7064142217730784E-2</v>
      </c>
      <c r="AP70" s="58" t="str">
        <f t="shared" si="82"/>
        <v>-9.13571052197856+111.310259404853i</v>
      </c>
      <c r="AQ70" s="49">
        <f t="shared" si="83"/>
        <v>40.959860701762587</v>
      </c>
      <c r="AR70" s="61">
        <f t="shared" si="84"/>
        <v>94.691993901863214</v>
      </c>
      <c r="AS70" s="58" t="str">
        <f t="shared" si="85"/>
        <v>14102.1520265263+4672.37495306865i</v>
      </c>
      <c r="AT70" s="64">
        <f t="shared" si="86"/>
        <v>83.438058348191248</v>
      </c>
      <c r="AU70" s="61">
        <f t="shared" si="87"/>
        <v>18.331249084021689</v>
      </c>
    </row>
    <row r="71" spans="1:47" x14ac:dyDescent="0.35">
      <c r="A71" t="s">
        <v>222</v>
      </c>
      <c r="B71" s="1">
        <f>(CCOMP+CHF)</f>
        <v>4.6200000000000002E-9</v>
      </c>
      <c r="E71" t="s">
        <v>231</v>
      </c>
      <c r="N71" s="10">
        <v>53</v>
      </c>
      <c r="O71" s="50">
        <f t="shared" si="64"/>
        <v>33.884415613920268</v>
      </c>
      <c r="P71" s="48" t="str">
        <f t="shared" si="55"/>
        <v>547.187404092767</v>
      </c>
      <c r="Q71" s="17" t="str">
        <f t="shared" si="56"/>
        <v>1+4.0831062387419i</v>
      </c>
      <c r="R71" s="17">
        <f t="shared" si="65"/>
        <v>4.2037788425240725</v>
      </c>
      <c r="S71" s="17">
        <f t="shared" si="66"/>
        <v>1.330612468900519</v>
      </c>
      <c r="T71" s="17" t="str">
        <f t="shared" si="57"/>
        <v>1+0.000077260280607277i</v>
      </c>
      <c r="U71" s="17">
        <f t="shared" si="67"/>
        <v>1.0000000029845755</v>
      </c>
      <c r="V71" s="17">
        <f t="shared" si="68"/>
        <v>7.7260280453550901E-5</v>
      </c>
      <c r="W71" s="31" t="str">
        <f t="shared" si="58"/>
        <v>1-0.00134164392819237i</v>
      </c>
      <c r="X71" s="17">
        <f t="shared" si="69"/>
        <v>1.0000009000038101</v>
      </c>
      <c r="Y71" s="17">
        <f t="shared" si="70"/>
        <v>-1.3416431232031124E-3</v>
      </c>
      <c r="Z71" s="31" t="str">
        <f t="shared" si="59"/>
        <v>0.999999620445084+0.00641931837669483i</v>
      </c>
      <c r="AA71" s="17">
        <f t="shared" si="71"/>
        <v>1.0000202240648601</v>
      </c>
      <c r="AB71" s="17">
        <f t="shared" si="72"/>
        <v>6.4192326402543074E-3</v>
      </c>
      <c r="AC71" s="66" t="str">
        <f t="shared" si="73"/>
        <v>29.991034477656-126.660834992058i</v>
      </c>
      <c r="AD71" s="64">
        <f t="shared" si="74"/>
        <v>42.289756812534669</v>
      </c>
      <c r="AE71" s="61">
        <f t="shared" si="75"/>
        <v>-76.678717374059701</v>
      </c>
      <c r="AF71" s="31" t="str">
        <f t="shared" si="60"/>
        <v>-0.000106860158311346</v>
      </c>
      <c r="AG71" s="31" t="str">
        <f t="shared" si="61"/>
        <v>9.83607527954207E-07i</v>
      </c>
      <c r="AH71" s="31">
        <f t="shared" si="76"/>
        <v>9.8360752795420705E-7</v>
      </c>
      <c r="AI71" s="31">
        <f t="shared" si="77"/>
        <v>1.5707963267948966</v>
      </c>
      <c r="AJ71" s="31" t="str">
        <f t="shared" si="62"/>
        <v>1+0.0155280257406837i</v>
      </c>
      <c r="AK71" s="31">
        <f t="shared" si="78"/>
        <v>1.0001205525252459</v>
      </c>
      <c r="AL71" s="31">
        <f t="shared" si="79"/>
        <v>1.5526777884175754E-2</v>
      </c>
      <c r="AM71" s="31" t="str">
        <f t="shared" si="63"/>
        <v>1+0.0996381651693869i</v>
      </c>
      <c r="AN71" s="31">
        <f t="shared" si="80"/>
        <v>1.0049516226955018</v>
      </c>
      <c r="AO71" s="31">
        <f t="shared" si="81"/>
        <v>9.9310387364021147E-2</v>
      </c>
      <c r="AP71" s="58" t="str">
        <f t="shared" si="82"/>
        <v>-9.13561140360424+108.782911756966i</v>
      </c>
      <c r="AQ71" s="49">
        <f t="shared" si="83"/>
        <v>40.76173545951346</v>
      </c>
      <c r="AR71" s="61">
        <f t="shared" si="84"/>
        <v>94.800447215567445</v>
      </c>
      <c r="AS71" s="58" t="str">
        <f t="shared" si="85"/>
        <v>13504.5479994247+4419.63622562646i</v>
      </c>
      <c r="AT71" s="64">
        <f t="shared" si="86"/>
        <v>83.051492272048137</v>
      </c>
      <c r="AU71" s="61">
        <f t="shared" si="87"/>
        <v>18.121729841507772</v>
      </c>
    </row>
    <row r="72" spans="1:47" x14ac:dyDescent="0.35">
      <c r="A72" s="31" t="s">
        <v>223</v>
      </c>
      <c r="B72" s="1">
        <f>(CCOMP+CHF)/(RCOMP*CHF*CCOMP)</f>
        <v>13710.826210826212</v>
      </c>
      <c r="E72" s="31" t="s">
        <v>232</v>
      </c>
      <c r="N72" s="10">
        <v>54</v>
      </c>
      <c r="O72" s="50">
        <f t="shared" si="64"/>
        <v>34.67368504525318</v>
      </c>
      <c r="P72" s="48" t="str">
        <f t="shared" si="55"/>
        <v>547.187404092767</v>
      </c>
      <c r="Q72" s="17" t="str">
        <f t="shared" si="56"/>
        <v>1+4.17821400084242i</v>
      </c>
      <c r="R72" s="17">
        <f t="shared" si="65"/>
        <v>4.2962160370302174</v>
      </c>
      <c r="S72" s="17">
        <f t="shared" si="66"/>
        <v>1.3358786040199331</v>
      </c>
      <c r="T72" s="17" t="str">
        <f t="shared" si="57"/>
        <v>1+0.0000790599037270713i</v>
      </c>
      <c r="U72" s="17">
        <f t="shared" si="67"/>
        <v>1.0000000031252341</v>
      </c>
      <c r="V72" s="17">
        <f t="shared" si="68"/>
        <v>7.9059903562350825E-5</v>
      </c>
      <c r="W72" s="31" t="str">
        <f t="shared" si="58"/>
        <v>1-0.00137289482985527i</v>
      </c>
      <c r="X72" s="17">
        <f t="shared" si="69"/>
        <v>1.000000942419663</v>
      </c>
      <c r="Y72" s="17">
        <f t="shared" si="70"/>
        <v>-1.3728939672937839E-3</v>
      </c>
      <c r="Z72" s="31" t="str">
        <f t="shared" si="59"/>
        <v>0.999999602557212+0.00656884351009088i</v>
      </c>
      <c r="AA72" s="17">
        <f t="shared" si="71"/>
        <v>1.0000211771855845</v>
      </c>
      <c r="AB72" s="17">
        <f t="shared" si="72"/>
        <v>6.5687516419447589E-3</v>
      </c>
      <c r="AC72" s="66" t="str">
        <f t="shared" si="73"/>
        <v>28.6704484652969-124.093445681717i</v>
      </c>
      <c r="AD72" s="64">
        <f t="shared" si="74"/>
        <v>42.100823866588364</v>
      </c>
      <c r="AE72" s="61">
        <f t="shared" si="75"/>
        <v>-76.990698929165475</v>
      </c>
      <c r="AF72" s="31" t="str">
        <f t="shared" si="60"/>
        <v>-0.000106860158311346</v>
      </c>
      <c r="AG72" s="31" t="str">
        <f t="shared" si="61"/>
        <v>1.00651869051014E-06i</v>
      </c>
      <c r="AH72" s="31">
        <f t="shared" si="76"/>
        <v>1.00651869051014E-6</v>
      </c>
      <c r="AI72" s="31">
        <f t="shared" si="77"/>
        <v>1.5707963267948966</v>
      </c>
      <c r="AJ72" s="31" t="str">
        <f t="shared" si="62"/>
        <v>1+0.0158897199243968i</v>
      </c>
      <c r="AK72" s="31">
        <f t="shared" si="78"/>
        <v>1.000126233632173</v>
      </c>
      <c r="AL72" s="31">
        <f t="shared" si="79"/>
        <v>1.5888382831173064E-2</v>
      </c>
      <c r="AM72" s="31" t="str">
        <f t="shared" si="63"/>
        <v>1+0.101959036181546i</v>
      </c>
      <c r="AN72" s="31">
        <f t="shared" si="80"/>
        <v>1.0051843836128125</v>
      </c>
      <c r="AO72" s="31">
        <f t="shared" si="81"/>
        <v>0.10160791369656205</v>
      </c>
      <c r="AP72" s="58" t="str">
        <f t="shared" si="82"/>
        <v>-9.13550761623004+106.313242103731i</v>
      </c>
      <c r="AQ72" s="49">
        <f t="shared" si="83"/>
        <v>40.563697661285765</v>
      </c>
      <c r="AR72" s="61">
        <f t="shared" si="84"/>
        <v>94.911367340428185</v>
      </c>
      <c r="AS72" s="58" t="str">
        <f t="shared" si="85"/>
        <v>12930.8574339311+4181.70494706321i</v>
      </c>
      <c r="AT72" s="64">
        <f t="shared" si="86"/>
        <v>82.664521527874115</v>
      </c>
      <c r="AU72" s="61">
        <f t="shared" si="87"/>
        <v>17.920668411262763</v>
      </c>
    </row>
    <row r="73" spans="1:47" x14ac:dyDescent="0.35">
      <c r="N73" s="10">
        <v>55</v>
      </c>
      <c r="O73" s="50">
        <f t="shared" si="64"/>
        <v>35.481338923357555</v>
      </c>
      <c r="P73" s="48" t="str">
        <f t="shared" si="55"/>
        <v>547.187404092767</v>
      </c>
      <c r="Q73" s="17" t="str">
        <f t="shared" si="56"/>
        <v>1+4.27553710731138i</v>
      </c>
      <c r="R73" s="17">
        <f t="shared" si="65"/>
        <v>4.3909244534604053</v>
      </c>
      <c r="S73" s="17">
        <f t="shared" si="66"/>
        <v>1.3410377261912665</v>
      </c>
      <c r="T73" s="17" t="str">
        <f t="shared" si="57"/>
        <v>1+0.0000809014454543031i</v>
      </c>
      <c r="U73" s="17">
        <f t="shared" si="67"/>
        <v>1.0000000032725218</v>
      </c>
      <c r="V73" s="17">
        <f t="shared" si="68"/>
        <v>8.0901445277801925E-5</v>
      </c>
      <c r="W73" s="31" t="str">
        <f t="shared" si="58"/>
        <v>1-0.00140487365852938i</v>
      </c>
      <c r="X73" s="17">
        <f t="shared" si="69"/>
        <v>1.0000009868345112</v>
      </c>
      <c r="Y73" s="17">
        <f t="shared" si="70"/>
        <v>-1.4048727342781449E-3</v>
      </c>
      <c r="Z73" s="31" t="str">
        <f t="shared" si="59"/>
        <v>0.99999958382631+0.00672185153126491i</v>
      </c>
      <c r="AA73" s="17">
        <f t="shared" si="71"/>
        <v>1.0000221752245304</v>
      </c>
      <c r="AB73" s="17">
        <f t="shared" si="72"/>
        <v>6.7217530928906904E-3</v>
      </c>
      <c r="AC73" s="66" t="str">
        <f t="shared" si="73"/>
        <v>27.4029879928723-121.564870290108i</v>
      </c>
      <c r="AD73" s="64">
        <f t="shared" si="74"/>
        <v>41.911418522118623</v>
      </c>
      <c r="AE73" s="61">
        <f t="shared" si="75"/>
        <v>-77.296787928787936</v>
      </c>
      <c r="AF73" s="31" t="str">
        <f t="shared" si="60"/>
        <v>-0.000106860158311346</v>
      </c>
      <c r="AG73" s="31" t="str">
        <f t="shared" si="61"/>
        <v>1.02996352259862E-06i</v>
      </c>
      <c r="AH73" s="31">
        <f t="shared" si="76"/>
        <v>1.0299635225986199E-6</v>
      </c>
      <c r="AI73" s="31">
        <f t="shared" si="77"/>
        <v>1.5707963267948966</v>
      </c>
      <c r="AJ73" s="31" t="str">
        <f t="shared" si="62"/>
        <v>1+0.0162598390479391i</v>
      </c>
      <c r="AK73" s="31">
        <f t="shared" si="78"/>
        <v>1.0001321824468328</v>
      </c>
      <c r="AL73" s="31">
        <f t="shared" si="79"/>
        <v>1.6258406336963651E-2</v>
      </c>
      <c r="AM73" s="31" t="str">
        <f t="shared" si="63"/>
        <v>1+0.104333967224276i</v>
      </c>
      <c r="AN73" s="31">
        <f t="shared" si="80"/>
        <v>1.0054280564599123</v>
      </c>
      <c r="AO73" s="31">
        <f t="shared" si="81"/>
        <v>0.10395784231876874</v>
      </c>
      <c r="AP73" s="58" t="str">
        <f t="shared" si="82"/>
        <v>-9.13539894003518+103.899940983238i</v>
      </c>
      <c r="AQ73" s="49">
        <f t="shared" si="83"/>
        <v>40.365751341262936</v>
      </c>
      <c r="AR73" s="61">
        <f t="shared" si="84"/>
        <v>95.024807547435174</v>
      </c>
      <c r="AS73" s="58" t="str">
        <f t="shared" si="85"/>
        <v>12380.2456213133+3957.71242241758i</v>
      </c>
      <c r="AT73" s="64">
        <f t="shared" si="86"/>
        <v>82.27716986338153</v>
      </c>
      <c r="AU73" s="61">
        <f t="shared" si="87"/>
        <v>17.728019618647277</v>
      </c>
    </row>
    <row r="74" spans="1:47" x14ac:dyDescent="0.35">
      <c r="N74" s="10">
        <v>56</v>
      </c>
      <c r="O74" s="50">
        <f t="shared" si="64"/>
        <v>36.307805477010156</v>
      </c>
      <c r="P74" s="48" t="str">
        <f t="shared" si="55"/>
        <v>547.187404092767</v>
      </c>
      <c r="Q74" s="17" t="str">
        <f t="shared" si="56"/>
        <v>1+4.37512716014807i</v>
      </c>
      <c r="R74" s="17">
        <f t="shared" si="65"/>
        <v>4.4879547309955479</v>
      </c>
      <c r="S74" s="17">
        <f t="shared" si="66"/>
        <v>1.3460914718206631</v>
      </c>
      <c r="T74" s="17" t="str">
        <f t="shared" si="57"/>
        <v>1+0.0000827858821987723i</v>
      </c>
      <c r="U74" s="17">
        <f t="shared" si="67"/>
        <v>1.0000000034267511</v>
      </c>
      <c r="V74" s="17">
        <f t="shared" si="68"/>
        <v>8.2785882009647895E-5</v>
      </c>
      <c r="W74" s="31" t="str">
        <f t="shared" si="58"/>
        <v>1-0.00143759736981294i</v>
      </c>
      <c r="X74" s="17">
        <f t="shared" si="69"/>
        <v>1.0000010333425651</v>
      </c>
      <c r="Y74" s="17">
        <f t="shared" si="70"/>
        <v>-1.4375963794599539E-3</v>
      </c>
      <c r="Z74" s="31" t="str">
        <f t="shared" si="59"/>
        <v>0.999999564212648+0.00687842356709506i</v>
      </c>
      <c r="AA74" s="17">
        <f t="shared" si="71"/>
        <v>1.000023220298536</v>
      </c>
      <c r="AB74" s="17">
        <f t="shared" si="72"/>
        <v>6.8783180886089756E-3</v>
      </c>
      <c r="AC74" s="66" t="str">
        <f t="shared" si="73"/>
        <v>26.1867749729162-119.075383849139i</v>
      </c>
      <c r="AD74" s="64">
        <f t="shared" si="74"/>
        <v>41.721559798757824</v>
      </c>
      <c r="AE74" s="61">
        <f t="shared" si="75"/>
        <v>-77.597083694046887</v>
      </c>
      <c r="AF74" s="31" t="str">
        <f t="shared" si="60"/>
        <v>-0.000106860158311346</v>
      </c>
      <c r="AG74" s="31" t="str">
        <f t="shared" si="61"/>
        <v>1.05395445497997E-06i</v>
      </c>
      <c r="AH74" s="31">
        <f t="shared" si="76"/>
        <v>1.0539544549799701E-6</v>
      </c>
      <c r="AI74" s="31">
        <f t="shared" si="77"/>
        <v>1.5707963267948966</v>
      </c>
      <c r="AJ74" s="31" t="str">
        <f t="shared" si="62"/>
        <v>1+0.0166385793533691i</v>
      </c>
      <c r="AK74" s="31">
        <f t="shared" si="78"/>
        <v>1.000138411582566</v>
      </c>
      <c r="AL74" s="31">
        <f t="shared" si="79"/>
        <v>1.6637044187374411E-2</v>
      </c>
      <c r="AM74" s="31" t="str">
        <f t="shared" si="63"/>
        <v>1+0.106764217517452i</v>
      </c>
      <c r="AN74" s="31">
        <f t="shared" si="80"/>
        <v>1.005683149974242</v>
      </c>
      <c r="AO74" s="31">
        <f t="shared" si="81"/>
        <v>0.10636131532358994</v>
      </c>
      <c r="AP74" s="58" t="str">
        <f t="shared" si="82"/>
        <v>-9.13528514486025+101.541728820176i</v>
      </c>
      <c r="AQ74" s="49">
        <f t="shared" si="83"/>
        <v>40.167900715502554</v>
      </c>
      <c r="AR74" s="61">
        <f t="shared" si="84"/>
        <v>95.140822055992587</v>
      </c>
      <c r="AS74" s="58" t="str">
        <f t="shared" si="85"/>
        <v>11851.8966795658+3746.8379881704i</v>
      </c>
      <c r="AT74" s="64">
        <f t="shared" si="86"/>
        <v>81.889460514260421</v>
      </c>
      <c r="AU74" s="61">
        <f t="shared" si="87"/>
        <v>17.54373836194565</v>
      </c>
    </row>
    <row r="75" spans="1:47" x14ac:dyDescent="0.35">
      <c r="N75" s="10">
        <v>57</v>
      </c>
      <c r="O75" s="50">
        <f t="shared" si="64"/>
        <v>37.15352290971726</v>
      </c>
      <c r="P75" s="48" t="str">
        <f t="shared" si="55"/>
        <v>547.187404092767</v>
      </c>
      <c r="Q75" s="17" t="str">
        <f t="shared" si="56"/>
        <v>1+4.47703696331672i</v>
      </c>
      <c r="R75" s="17">
        <f t="shared" si="65"/>
        <v>4.5873587139991789</v>
      </c>
      <c r="S75" s="17">
        <f t="shared" si="66"/>
        <v>1.3510414874144392</v>
      </c>
      <c r="T75" s="17" t="str">
        <f t="shared" si="57"/>
        <v>1+0.0000847142131137837i</v>
      </c>
      <c r="U75" s="17">
        <f t="shared" si="67"/>
        <v>1.0000000035882488</v>
      </c>
      <c r="V75" s="17">
        <f t="shared" si="68"/>
        <v>8.4714212911133252E-5</v>
      </c>
      <c r="W75" s="31" t="str">
        <f t="shared" si="58"/>
        <v>1-0.00147108331425083i</v>
      </c>
      <c r="X75" s="17">
        <f t="shared" si="69"/>
        <v>1.0000010820424734</v>
      </c>
      <c r="Y75" s="17">
        <f t="shared" si="70"/>
        <v>-1.4710822530685486E-3</v>
      </c>
      <c r="Z75" s="31" t="str">
        <f t="shared" si="59"/>
        <v>0.999999543674623+0.00703864263414716i</v>
      </c>
      <c r="AA75" s="17">
        <f t="shared" si="71"/>
        <v>1.0000243146241923</v>
      </c>
      <c r="AB75" s="17">
        <f t="shared" si="72"/>
        <v>7.0385296120614362E-3</v>
      </c>
      <c r="AC75" s="66" t="str">
        <f t="shared" si="73"/>
        <v>25.0199758207943-116.625192830075i</v>
      </c>
      <c r="AD75" s="64">
        <f t="shared" si="74"/>
        <v>41.53126603823538</v>
      </c>
      <c r="AE75" s="61">
        <f t="shared" si="75"/>
        <v>-77.891686254226315</v>
      </c>
      <c r="AF75" s="31" t="str">
        <f t="shared" si="60"/>
        <v>-0.000106860158311346</v>
      </c>
      <c r="AG75" s="31" t="str">
        <f t="shared" si="61"/>
        <v>1.07850420796409E-06i</v>
      </c>
      <c r="AH75" s="31">
        <f t="shared" si="76"/>
        <v>1.07850420796409E-6</v>
      </c>
      <c r="AI75" s="31">
        <f t="shared" si="77"/>
        <v>1.5707963267948966</v>
      </c>
      <c r="AJ75" s="31" t="str">
        <f t="shared" si="62"/>
        <v>1+0.0170261416538099i</v>
      </c>
      <c r="AK75" s="31">
        <f t="shared" si="78"/>
        <v>1.0001449342468398</v>
      </c>
      <c r="AL75" s="31">
        <f t="shared" si="79"/>
        <v>1.7024496706684027E-2</v>
      </c>
      <c r="AM75" s="31" t="str">
        <f t="shared" si="63"/>
        <v>1+0.109251075611946i</v>
      </c>
      <c r="AN75" s="31">
        <f t="shared" si="80"/>
        <v>1.0059501963429238</v>
      </c>
      <c r="AO75" s="31">
        <f t="shared" si="81"/>
        <v>0.1088194959308211</v>
      </c>
      <c r="AP75" s="58" t="str">
        <f t="shared" si="82"/>
        <v>-9.1351659897223+99.237355247336i</v>
      </c>
      <c r="AQ75" s="49">
        <f t="shared" si="83"/>
        <v>39.970150189731918</v>
      </c>
      <c r="AR75" s="61">
        <f t="shared" si="84"/>
        <v>95.259466035949728</v>
      </c>
      <c r="AS75" s="58" t="str">
        <f t="shared" si="85"/>
        <v>11345.0140594854+3548.30672389403i</v>
      </c>
      <c r="AT75" s="64">
        <f t="shared" si="86"/>
        <v>81.501416227967269</v>
      </c>
      <c r="AU75" s="61">
        <f t="shared" si="87"/>
        <v>17.367779781723456</v>
      </c>
    </row>
    <row r="76" spans="1:47" x14ac:dyDescent="0.35">
      <c r="N76" s="10">
        <v>58</v>
      </c>
      <c r="O76" s="50">
        <f t="shared" si="64"/>
        <v>38.018939632056139</v>
      </c>
      <c r="P76" s="48" t="str">
        <f t="shared" si="55"/>
        <v>547.187404092767</v>
      </c>
      <c r="Q76" s="17" t="str">
        <f t="shared" si="56"/>
        <v>1+4.5813205507439i</v>
      </c>
      <c r="R76" s="17">
        <f t="shared" si="65"/>
        <v>4.6891894809943855</v>
      </c>
      <c r="S76" s="17">
        <f t="shared" si="66"/>
        <v>1.3558894267897406</v>
      </c>
      <c r="T76" s="17" t="str">
        <f t="shared" si="57"/>
        <v>1+0.0000866874606259132i</v>
      </c>
      <c r="U76" s="17">
        <f t="shared" si="67"/>
        <v>1.0000000037573578</v>
      </c>
      <c r="V76" s="17">
        <f t="shared" si="68"/>
        <v>8.6687460408769329E-5</v>
      </c>
      <c r="W76" s="31" t="str">
        <f t="shared" si="58"/>
        <v>1-0.00150534924653402i</v>
      </c>
      <c r="X76" s="17">
        <f t="shared" si="69"/>
        <v>1.0000011330375351</v>
      </c>
      <c r="Y76" s="17">
        <f t="shared" si="70"/>
        <v>-1.5053481094567886E-3</v>
      </c>
      <c r="Z76" s="31" t="str">
        <f t="shared" si="59"/>
        <v>0.999999522168671+0.00720259368269134i</v>
      </c>
      <c r="AA76" s="17">
        <f t="shared" si="71"/>
        <v>1.0000254605225452</v>
      </c>
      <c r="AB76" s="17">
        <f t="shared" si="72"/>
        <v>7.2024725775110777E-3</v>
      </c>
      <c r="AC76" s="66" t="str">
        <f t="shared" si="73"/>
        <v>23.900802370557-114.214439414828i</v>
      </c>
      <c r="AD76" s="64">
        <f t="shared" si="74"/>
        <v>41.340554920748588</v>
      </c>
      <c r="AE76" s="61">
        <f t="shared" si="75"/>
        <v>-78.180696189966341</v>
      </c>
      <c r="AF76" s="31" t="str">
        <f t="shared" si="60"/>
        <v>-0.000106860158311346</v>
      </c>
      <c r="AG76" s="31" t="str">
        <f t="shared" si="61"/>
        <v>1.10362579815495E-06i</v>
      </c>
      <c r="AH76" s="31">
        <f t="shared" si="76"/>
        <v>1.10362579815495E-6</v>
      </c>
      <c r="AI76" s="31">
        <f t="shared" si="77"/>
        <v>1.5707963267948966</v>
      </c>
      <c r="AJ76" s="31" t="str">
        <f t="shared" si="62"/>
        <v>1+0.0174227314399231i</v>
      </c>
      <c r="AK76" s="31">
        <f t="shared" si="78"/>
        <v>1.000151764269217</v>
      </c>
      <c r="AL76" s="31">
        <f t="shared" si="79"/>
        <v>1.7420968861766417E-2</v>
      </c>
      <c r="AM76" s="31" t="str">
        <f t="shared" si="63"/>
        <v>1+0.111795860072839i</v>
      </c>
      <c r="AN76" s="31">
        <f t="shared" si="80"/>
        <v>1.0062297522581141</v>
      </c>
      <c r="AO76" s="31">
        <f t="shared" si="81"/>
        <v>0.11133356860424677</v>
      </c>
      <c r="AP76" s="58" t="str">
        <f t="shared" si="82"/>
        <v>-9.13504122230741+96.9855984425946i</v>
      </c>
      <c r="AQ76" s="49">
        <f t="shared" si="83"/>
        <v>39.772504367438735</v>
      </c>
      <c r="AR76" s="61">
        <f t="shared" si="84"/>
        <v>95.380795608345508</v>
      </c>
      <c r="AS76" s="58" t="str">
        <f t="shared" si="85"/>
        <v>10858.8209425313+3361.38723340384i</v>
      </c>
      <c r="AT76" s="64">
        <f t="shared" si="86"/>
        <v>81.113059288187316</v>
      </c>
      <c r="AU76" s="61">
        <f t="shared" si="87"/>
        <v>17.200099418379171</v>
      </c>
    </row>
    <row r="77" spans="1:47" x14ac:dyDescent="0.35">
      <c r="N77" s="10">
        <v>59</v>
      </c>
      <c r="O77" s="50">
        <f t="shared" si="64"/>
        <v>38.904514499428053</v>
      </c>
      <c r="P77" s="48" t="str">
        <f t="shared" si="55"/>
        <v>547.187404092767</v>
      </c>
      <c r="Q77" s="17" t="str">
        <f t="shared" si="56"/>
        <v>1+4.68803321496804i</v>
      </c>
      <c r="R77" s="17">
        <f t="shared" si="65"/>
        <v>4.7935013742194315</v>
      </c>
      <c r="S77" s="17">
        <f t="shared" si="66"/>
        <v>1.3606369484615419</v>
      </c>
      <c r="T77" s="17" t="str">
        <f t="shared" si="57"/>
        <v>1+0.0000887066709771108i</v>
      </c>
      <c r="U77" s="17">
        <f t="shared" si="67"/>
        <v>1.0000000039344368</v>
      </c>
      <c r="V77" s="17">
        <f t="shared" si="68"/>
        <v>8.8706670744436949E-5</v>
      </c>
      <c r="W77" s="31" t="str">
        <f t="shared" si="58"/>
        <v>1-0.00154041333491338i</v>
      </c>
      <c r="X77" s="17">
        <f t="shared" si="69"/>
        <v>1.0000011864359173</v>
      </c>
      <c r="Y77" s="17">
        <f t="shared" si="70"/>
        <v>-1.5404121165132532E-3</v>
      </c>
      <c r="Z77" s="31" t="str">
        <f t="shared" si="59"/>
        <v>0.999999499649174+0.00737036364174368i</v>
      </c>
      <c r="AA77" s="17">
        <f t="shared" si="71"/>
        <v>1.0000266604240158</v>
      </c>
      <c r="AB77" s="17">
        <f t="shared" si="72"/>
        <v>7.3702338753918956E-3</v>
      </c>
      <c r="AC77" s="66" t="str">
        <f t="shared" si="73"/>
        <v>22.827512561789-111.843205620867i</v>
      </c>
      <c r="AD77" s="64">
        <f t="shared" si="74"/>
        <v>41.149443481622953</v>
      </c>
      <c r="AE77" s="61">
        <f t="shared" si="75"/>
        <v>-78.464214486628705</v>
      </c>
      <c r="AF77" s="31" t="str">
        <f t="shared" si="60"/>
        <v>-0.000106860158311346</v>
      </c>
      <c r="AG77" s="31" t="str">
        <f t="shared" si="61"/>
        <v>1.12933254535222E-06i</v>
      </c>
      <c r="AH77" s="31">
        <f t="shared" si="76"/>
        <v>1.1293325453522199E-6</v>
      </c>
      <c r="AI77" s="31">
        <f t="shared" si="77"/>
        <v>1.5707963267948966</v>
      </c>
      <c r="AJ77" s="31" t="str">
        <f t="shared" si="62"/>
        <v>1+0.0178285589888629i</v>
      </c>
      <c r="AK77" s="31">
        <f t="shared" si="78"/>
        <v>1.0001589161306415</v>
      </c>
      <c r="AL77" s="31">
        <f t="shared" si="79"/>
        <v>1.7826670368548021E-2</v>
      </c>
      <c r="AM77" s="31" t="str">
        <f t="shared" si="63"/>
        <v>1+0.114399920178536i</v>
      </c>
      <c r="AN77" s="31">
        <f t="shared" si="80"/>
        <v>1.006522400017434</v>
      </c>
      <c r="AO77" s="31">
        <f t="shared" si="81"/>
        <v>0.11390473914665865</v>
      </c>
      <c r="AP77" s="58" t="str">
        <f t="shared" si="82"/>
        <v>-9.13491057843811+94.7852644810182i</v>
      </c>
      <c r="AQ77" s="49">
        <f t="shared" si="83"/>
        <v>39.574968058263735</v>
      </c>
      <c r="AR77" s="61">
        <f t="shared" si="84"/>
        <v>95.504867844753377</v>
      </c>
      <c r="AS77" s="58" t="str">
        <f t="shared" si="85"/>
        <v>10392.5605391987+3185.38949776542i</v>
      </c>
      <c r="AT77" s="64">
        <f t="shared" si="86"/>
        <v>80.724411539886702</v>
      </c>
      <c r="AU77" s="61">
        <f t="shared" si="87"/>
        <v>17.040653358124608</v>
      </c>
    </row>
    <row r="78" spans="1:47" x14ac:dyDescent="0.35">
      <c r="N78" s="10">
        <v>60</v>
      </c>
      <c r="O78" s="50">
        <f t="shared" si="64"/>
        <v>39.810717055349755</v>
      </c>
      <c r="P78" s="48" t="str">
        <f t="shared" si="55"/>
        <v>547.187404092767</v>
      </c>
      <c r="Q78" s="17" t="str">
        <f t="shared" si="56"/>
        <v>1+4.7972315364562i</v>
      </c>
      <c r="R78" s="17">
        <f t="shared" si="65"/>
        <v>4.9003500297805171</v>
      </c>
      <c r="S78" s="17">
        <f t="shared" si="66"/>
        <v>1.365285713199744</v>
      </c>
      <c r="T78" s="17" t="str">
        <f t="shared" si="57"/>
        <v>1+0.0000907729147794318i</v>
      </c>
      <c r="U78" s="17">
        <f t="shared" si="67"/>
        <v>1.0000000041198609</v>
      </c>
      <c r="V78" s="17">
        <f t="shared" si="68"/>
        <v>9.0772914530117275E-5</v>
      </c>
      <c r="W78" s="31" t="str">
        <f t="shared" si="58"/>
        <v>1-0.00157629417083268i</v>
      </c>
      <c r="X78" s="17">
        <f t="shared" si="69"/>
        <v>1.0000012423508848</v>
      </c>
      <c r="Y78" s="17">
        <f t="shared" si="70"/>
        <v>-1.5762928652935102E-3</v>
      </c>
      <c r="Z78" s="31" t="str">
        <f t="shared" si="59"/>
        <v>0.999999476068366+0.00754204146515715i</v>
      </c>
      <c r="AA78" s="17">
        <f t="shared" si="71"/>
        <v>1.0000279168735584</v>
      </c>
      <c r="AB78" s="17">
        <f t="shared" si="72"/>
        <v>7.5419024182156666E-3</v>
      </c>
      <c r="AC78" s="66" t="str">
        <f t="shared" si="73"/>
        <v>21.7984109167274-109.511517275424i</v>
      </c>
      <c r="AD78" s="64">
        <f t="shared" si="74"/>
        <v>40.957948128182636</v>
      </c>
      <c r="AE78" s="61">
        <f t="shared" si="75"/>
        <v>-78.742342397478382</v>
      </c>
      <c r="AF78" s="31" t="str">
        <f t="shared" si="60"/>
        <v>-0.000106860158311346</v>
      </c>
      <c r="AG78" s="31" t="str">
        <f t="shared" si="61"/>
        <v>1.15563807961351E-06i</v>
      </c>
      <c r="AH78" s="31">
        <f t="shared" si="76"/>
        <v>1.1556380796135099E-6</v>
      </c>
      <c r="AI78" s="31">
        <f t="shared" si="77"/>
        <v>1.5707963267948966</v>
      </c>
      <c r="AJ78" s="31" t="str">
        <f t="shared" si="62"/>
        <v>1+0.0182438394757674i</v>
      </c>
      <c r="AK78" s="31">
        <f t="shared" si="78"/>
        <v>1.0001664049940977</v>
      </c>
      <c r="AL78" s="31">
        <f t="shared" si="79"/>
        <v>1.8241815800823912E-2</v>
      </c>
      <c r="AM78" s="31" t="str">
        <f t="shared" si="63"/>
        <v>1+0.117064636636174i</v>
      </c>
      <c r="AN78" s="31">
        <f t="shared" si="80"/>
        <v>1.0068287486711727</v>
      </c>
      <c r="AO78" s="31">
        <f t="shared" si="81"/>
        <v>0.11653423477070854</v>
      </c>
      <c r="AP78" s="58" t="str">
        <f t="shared" si="82"/>
        <v>-9.1347737815181+92.6351867017736i</v>
      </c>
      <c r="AQ78" s="49">
        <f t="shared" si="83"/>
        <v>39.37754628670482</v>
      </c>
      <c r="AR78" s="61">
        <f t="shared" si="84"/>
        <v>95.631740765106017</v>
      </c>
      <c r="AS78" s="58" t="str">
        <f t="shared" si="85"/>
        <v>9945.49629628253+3019.66280185483i</v>
      </c>
      <c r="AT78" s="64">
        <f t="shared" si="86"/>
        <v>80.335494414887464</v>
      </c>
      <c r="AU78" s="61">
        <f t="shared" si="87"/>
        <v>16.889398367627628</v>
      </c>
    </row>
    <row r="79" spans="1:47" x14ac:dyDescent="0.35">
      <c r="N79" s="10">
        <v>61</v>
      </c>
      <c r="O79" s="50">
        <f t="shared" si="64"/>
        <v>40.738027780411279</v>
      </c>
      <c r="P79" s="48" t="str">
        <f t="shared" si="55"/>
        <v>547.187404092767</v>
      </c>
      <c r="Q79" s="17" t="str">
        <f t="shared" si="56"/>
        <v>1+4.90897341360387i</v>
      </c>
      <c r="R79" s="17">
        <f t="shared" si="65"/>
        <v>5.0097924084206955</v>
      </c>
      <c r="S79" s="17">
        <f t="shared" si="66"/>
        <v>1.3698373817499823</v>
      </c>
      <c r="T79" s="17" t="str">
        <f t="shared" si="57"/>
        <v>1+0.0000928872875826908i</v>
      </c>
      <c r="U79" s="17">
        <f t="shared" si="67"/>
        <v>1.000000004314024</v>
      </c>
      <c r="V79" s="17">
        <f t="shared" si="68"/>
        <v>9.2887287315545467E-5</v>
      </c>
      <c r="W79" s="31" t="str">
        <f t="shared" si="58"/>
        <v>1-0.00161301077878608i</v>
      </c>
      <c r="X79" s="17">
        <f t="shared" si="69"/>
        <v>1.00000130090104</v>
      </c>
      <c r="Y79" s="17">
        <f t="shared" si="70"/>
        <v>-1.613009379875754E-3</v>
      </c>
      <c r="Z79" s="31" t="str">
        <f t="shared" si="59"/>
        <v>0.999999451376229+0.00771771817878619i</v>
      </c>
      <c r="AA79" s="17">
        <f t="shared" si="71"/>
        <v>1.0000292325360527</v>
      </c>
      <c r="AB79" s="17">
        <f t="shared" si="72"/>
        <v>7.7175691875392563E-3</v>
      </c>
      <c r="AC79" s="66" t="str">
        <f t="shared" si="73"/>
        <v>20.8118488260258-107.219347836026i</v>
      </c>
      <c r="AD79" s="64">
        <f t="shared" si="74"/>
        <v>40.766084656757727</v>
      </c>
      <c r="AE79" s="61">
        <f t="shared" si="75"/>
        <v>-79.015181316319413</v>
      </c>
      <c r="AF79" s="31" t="str">
        <f t="shared" si="60"/>
        <v>-0.000106860158311346</v>
      </c>
      <c r="AG79" s="31" t="str">
        <f t="shared" si="61"/>
        <v>0.0000011825563484813i</v>
      </c>
      <c r="AH79" s="31">
        <f t="shared" si="76"/>
        <v>1.1825563484813E-6</v>
      </c>
      <c r="AI79" s="31">
        <f t="shared" si="77"/>
        <v>1.5707963267948966</v>
      </c>
      <c r="AJ79" s="31" t="str">
        <f t="shared" si="62"/>
        <v>1+0.0186687930878478i</v>
      </c>
      <c r="AK79" s="31">
        <f t="shared" si="78"/>
        <v>1.0001742467367158</v>
      </c>
      <c r="AL79" s="31">
        <f t="shared" si="79"/>
        <v>1.8666624701480856E-2</v>
      </c>
      <c r="AM79" s="31" t="str">
        <f t="shared" si="63"/>
        <v>1+0.119791422313689i</v>
      </c>
      <c r="AN79" s="31">
        <f t="shared" si="80"/>
        <v>1.0071494352180002</v>
      </c>
      <c r="AO79" s="31">
        <f t="shared" si="81"/>
        <v>0.11922330414339009</v>
      </c>
      <c r="AP79" s="58" t="str">
        <f t="shared" si="82"/>
        <v>-9.13463054194889+90.5342250894712i</v>
      </c>
      <c r="AQ79" s="49">
        <f t="shared" si="83"/>
        <v>39.180244301136398</v>
      </c>
      <c r="AR79" s="61">
        <f t="shared" si="84"/>
        <v>95.761473333871336</v>
      </c>
      <c r="AS79" s="58" t="str">
        <f t="shared" si="85"/>
        <v>9516.91202101245+2863.59373557427i</v>
      </c>
      <c r="AT79" s="64">
        <f t="shared" si="86"/>
        <v>79.946328957894124</v>
      </c>
      <c r="AU79" s="61">
        <f t="shared" si="87"/>
        <v>16.746292017551902</v>
      </c>
    </row>
    <row r="80" spans="1:47" x14ac:dyDescent="0.35">
      <c r="N80" s="10">
        <v>62</v>
      </c>
      <c r="O80" s="50">
        <f t="shared" si="64"/>
        <v>41.686938347033561</v>
      </c>
      <c r="P80" s="48" t="str">
        <f t="shared" si="55"/>
        <v>547.187404092767</v>
      </c>
      <c r="Q80" s="17" t="str">
        <f t="shared" si="56"/>
        <v>1+5.02331809343338i</v>
      </c>
      <c r="R80" s="17">
        <f t="shared" si="65"/>
        <v>5.1218868269237623</v>
      </c>
      <c r="S80" s="17">
        <f t="shared" si="66"/>
        <v>1.3742936127116372</v>
      </c>
      <c r="T80" s="17" t="str">
        <f t="shared" si="57"/>
        <v>1+0.0000950509104553347i</v>
      </c>
      <c r="U80" s="17">
        <f t="shared" si="67"/>
        <v>1.0000000045173378</v>
      </c>
      <c r="V80" s="17">
        <f t="shared" si="68"/>
        <v>9.5050910169083323E-5</v>
      </c>
      <c r="W80" s="31" t="str">
        <f t="shared" si="58"/>
        <v>1-0.00165058262640513i</v>
      </c>
      <c r="X80" s="17">
        <f t="shared" si="69"/>
        <v>1.0000013622105755</v>
      </c>
      <c r="Y80" s="17">
        <f t="shared" si="70"/>
        <v>-1.6505811274458199E-3</v>
      </c>
      <c r="Z80" s="31" t="str">
        <f t="shared" si="59"/>
        <v>0.999999425520387+0.00789748692874971i</v>
      </c>
      <c r="AA80" s="17">
        <f t="shared" si="71"/>
        <v>1.0000306102019547</v>
      </c>
      <c r="AB80" s="17">
        <f t="shared" si="72"/>
        <v>7.8973272820162099E-3</v>
      </c>
      <c r="AC80" s="66" t="str">
        <f t="shared" si="73"/>
        <v>19.8662246606452-104.966622055605i</v>
      </c>
      <c r="AD80" s="64">
        <f t="shared" si="74"/>
        <v>40.573868269760865</v>
      </c>
      <c r="AE80" s="61">
        <f t="shared" si="75"/>
        <v>-79.28283265921138</v>
      </c>
      <c r="AF80" s="31" t="str">
        <f t="shared" si="60"/>
        <v>-0.000106860158311346</v>
      </c>
      <c r="AG80" s="31" t="str">
        <f t="shared" si="61"/>
        <v>1.21010162437803E-06i</v>
      </c>
      <c r="AH80" s="31">
        <f t="shared" si="76"/>
        <v>1.21010162437803E-6</v>
      </c>
      <c r="AI80" s="31">
        <f t="shared" si="77"/>
        <v>1.5707963267948966</v>
      </c>
      <c r="AJ80" s="31" t="str">
        <f t="shared" si="62"/>
        <v>1+0.019103645141134i</v>
      </c>
      <c r="AK80" s="31">
        <f t="shared" si="78"/>
        <v>1.0001824579833813</v>
      </c>
      <c r="AL80" s="31">
        <f t="shared" si="79"/>
        <v>1.910132169617209E-2</v>
      </c>
      <c r="AM80" s="31" t="str">
        <f t="shared" si="63"/>
        <v>1+0.122581722988943i</v>
      </c>
      <c r="AN80" s="31">
        <f t="shared" si="80"/>
        <v>1.0074851258509665</v>
      </c>
      <c r="AO80" s="31">
        <f t="shared" si="81"/>
        <v>0.12197321740183219</v>
      </c>
      <c r="AP80" s="58" t="str">
        <f t="shared" si="82"/>
        <v>-9.13448055652164+88.4812656696454i</v>
      </c>
      <c r="AQ80" s="49">
        <f t="shared" si="83"/>
        <v>38.983067583153286</v>
      </c>
      <c r="AR80" s="61">
        <f t="shared" si="84"/>
        <v>95.894125454444293</v>
      </c>
      <c r="AS80" s="58" t="str">
        <f t="shared" si="85"/>
        <v>9106.11192965309+2716.60427030209i</v>
      </c>
      <c r="AT80" s="64">
        <f t="shared" si="86"/>
        <v>79.556935852914151</v>
      </c>
      <c r="AU80" s="61">
        <f t="shared" si="87"/>
        <v>16.611292795232949</v>
      </c>
    </row>
    <row r="81" spans="14:47" x14ac:dyDescent="0.35">
      <c r="N81" s="10">
        <v>63</v>
      </c>
      <c r="O81" s="50">
        <f t="shared" si="64"/>
        <v>42.657951880159267</v>
      </c>
      <c r="P81" s="48" t="str">
        <f t="shared" si="55"/>
        <v>547.187404092767</v>
      </c>
      <c r="Q81" s="17" t="str">
        <f t="shared" si="56"/>
        <v>1+5.1403262030075i</v>
      </c>
      <c r="R81" s="17">
        <f t="shared" si="65"/>
        <v>5.2366929901728536</v>
      </c>
      <c r="S81" s="17">
        <f t="shared" si="66"/>
        <v>1.3786560605665132</v>
      </c>
      <c r="T81" s="17" t="str">
        <f t="shared" si="57"/>
        <v>1+0.0000972649305788495i</v>
      </c>
      <c r="U81" s="17">
        <f t="shared" si="67"/>
        <v>1.0000000047302333</v>
      </c>
      <c r="V81" s="17">
        <f t="shared" si="68"/>
        <v>9.7264930272125617E-5</v>
      </c>
      <c r="W81" s="31" t="str">
        <f t="shared" si="58"/>
        <v>1-0.00168902963478073i</v>
      </c>
      <c r="X81" s="17">
        <f t="shared" si="69"/>
        <v>1.0000014264095363</v>
      </c>
      <c r="Y81" s="17">
        <f t="shared" si="70"/>
        <v>-1.689028028617015E-3</v>
      </c>
      <c r="Z81" s="31" t="str">
        <f t="shared" si="59"/>
        <v>0.999999398445997+0.00808144303081842i</v>
      </c>
      <c r="AA81" s="17">
        <f t="shared" si="71"/>
        <v>1.0000320527932174</v>
      </c>
      <c r="AB81" s="17">
        <f t="shared" si="72"/>
        <v>8.0812719665575555E-3</v>
      </c>
      <c r="AC81" s="66" t="str">
        <f t="shared" si="73"/>
        <v>18.9599837264157-102.753219491538i</v>
      </c>
      <c r="AD81" s="64">
        <f t="shared" si="74"/>
        <v>40.381313592773864</v>
      </c>
      <c r="AE81" s="61">
        <f t="shared" si="75"/>
        <v>-79.545397754894594</v>
      </c>
      <c r="AF81" s="31" t="str">
        <f t="shared" si="60"/>
        <v>-0.000106860158311346</v>
      </c>
      <c r="AG81" s="31" t="str">
        <f t="shared" si="61"/>
        <v>1.23828851217359E-06i</v>
      </c>
      <c r="AH81" s="31">
        <f t="shared" si="76"/>
        <v>1.23828851217359E-6</v>
      </c>
      <c r="AI81" s="31">
        <f t="shared" si="77"/>
        <v>1.5707963267948966</v>
      </c>
      <c r="AJ81" s="31" t="str">
        <f t="shared" si="62"/>
        <v>1+0.0195486261999407i</v>
      </c>
      <c r="AK81" s="31">
        <f t="shared" si="78"/>
        <v>1.0001910561419278</v>
      </c>
      <c r="AL81" s="31">
        <f t="shared" si="79"/>
        <v>1.9546136609493409E-2</v>
      </c>
      <c r="AM81" s="31" t="str">
        <f t="shared" si="63"/>
        <v>1+0.125437018116286i</v>
      </c>
      <c r="AN81" s="31">
        <f t="shared" si="80"/>
        <v>1.0078365172556041</v>
      </c>
      <c r="AO81" s="31">
        <f t="shared" si="81"/>
        <v>0.12478526613790683</v>
      </c>
      <c r="AP81" s="58" t="str">
        <f t="shared" si="82"/>
        <v>-9.13432350777784+86.4752199180257i</v>
      </c>
      <c r="AQ81" s="49">
        <f t="shared" si="83"/>
        <v>38.786021857243092</v>
      </c>
      <c r="AR81" s="61">
        <f t="shared" si="84"/>
        <v>96.029757961608681</v>
      </c>
      <c r="AS81" s="58" t="str">
        <f t="shared" si="85"/>
        <v>8712.42062775663+2578.1499106854i</v>
      </c>
      <c r="AT81" s="64">
        <f t="shared" si="86"/>
        <v>79.167335450016949</v>
      </c>
      <c r="AU81" s="61">
        <f t="shared" si="87"/>
        <v>16.484360206714097</v>
      </c>
    </row>
    <row r="82" spans="14:47" x14ac:dyDescent="0.35">
      <c r="N82" s="10">
        <v>64</v>
      </c>
      <c r="O82" s="50">
        <f t="shared" si="64"/>
        <v>43.651583224016633</v>
      </c>
      <c r="P82" s="48" t="str">
        <f t="shared" si="55"/>
        <v>547.187404092767</v>
      </c>
      <c r="Q82" s="17" t="str">
        <f t="shared" si="56"/>
        <v>1+5.2600597815747i</v>
      </c>
      <c r="R82" s="17">
        <f t="shared" si="65"/>
        <v>5.3542720238833299</v>
      </c>
      <c r="S82" s="17">
        <f t="shared" si="66"/>
        <v>1.3829263738516291</v>
      </c>
      <c r="T82" s="17" t="str">
        <f t="shared" si="57"/>
        <v>1+0.0000995305218560105i</v>
      </c>
      <c r="U82" s="17">
        <f t="shared" si="67"/>
        <v>1.0000000049531623</v>
      </c>
      <c r="V82" s="17">
        <f t="shared" si="68"/>
        <v>9.9530521527349942E-5</v>
      </c>
      <c r="W82" s="31" t="str">
        <f t="shared" si="58"/>
        <v>1-0.00172837218902564i</v>
      </c>
      <c r="X82" s="17">
        <f t="shared" si="69"/>
        <v>1.0000014936340964</v>
      </c>
      <c r="Y82" s="17">
        <f t="shared" si="70"/>
        <v>-1.7283704679903508E-3</v>
      </c>
      <c r="Z82" s="31" t="str">
        <f t="shared" si="59"/>
        <v>0.99999937009563+0.00826968402095262i</v>
      </c>
      <c r="AA82" s="17">
        <f t="shared" si="71"/>
        <v>1.0000335633694817</v>
      </c>
      <c r="AB82" s="17">
        <f t="shared" si="72"/>
        <v>8.2695007226268949E-3</v>
      </c>
      <c r="AC82" s="66" t="str">
        <f t="shared" si="73"/>
        <v>18.0916180768786-100.578977858906i</v>
      </c>
      <c r="AD82" s="64">
        <f t="shared" si="74"/>
        <v>40.188434691588341</v>
      </c>
      <c r="AE82" s="61">
        <f t="shared" si="75"/>
        <v>-79.802977743550912</v>
      </c>
      <c r="AF82" s="31" t="str">
        <f t="shared" si="60"/>
        <v>-0.000106860158311346</v>
      </c>
      <c r="AG82" s="31" t="str">
        <f t="shared" si="61"/>
        <v>0.000001267131956929i</v>
      </c>
      <c r="AH82" s="31">
        <f t="shared" si="76"/>
        <v>1.2671319569289999E-6</v>
      </c>
      <c r="AI82" s="31">
        <f t="shared" si="77"/>
        <v>1.5707963267948966</v>
      </c>
      <c r="AJ82" s="31" t="str">
        <f t="shared" si="62"/>
        <v>1+0.0200039721991153i</v>
      </c>
      <c r="AK82" s="31">
        <f t="shared" si="78"/>
        <v>1.0002000594399818</v>
      </c>
      <c r="AL82" s="31">
        <f t="shared" si="79"/>
        <v>2.0001304583706147E-2</v>
      </c>
      <c r="AM82" s="31" t="str">
        <f t="shared" si="63"/>
        <v>1+0.128358821610989i</v>
      </c>
      <c r="AN82" s="31">
        <f t="shared" si="80"/>
        <v>1.0082043379619836</v>
      </c>
      <c r="AO82" s="31">
        <f t="shared" si="81"/>
        <v>0.12766076334905616</v>
      </c>
      <c r="AP82" s="58" t="str">
        <f t="shared" si="82"/>
        <v>-9.13415906334258+84.5150241833022i</v>
      </c>
      <c r="AQ82" s="49">
        <f t="shared" si="83"/>
        <v>38.589113100794208</v>
      </c>
      <c r="AR82" s="61">
        <f t="shared" si="84"/>
        <v>96.168432611917268</v>
      </c>
      <c r="AS82" s="58" t="str">
        <f t="shared" si="85"/>
        <v>8335.1830288498+2447.71792147412i</v>
      </c>
      <c r="AT82" s="64">
        <f t="shared" si="86"/>
        <v>78.777547792382535</v>
      </c>
      <c r="AU82" s="61">
        <f t="shared" si="87"/>
        <v>16.365454868366356</v>
      </c>
    </row>
    <row r="83" spans="14:47" x14ac:dyDescent="0.35">
      <c r="N83" s="10">
        <v>65</v>
      </c>
      <c r="O83" s="50">
        <f t="shared" si="64"/>
        <v>44.668359215096324</v>
      </c>
      <c r="P83" s="48" t="str">
        <f t="shared" ref="P83:P146" si="88">COMPLEX(Adc,0)</f>
        <v>547.187404092767</v>
      </c>
      <c r="Q83" s="17" t="str">
        <f t="shared" ref="Q83:Q146" si="89">IMSUM(COMPLEX(1,0),IMDIV(COMPLEX(0,2*PI()*O83),COMPLEX(wp_lf,0)))</f>
        <v>1+5.38258231346322i</v>
      </c>
      <c r="R83" s="17">
        <f t="shared" si="65"/>
        <v>5.4746865080301239</v>
      </c>
      <c r="S83" s="17">
        <f t="shared" si="66"/>
        <v>1.387106193469599</v>
      </c>
      <c r="T83" s="17" t="str">
        <f t="shared" ref="T83:T146" si="90">IMSUM(COMPLEX(1,0),IMDIV(COMPLEX(0,2*PI()*O83),COMPLEX(wz_esr,0)))</f>
        <v>1+0.000101848885533302i</v>
      </c>
      <c r="U83" s="17">
        <f t="shared" si="67"/>
        <v>1.0000000051865976</v>
      </c>
      <c r="V83" s="17">
        <f t="shared" si="68"/>
        <v>1.0184888518113587E-4</v>
      </c>
      <c r="W83" s="31" t="str">
        <f t="shared" ref="W83:W146" si="91">IMSUB(COMPLEX(1,0),IMDIV(COMPLEX(0,2*PI()*O83),COMPLEX(wz_rhp,0)))</f>
        <v>1-0.00176863114908288i</v>
      </c>
      <c r="X83" s="17">
        <f t="shared" si="69"/>
        <v>1.0000015640268476</v>
      </c>
      <c r="Y83" s="17">
        <f t="shared" si="70"/>
        <v>-1.7686293049604986E-3</v>
      </c>
      <c r="Z83" s="31" t="str">
        <f t="shared" ref="Z83:Z146" si="92">IMSUM(COMPLEX(1,0),IMDIV(COMPLEX(0,2*PI()*O83),COMPLEX(Q*(wsl/2),0)),IMDIV(IMPOWER(COMPLEX(0,2*PI()*O83),2),IMPOWER(COMPLEX(wsl/2,0),2)))</f>
        <v>0.999999340409152+0.00846230970701694i</v>
      </c>
      <c r="AA83" s="17">
        <f t="shared" si="71"/>
        <v>1.0000351451345679</v>
      </c>
      <c r="AB83" s="17">
        <f t="shared" si="72"/>
        <v>8.4621132996950694E-3</v>
      </c>
      <c r="AC83" s="66" t="str">
        <f t="shared" si="73"/>
        <v>17.259666199093-98.4436962291271i</v>
      </c>
      <c r="AD83" s="64">
        <f t="shared" si="74"/>
        <v>39.995245089153293</v>
      </c>
      <c r="AE83" s="61">
        <f t="shared" si="75"/>
        <v>-80.055673483527514</v>
      </c>
      <c r="AF83" s="31" t="str">
        <f t="shared" ref="AF83:AF146" si="93">COMPLEX(Adc_ea,0)</f>
        <v>-0.000106860158311346</v>
      </c>
      <c r="AG83" s="31" t="str">
        <f t="shared" ref="AG83:AG146" si="94">COMPLEX(0,2*PI()*O83*wp0_ea)</f>
        <v>1.29664725182044E-06i</v>
      </c>
      <c r="AH83" s="31">
        <f t="shared" si="76"/>
        <v>1.2966472518204399E-6</v>
      </c>
      <c r="AI83" s="31">
        <f t="shared" si="77"/>
        <v>1.5707963267948966</v>
      </c>
      <c r="AJ83" s="31" t="str">
        <f t="shared" ref="AJ83:AJ146" si="95">IMSUM(COMPLEX(1,0),IMDIV(COMPLEX(0,2*PI()*O83),COMPLEX(wp1_ea,0)))</f>
        <v>1+0.0204699245691337i</v>
      </c>
      <c r="AK83" s="31">
        <f t="shared" si="78"/>
        <v>1.000209486963539</v>
      </c>
      <c r="AL83" s="31">
        <f t="shared" si="79"/>
        <v>2.0467066200056488E-2</v>
      </c>
      <c r="AM83" s="31" t="str">
        <f t="shared" ref="AM83:AM146" si="96">IMSUM(COMPLEX(1,0),IMDIV(COMPLEX(0,2*PI()*O83),COMPLEX(wz_ea,0)))</f>
        <v>1+0.131348682651941i</v>
      </c>
      <c r="AN83" s="31">
        <f t="shared" si="80"/>
        <v>1.0085893497526137</v>
      </c>
      <c r="AO83" s="31">
        <f t="shared" si="81"/>
        <v>0.13060104335253406</v>
      </c>
      <c r="AP83" s="58" t="str">
        <f t="shared" si="82"/>
        <v>-9.13398687522599+82.5996391230749i</v>
      </c>
      <c r="AQ83" s="49">
        <f t="shared" si="83"/>
        <v>38.392347554444115</v>
      </c>
      <c r="AR83" s="61">
        <f t="shared" si="84"/>
        <v>96.310212071827195</v>
      </c>
      <c r="AS83" s="58" t="str">
        <f t="shared" si="85"/>
        <v>7973.76421793421+2324.8256287354i</v>
      </c>
      <c r="AT83" s="64">
        <f t="shared" si="86"/>
        <v>78.387592643597401</v>
      </c>
      <c r="AU83" s="61">
        <f t="shared" si="87"/>
        <v>16.254538588299713</v>
      </c>
    </row>
    <row r="84" spans="14:47" x14ac:dyDescent="0.35">
      <c r="N84" s="10">
        <v>66</v>
      </c>
      <c r="O84" s="50">
        <f t="shared" ref="O84:O118" si="97">10^(1+(N84/100))</f>
        <v>45.70881896148753</v>
      </c>
      <c r="P84" s="48" t="str">
        <f t="shared" si="88"/>
        <v>547.187404092767</v>
      </c>
      <c r="Q84" s="17" t="str">
        <f t="shared" si="89"/>
        <v>1+5.50795876174125i</v>
      </c>
      <c r="R84" s="17">
        <f t="shared" ref="R84:R147" si="98">IMABS(Q84)</f>
        <v>5.598000510989813</v>
      </c>
      <c r="S84" s="17">
        <f t="shared" ref="S84:S147" si="99">IMARGUMENT(Q84)</f>
        <v>1.3911971511301431</v>
      </c>
      <c r="T84" s="17" t="str">
        <f t="shared" si="90"/>
        <v>1+0.000104221250837833i</v>
      </c>
      <c r="U84" s="17">
        <f t="shared" ref="U84:U147" si="100">IMABS(T84)</f>
        <v>1.0000000054310345</v>
      </c>
      <c r="V84" s="17">
        <f t="shared" ref="V84:V147" si="101">IMARGUMENT(T84)</f>
        <v>1.0422125046048019E-4</v>
      </c>
      <c r="W84" s="31" t="str">
        <f t="shared" si="91"/>
        <v>1-0.00180982786078597i</v>
      </c>
      <c r="X84" s="17">
        <f t="shared" ref="X84:X147" si="102">IMABS(W84)</f>
        <v>1.0000016377371017</v>
      </c>
      <c r="Y84" s="17">
        <f t="shared" ref="Y84:Y147" si="103">IMARGUMENT(W84)</f>
        <v>-1.8098258847734118E-3</v>
      </c>
      <c r="Z84" s="31" t="str">
        <f t="shared" si="92"/>
        <v>0.999999309323593+0.00865942222169984i</v>
      </c>
      <c r="AA84" s="17">
        <f t="shared" ref="AA84:AA147" si="104">IMABS(Z84)</f>
        <v>1.0000368014432655</v>
      </c>
      <c r="AB84" s="17">
        <f t="shared" ref="AB84:AB147" si="105">IMARGUMENT(Z84)</f>
        <v>8.6592117678810105E-3</v>
      </c>
      <c r="AC84" s="66" t="str">
        <f t="shared" ref="AC84:AC147" si="106">(IMDIV(IMPRODUCT(P84,T84,W84),IMPRODUCT(Q84,Z84)))</f>
        <v>16.4627125861625-96.347138075794i</v>
      </c>
      <c r="AD84" s="64">
        <f t="shared" ref="AD84:AD147" si="107">20*LOG(IMABS(AC84))</f>
        <v>39.801757782382928</v>
      </c>
      <c r="AE84" s="61">
        <f t="shared" ref="AE84:AE147" si="108">(180/PI())*IMARGUMENT(AC84)</f>
        <v>-80.303585465654592</v>
      </c>
      <c r="AF84" s="31" t="str">
        <f t="shared" si="93"/>
        <v>-0.000106860158311346</v>
      </c>
      <c r="AG84" s="31" t="str">
        <f t="shared" si="94"/>
        <v>1.32685004624796E-06i</v>
      </c>
      <c r="AH84" s="31">
        <f t="shared" ref="AH84:AH147" si="109">IMABS(AG84)</f>
        <v>1.32685004624796E-6</v>
      </c>
      <c r="AI84" s="31">
        <f t="shared" ref="AI84:AI147" si="110">IMARGUMENT(AG84)</f>
        <v>1.5707963267948966</v>
      </c>
      <c r="AJ84" s="31" t="str">
        <f t="shared" si="95"/>
        <v>1+0.0209467303641101i</v>
      </c>
      <c r="AK84" s="31">
        <f t="shared" ref="AK84:AK147" si="111">IMABS(AJ84)</f>
        <v>1.0002193586973542</v>
      </c>
      <c r="AL84" s="31">
        <f t="shared" ref="AL84:AL147" si="112">IMARGUMENT(AJ84)</f>
        <v>2.0943667602739195E-2</v>
      </c>
      <c r="AM84" s="31" t="str">
        <f t="shared" si="96"/>
        <v>1+0.13440818650304i</v>
      </c>
      <c r="AN84" s="31">
        <f t="shared" ref="AN84:AN147" si="113">IMABS(AM84)</f>
        <v>1.0089923491280972</v>
      </c>
      <c r="AO84" s="31">
        <f t="shared" ref="AO84:AO147" si="114">IMARGUMENT(AM84)</f>
        <v>0.13360746166012277</v>
      </c>
      <c r="AP84" s="58" t="str">
        <f t="shared" ref="AP84:AP147" si="115">IMPRODUCT(AF84,IMDIV(AM84,IMPRODUCT(AG84,AJ84)))</f>
        <v>-9.13380657909121+80.7280491526773i</v>
      </c>
      <c r="AQ84" s="49">
        <f t="shared" ref="AQ84:AQ147" si="116">20*LOG(IMABS(AP84))</f>
        <v>38.195731732771421</v>
      </c>
      <c r="AR84" s="61">
        <f t="shared" ref="AR84:AR147" si="117">(180/PI())*IMARGUMENT(AP84)</f>
        <v>96.455159903419158</v>
      </c>
      <c r="AS84" s="58" t="str">
        <f t="shared" ref="AS84:AS147" si="118">IMPRODUCT(AC84,AP84)</f>
        <v>7627.54926577331+2209.01879447542i</v>
      </c>
      <c r="AT84" s="64">
        <f t="shared" ref="AT84:AT147" si="119">20*LOG(IMABS(AS84))</f>
        <v>77.997489515154356</v>
      </c>
      <c r="AU84" s="61">
        <f t="shared" ref="AU84:AU147" si="120">(180/PI())*IMARGUMENT(AS84)</f>
        <v>16.151574437764545</v>
      </c>
    </row>
    <row r="85" spans="14:47" x14ac:dyDescent="0.35">
      <c r="N85" s="10">
        <v>67</v>
      </c>
      <c r="O85" s="50">
        <f t="shared" si="97"/>
        <v>46.773514128719818</v>
      </c>
      <c r="P85" s="48" t="str">
        <f t="shared" si="88"/>
        <v>547.187404092767</v>
      </c>
      <c r="Q85" s="17" t="str">
        <f t="shared" si="89"/>
        <v>1+5.63625560266119i</v>
      </c>
      <c r="R85" s="17">
        <f t="shared" si="98"/>
        <v>5.7242796244182239</v>
      </c>
      <c r="S85" s="17">
        <f t="shared" si="99"/>
        <v>1.3952008679163657</v>
      </c>
      <c r="T85" s="17" t="str">
        <f t="shared" si="90"/>
        <v>1+0.000106648875629089i</v>
      </c>
      <c r="U85" s="17">
        <f t="shared" si="100"/>
        <v>1.0000000056869913</v>
      </c>
      <c r="V85" s="17">
        <f t="shared" si="101"/>
        <v>1.0664887522474818E-4</v>
      </c>
      <c r="W85" s="31" t="str">
        <f t="shared" si="91"/>
        <v>1-0.00185198416717675i</v>
      </c>
      <c r="X85" s="17">
        <f t="shared" si="102"/>
        <v>1.0000017149212073</v>
      </c>
      <c r="Y85" s="17">
        <f t="shared" si="103"/>
        <v>-1.8519820498413425E-3</v>
      </c>
      <c r="Z85" s="31" t="str">
        <f t="shared" si="92"/>
        <v>0.999999276773017+0.00886112607666568i</v>
      </c>
      <c r="AA85" s="17">
        <f t="shared" si="104"/>
        <v>1.0000385358084476</v>
      </c>
      <c r="AB85" s="17">
        <f t="shared" si="105"/>
        <v>8.8609005718052174E-3</v>
      </c>
      <c r="AC85" s="66" t="str">
        <f t="shared" si="106"/>
        <v>15.6993872093389-94.2890341702329i</v>
      </c>
      <c r="AD85" s="64">
        <f t="shared" si="107"/>
        <v>39.607985258788581</v>
      </c>
      <c r="AE85" s="61">
        <f t="shared" si="108"/>
        <v>-80.546813734796388</v>
      </c>
      <c r="AF85" s="31" t="str">
        <f t="shared" si="93"/>
        <v>-0.000106860158311346</v>
      </c>
      <c r="AG85" s="31" t="str">
        <f t="shared" si="94"/>
        <v>1.35775635413293E-06i</v>
      </c>
      <c r="AH85" s="31">
        <f t="shared" si="109"/>
        <v>1.35775635413293E-6</v>
      </c>
      <c r="AI85" s="31">
        <f t="shared" si="110"/>
        <v>1.5707963267948966</v>
      </c>
      <c r="AJ85" s="31" t="str">
        <f t="shared" si="95"/>
        <v>1+0.0214346423927884i</v>
      </c>
      <c r="AK85" s="31">
        <f t="shared" si="111"/>
        <v>1.0002296955672265</v>
      </c>
      <c r="AL85" s="31">
        <f t="shared" si="112"/>
        <v>2.1431360625554226E-2</v>
      </c>
      <c r="AM85" s="31" t="str">
        <f t="shared" si="96"/>
        <v>1+0.137538955353725i</v>
      </c>
      <c r="AN85" s="31">
        <f t="shared" si="113"/>
        <v>1.0094141688324936</v>
      </c>
      <c r="AO85" s="31">
        <f t="shared" si="114"/>
        <v>0.13668139481022334</v>
      </c>
      <c r="AP85" s="58" t="str">
        <f t="shared" si="115"/>
        <v>-9.13361779349004+78.8992619065993i</v>
      </c>
      <c r="AQ85" s="49">
        <f t="shared" si="116"/>
        <v>37.999272435337041</v>
      </c>
      <c r="AR85" s="61">
        <f t="shared" si="117"/>
        <v>96.603340547520006</v>
      </c>
      <c r="AS85" s="58" t="str">
        <f t="shared" si="118"/>
        <v>7295.94299955539+2099.87006343097i</v>
      </c>
      <c r="AT85" s="64">
        <f t="shared" si="119"/>
        <v>77.607257694125622</v>
      </c>
      <c r="AU85" s="61">
        <f t="shared" si="120"/>
        <v>16.056526812723593</v>
      </c>
    </row>
    <row r="86" spans="14:47" x14ac:dyDescent="0.35">
      <c r="N86" s="10">
        <v>68</v>
      </c>
      <c r="O86" s="50">
        <f t="shared" si="97"/>
        <v>47.863009232263877</v>
      </c>
      <c r="P86" s="48" t="str">
        <f t="shared" si="88"/>
        <v>547.187404092767</v>
      </c>
      <c r="Q86" s="17" t="str">
        <f t="shared" si="89"/>
        <v>1+5.76754086090634i</v>
      </c>
      <c r="R86" s="17">
        <f t="shared" si="98"/>
        <v>5.8535909988847239</v>
      </c>
      <c r="S86" s="17">
        <f t="shared" si="99"/>
        <v>1.3991189529695507</v>
      </c>
      <c r="T86" s="17" t="str">
        <f t="shared" si="90"/>
        <v>1+0.000109133047065868i</v>
      </c>
      <c r="U86" s="17">
        <f t="shared" si="100"/>
        <v>1.0000000059550109</v>
      </c>
      <c r="V86" s="17">
        <f t="shared" si="101"/>
        <v>1.09133046632609E-4</v>
      </c>
      <c r="W86" s="31" t="str">
        <f t="shared" si="91"/>
        <v>1-0.00189512242008688i</v>
      </c>
      <c r="X86" s="17">
        <f t="shared" si="102"/>
        <v>1.0000017957428813</v>
      </c>
      <c r="Y86" s="17">
        <f t="shared" si="103"/>
        <v>-1.8951201513213352E-3</v>
      </c>
      <c r="Z86" s="31" t="str">
        <f t="shared" si="92"/>
        <v>0.999999242688379+0.00906752821796825i</v>
      </c>
      <c r="AA86" s="17">
        <f t="shared" si="104"/>
        <v>1.0000403519085195</v>
      </c>
      <c r="AB86" s="17">
        <f t="shared" si="105"/>
        <v>9.0672865856833776E-3</v>
      </c>
      <c r="AC86" s="66" t="str">
        <f t="shared" si="106"/>
        <v>14.9683649016764-92.2690853297648i</v>
      </c>
      <c r="AD86" s="64">
        <f t="shared" si="107"/>
        <v>39.413939512897727</v>
      </c>
      <c r="AE86" s="61">
        <f t="shared" si="108"/>
        <v>-80.78545781827664</v>
      </c>
      <c r="AF86" s="31" t="str">
        <f t="shared" si="93"/>
        <v>-0.000106860158311346</v>
      </c>
      <c r="AG86" s="31" t="str">
        <f t="shared" si="94"/>
        <v>1.38938256240889E-06i</v>
      </c>
      <c r="AH86" s="31">
        <f t="shared" si="109"/>
        <v>1.38938256240889E-6</v>
      </c>
      <c r="AI86" s="31">
        <f t="shared" si="110"/>
        <v>1.5707963267948966</v>
      </c>
      <c r="AJ86" s="31" t="str">
        <f t="shared" si="95"/>
        <v>1+0.0219339193525843i</v>
      </c>
      <c r="AK86" s="31">
        <f t="shared" si="111"/>
        <v>1.0002405194842716</v>
      </c>
      <c r="AL86" s="31">
        <f t="shared" si="112"/>
        <v>2.1930402921304701E-2</v>
      </c>
      <c r="AM86" s="31" t="str">
        <f t="shared" si="96"/>
        <v>1+0.140742649179082i</v>
      </c>
      <c r="AN86" s="31">
        <f t="shared" si="113"/>
        <v>1.0098556794403575</v>
      </c>
      <c r="AO86" s="31">
        <f t="shared" si="114"/>
        <v>0.13982424015402053</v>
      </c>
      <c r="AP86" s="58" t="str">
        <f t="shared" si="115"/>
        <v>-9.13342011906176+77.1123077122057i</v>
      </c>
      <c r="AQ86" s="49">
        <f t="shared" si="116"/>
        <v>37.802976758075339</v>
      </c>
      <c r="AR86" s="61">
        <f t="shared" si="117"/>
        <v>96.7548193040369</v>
      </c>
      <c r="AS86" s="58" t="str">
        <f t="shared" si="118"/>
        <v>6978.36973513016+1996.97748056495i</v>
      </c>
      <c r="AT86" s="64">
        <f t="shared" si="119"/>
        <v>77.216916270973059</v>
      </c>
      <c r="AU86" s="61">
        <f t="shared" si="120"/>
        <v>15.969361485760261</v>
      </c>
    </row>
    <row r="87" spans="14:47" x14ac:dyDescent="0.35">
      <c r="N87" s="10">
        <v>69</v>
      </c>
      <c r="O87" s="50">
        <f t="shared" si="97"/>
        <v>48.977881936844632</v>
      </c>
      <c r="P87" s="48" t="str">
        <f t="shared" si="88"/>
        <v>547.187404092767</v>
      </c>
      <c r="Q87" s="17" t="str">
        <f t="shared" si="89"/>
        <v>1+5.90188414565838i</v>
      </c>
      <c r="R87" s="17">
        <f t="shared" si="98"/>
        <v>5.9860033802841901</v>
      </c>
      <c r="S87" s="17">
        <f t="shared" si="99"/>
        <v>1.4029530022863501</v>
      </c>
      <c r="T87" s="17" t="str">
        <f t="shared" si="90"/>
        <v>1+0.000111675082288749i</v>
      </c>
      <c r="U87" s="17">
        <f t="shared" si="100"/>
        <v>1.000000006235662</v>
      </c>
      <c r="V87" s="17">
        <f t="shared" si="101"/>
        <v>1.1167508182450364E-4</v>
      </c>
      <c r="W87" s="31" t="str">
        <f t="shared" si="91"/>
        <v>1-0.00193926549198905i</v>
      </c>
      <c r="X87" s="17">
        <f t="shared" si="102"/>
        <v>1.0000018803735564</v>
      </c>
      <c r="Y87" s="17">
        <f t="shared" si="103"/>
        <v>-1.9392630609632168E-3</v>
      </c>
      <c r="Z87" s="31" t="str">
        <f t="shared" si="92"/>
        <v>0.999999206997382+0.00927873808275492i</v>
      </c>
      <c r="AA87" s="17">
        <f t="shared" si="104"/>
        <v>1.0000422535952176</v>
      </c>
      <c r="AB87" s="17">
        <f t="shared" si="105"/>
        <v>9.2784791696876867E-3</v>
      </c>
      <c r="AC87" s="66" t="str">
        <f t="shared" si="106"/>
        <v>14.2683646643572-90.2869650221454i</v>
      </c>
      <c r="AD87" s="64">
        <f t="shared" si="107"/>
        <v>39.219632062431458</v>
      </c>
      <c r="AE87" s="61">
        <f t="shared" si="108"/>
        <v>-81.019616660832241</v>
      </c>
      <c r="AF87" s="31" t="str">
        <f t="shared" si="93"/>
        <v>-0.000106860158311346</v>
      </c>
      <c r="AG87" s="31" t="str">
        <f t="shared" si="94"/>
        <v>0.0000014217454397101i</v>
      </c>
      <c r="AH87" s="31">
        <f t="shared" si="109"/>
        <v>1.4217454397101E-6</v>
      </c>
      <c r="AI87" s="31">
        <f t="shared" si="110"/>
        <v>1.5707963267948966</v>
      </c>
      <c r="AJ87" s="31" t="str">
        <f t="shared" si="95"/>
        <v>1+0.0224448259667508i</v>
      </c>
      <c r="AK87" s="31">
        <f t="shared" si="111"/>
        <v>1.0002518533912736</v>
      </c>
      <c r="AL87" s="31">
        <f t="shared" si="112"/>
        <v>2.2441058093986891E-2</v>
      </c>
      <c r="AM87" s="31" t="str">
        <f t="shared" si="96"/>
        <v>1+0.144020966619984i</v>
      </c>
      <c r="AN87" s="31">
        <f t="shared" si="113"/>
        <v>1.0103177910074406</v>
      </c>
      <c r="AO87" s="31">
        <f t="shared" si="114"/>
        <v>0.14303741559225991</v>
      </c>
      <c r="AP87" s="58" t="str">
        <f t="shared" si="115"/>
        <v>-9.13321313769522+75.3662390754826i</v>
      </c>
      <c r="AQ87" s="49">
        <f t="shared" si="116"/>
        <v>37.606852105038342</v>
      </c>
      <c r="AR87" s="61">
        <f t="shared" si="117"/>
        <v>96.909662309301893</v>
      </c>
      <c r="AS87" s="58" t="str">
        <f t="shared" si="118"/>
        <v>6674.27297565281+1899.963077613i</v>
      </c>
      <c r="AT87" s="64">
        <f t="shared" si="119"/>
        <v>76.8264841674698</v>
      </c>
      <c r="AU87" s="61">
        <f t="shared" si="120"/>
        <v>15.890045648469675</v>
      </c>
    </row>
    <row r="88" spans="14:47" x14ac:dyDescent="0.35">
      <c r="N88" s="10">
        <v>70</v>
      </c>
      <c r="O88" s="50">
        <f t="shared" si="97"/>
        <v>50.118723362727238</v>
      </c>
      <c r="P88" s="48" t="str">
        <f t="shared" si="88"/>
        <v>547.187404092767</v>
      </c>
      <c r="Q88" s="17" t="str">
        <f t="shared" si="89"/>
        <v>1+6.03935668750509i</v>
      </c>
      <c r="R88" s="17">
        <f t="shared" si="98"/>
        <v>6.1215871470487491</v>
      </c>
      <c r="S88" s="17">
        <f t="shared" si="99"/>
        <v>1.4067045976224157</v>
      </c>
      <c r="T88" s="17" t="str">
        <f t="shared" si="90"/>
        <v>1+0.000114276329118453i</v>
      </c>
      <c r="U88" s="17">
        <f t="shared" si="100"/>
        <v>1.0000000065295396</v>
      </c>
      <c r="V88" s="17">
        <f t="shared" si="101"/>
        <v>1.1427632862100512E-4</v>
      </c>
      <c r="W88" s="31" t="str">
        <f t="shared" si="91"/>
        <v>1-0.00198443678812428i</v>
      </c>
      <c r="X88" s="17">
        <f t="shared" si="102"/>
        <v>1.0000019689927446</v>
      </c>
      <c r="Y88" s="17">
        <f t="shared" si="103"/>
        <v>-1.9844341832334451E-3</v>
      </c>
      <c r="Z88" s="31" t="str">
        <f t="shared" si="92"/>
        <v>0.99999916962432+0.00949486765729165i</v>
      </c>
      <c r="AA88" s="17">
        <f t="shared" si="104"/>
        <v>1.0000442449017739</v>
      </c>
      <c r="AB88" s="17">
        <f t="shared" si="105"/>
        <v>9.4945902276045938E-3</v>
      </c>
      <c r="AC88" s="66" t="str">
        <f t="shared" si="106"/>
        <v>13.5981489059866-88.3423218299899i</v>
      </c>
      <c r="AD88" s="64">
        <f t="shared" si="107"/>
        <v>39.025073964213107</v>
      </c>
      <c r="AE88" s="61">
        <f t="shared" si="108"/>
        <v>-81.249388565753534</v>
      </c>
      <c r="AF88" s="31" t="str">
        <f t="shared" si="93"/>
        <v>-0.000106860158311346</v>
      </c>
      <c r="AG88" s="31" t="str">
        <f t="shared" si="94"/>
        <v>1.45486214526246E-06i</v>
      </c>
      <c r="AH88" s="31">
        <f t="shared" si="109"/>
        <v>1.45486214526246E-6</v>
      </c>
      <c r="AI88" s="31">
        <f t="shared" si="110"/>
        <v>1.5707963267948966</v>
      </c>
      <c r="AJ88" s="31" t="str">
        <f t="shared" si="95"/>
        <v>1+0.0229676331247371i</v>
      </c>
      <c r="AK88" s="31">
        <f t="shared" si="111"/>
        <v>1.0002637213112113</v>
      </c>
      <c r="AL88" s="31">
        <f t="shared" si="112"/>
        <v>2.2963595833818656E-2</v>
      </c>
      <c r="AM88" s="31" t="str">
        <f t="shared" si="96"/>
        <v>1+0.14737564588373i</v>
      </c>
      <c r="AN88" s="31">
        <f t="shared" si="113"/>
        <v>1.0108014547870647</v>
      </c>
      <c r="AO88" s="31">
        <f t="shared" si="114"/>
        <v>0.14632235925898471</v>
      </c>
      <c r="AP88" s="58" t="str">
        <f t="shared" si="115"/>
        <v>-9.13299641165199+73.6601301785362i</v>
      </c>
      <c r="AQ88" s="49">
        <f t="shared" si="116"/>
        <v>37.410906200493301</v>
      </c>
      <c r="AR88" s="61">
        <f t="shared" si="117"/>
        <v>97.067936510214793</v>
      </c>
      <c r="AS88" s="58" t="str">
        <f t="shared" si="118"/>
        <v>6383.1150811077+1808.4715268724i</v>
      </c>
      <c r="AT88" s="64">
        <f t="shared" si="119"/>
        <v>76.435980164706393</v>
      </c>
      <c r="AU88" s="61">
        <f t="shared" si="120"/>
        <v>15.818547944461335</v>
      </c>
    </row>
    <row r="89" spans="14:47" x14ac:dyDescent="0.35">
      <c r="N89" s="10">
        <v>71</v>
      </c>
      <c r="O89" s="50">
        <f t="shared" si="97"/>
        <v>51.28613839913649</v>
      </c>
      <c r="P89" s="48" t="str">
        <f t="shared" si="88"/>
        <v>547.187404092767</v>
      </c>
      <c r="Q89" s="17" t="str">
        <f t="shared" si="89"/>
        <v>1+6.18003137620787i</v>
      </c>
      <c r="R89" s="17">
        <f t="shared" si="98"/>
        <v>6.2604143481812562</v>
      </c>
      <c r="S89" s="17">
        <f t="shared" si="99"/>
        <v>1.4103753054966732</v>
      </c>
      <c r="T89" s="17" t="str">
        <f t="shared" si="90"/>
        <v>1+0.000116938166770482i</v>
      </c>
      <c r="U89" s="17">
        <f t="shared" si="100"/>
        <v>1.0000000068372674</v>
      </c>
      <c r="V89" s="17">
        <f t="shared" si="101"/>
        <v>1.1693816623745698E-4</v>
      </c>
      <c r="W89" s="31" t="str">
        <f t="shared" si="91"/>
        <v>1-0.0020306602589117i</v>
      </c>
      <c r="X89" s="17">
        <f t="shared" si="102"/>
        <v>1.000002061788418</v>
      </c>
      <c r="Y89" s="17">
        <f t="shared" si="103"/>
        <v>-2.0306574677211929E-3</v>
      </c>
      <c r="Z89" s="31" t="str">
        <f t="shared" si="92"/>
        <v>0.99999913048992+0.00971603153633972i</v>
      </c>
      <c r="AA89" s="17">
        <f t="shared" si="104"/>
        <v>1.0000463300514686</v>
      </c>
      <c r="AB89" s="17">
        <f t="shared" si="105"/>
        <v>9.7157342658179269E-3</v>
      </c>
      <c r="AC89" s="66" t="str">
        <f t="shared" si="106"/>
        <v>12.9565226243625-86.4347817793005i</v>
      </c>
      <c r="AD89" s="64">
        <f t="shared" si="107"/>
        <v>38.830275829785123</v>
      </c>
      <c r="AE89" s="61">
        <f t="shared" si="108"/>
        <v>-81.474871141883256</v>
      </c>
      <c r="AF89" s="31" t="str">
        <f t="shared" si="93"/>
        <v>-0.000106860158311346</v>
      </c>
      <c r="AG89" s="31" t="str">
        <f t="shared" si="94"/>
        <v>1.48875023798162E-06i</v>
      </c>
      <c r="AH89" s="31">
        <f t="shared" si="109"/>
        <v>1.48875023798162E-6</v>
      </c>
      <c r="AI89" s="31">
        <f t="shared" si="110"/>
        <v>1.5707963267948966</v>
      </c>
      <c r="AJ89" s="31" t="str">
        <f t="shared" si="95"/>
        <v>1+0.0235026180258188i</v>
      </c>
      <c r="AK89" s="31">
        <f t="shared" si="111"/>
        <v>1.0002761483980649</v>
      </c>
      <c r="AL89" s="31">
        <f t="shared" si="112"/>
        <v>2.3498292055158927E-2</v>
      </c>
      <c r="AM89" s="31" t="str">
        <f t="shared" si="96"/>
        <v>1+0.15080846566567i</v>
      </c>
      <c r="AN89" s="31">
        <f t="shared" si="113"/>
        <v>1.0113076650141803</v>
      </c>
      <c r="AO89" s="31">
        <f t="shared" si="114"/>
        <v>0.14968052914840185</v>
      </c>
      <c r="AP89" s="58" t="str">
        <f t="shared" si="115"/>
        <v>-9.13276948264877+71.9930763885701i</v>
      </c>
      <c r="AQ89" s="49">
        <f t="shared" si="116"/>
        <v>37.215147101372239</v>
      </c>
      <c r="AR89" s="61">
        <f t="shared" si="117"/>
        <v>97.229709634961921</v>
      </c>
      <c r="AS89" s="58" t="str">
        <f t="shared" si="118"/>
        <v>6104.37691284154+1722.16886029937i</v>
      </c>
      <c r="AT89" s="64">
        <f t="shared" si="119"/>
        <v>76.045422931157361</v>
      </c>
      <c r="AU89" s="61">
        <f t="shared" si="120"/>
        <v>15.754838493078694</v>
      </c>
    </row>
    <row r="90" spans="14:47" x14ac:dyDescent="0.35">
      <c r="N90" s="10">
        <v>72</v>
      </c>
      <c r="O90" s="50">
        <f t="shared" si="97"/>
        <v>52.480746024977286</v>
      </c>
      <c r="P90" s="48" t="str">
        <f t="shared" si="88"/>
        <v>547.187404092767</v>
      </c>
      <c r="Q90" s="17" t="str">
        <f t="shared" si="89"/>
        <v>1+6.32398279934871i</v>
      </c>
      <c r="R90" s="17">
        <f t="shared" si="98"/>
        <v>6.4025587421325811</v>
      </c>
      <c r="S90" s="17">
        <f t="shared" si="99"/>
        <v>1.4139666762906171</v>
      </c>
      <c r="T90" s="17" t="str">
        <f t="shared" si="90"/>
        <v>1+0.000119662006586393i</v>
      </c>
      <c r="U90" s="17">
        <f t="shared" si="100"/>
        <v>1.0000000071594979</v>
      </c>
      <c r="V90" s="17">
        <f t="shared" si="101"/>
        <v>1.1966200601524641E-4</v>
      </c>
      <c r="W90" s="31" t="str">
        <f t="shared" si="91"/>
        <v>1-0.00207796041264737i</v>
      </c>
      <c r="X90" s="17">
        <f t="shared" si="102"/>
        <v>1.0000021589574077</v>
      </c>
      <c r="Y90" s="17">
        <f t="shared" si="103"/>
        <v>-2.077957421833206E-3</v>
      </c>
      <c r="Z90" s="31" t="str">
        <f t="shared" si="92"/>
        <v>0.999999089511172+0.00994234698391527i</v>
      </c>
      <c r="AA90" s="17">
        <f t="shared" si="104"/>
        <v>1.0000485134665826</v>
      </c>
      <c r="AB90" s="17">
        <f t="shared" si="105"/>
        <v>9.9420284536467767E-3</v>
      </c>
      <c r="AC90" s="66" t="str">
        <f t="shared" si="106"/>
        <v>12.3423325394758-84.5639505364468i</v>
      </c>
      <c r="AD90" s="64">
        <f t="shared" si="107"/>
        <v>38.635247840715401</v>
      </c>
      <c r="AE90" s="61">
        <f t="shared" si="108"/>
        <v>-81.696161256152166</v>
      </c>
      <c r="AF90" s="31" t="str">
        <f t="shared" si="93"/>
        <v>-0.000106860158311346</v>
      </c>
      <c r="AG90" s="31" t="str">
        <f t="shared" si="94"/>
        <v>0.0000015234276857829i</v>
      </c>
      <c r="AH90" s="31">
        <f t="shared" si="109"/>
        <v>1.5234276857828999E-6</v>
      </c>
      <c r="AI90" s="31">
        <f t="shared" si="110"/>
        <v>1.5707963267948966</v>
      </c>
      <c r="AJ90" s="31" t="str">
        <f t="shared" si="95"/>
        <v>1+0.0240500643260718i</v>
      </c>
      <c r="AK90" s="31">
        <f t="shared" si="111"/>
        <v>1.0002891609900051</v>
      </c>
      <c r="AL90" s="31">
        <f t="shared" si="112"/>
        <v>2.4045429037363519E-2</v>
      </c>
      <c r="AM90" s="31" t="str">
        <f t="shared" si="96"/>
        <v>1+0.154321246092294i</v>
      </c>
      <c r="AN90" s="31">
        <f t="shared" si="113"/>
        <v>1.0118374607591272</v>
      </c>
      <c r="AO90" s="31">
        <f t="shared" si="114"/>
        <v>0.15311340268083334</v>
      </c>
      <c r="AP90" s="58" t="str">
        <f t="shared" si="115"/>
        <v>-9.13253187089774+70.3641937780901i</v>
      </c>
      <c r="AQ90" s="49">
        <f t="shared" si="116"/>
        <v>37.01958321007244</v>
      </c>
      <c r="AR90" s="61">
        <f t="shared" si="117"/>
        <v>97.395050160076565</v>
      </c>
      <c r="AS90" s="58" t="str">
        <f t="shared" si="118"/>
        <v>5837.55745690939+1640.74125188442i</v>
      </c>
      <c r="AT90" s="64">
        <f t="shared" si="119"/>
        <v>75.654831050787848</v>
      </c>
      <c r="AU90" s="61">
        <f t="shared" si="120"/>
        <v>15.698888903924379</v>
      </c>
    </row>
    <row r="91" spans="14:47" x14ac:dyDescent="0.35">
      <c r="N91" s="10">
        <v>73</v>
      </c>
      <c r="O91" s="50">
        <f t="shared" si="97"/>
        <v>53.703179637025293</v>
      </c>
      <c r="P91" s="48" t="str">
        <f t="shared" si="88"/>
        <v>547.187404092767</v>
      </c>
      <c r="Q91" s="17" t="str">
        <f t="shared" si="89"/>
        <v>1+6.47128728187755i</v>
      </c>
      <c r="R91" s="17">
        <f t="shared" si="98"/>
        <v>6.5480958365459303</v>
      </c>
      <c r="S91" s="17">
        <f t="shared" si="99"/>
        <v>1.417480243437204</v>
      </c>
      <c r="T91" s="17" t="str">
        <f t="shared" si="90"/>
        <v>1+0.000122449292782109i</v>
      </c>
      <c r="U91" s="17">
        <f t="shared" si="100"/>
        <v>1.0000000074969146</v>
      </c>
      <c r="V91" s="17">
        <f t="shared" si="101"/>
        <v>1.2244929217011442E-4</v>
      </c>
      <c r="W91" s="31" t="str">
        <f t="shared" si="91"/>
        <v>1-0.00212636232849887i</v>
      </c>
      <c r="X91" s="17">
        <f t="shared" si="102"/>
        <v>1.0000022607058208</v>
      </c>
      <c r="Y91" s="17">
        <f t="shared" si="103"/>
        <v>-2.1263591237841465E-3</v>
      </c>
      <c r="Z91" s="31" t="str">
        <f t="shared" si="92"/>
        <v>0.999999046601156+0.0101739339954642i</v>
      </c>
      <c r="AA91" s="17">
        <f t="shared" si="104"/>
        <v>1.0000507997777737</v>
      </c>
      <c r="AB91" s="17">
        <f t="shared" si="105"/>
        <v>1.0173592685068501E-2</v>
      </c>
      <c r="AC91" s="66" t="str">
        <f t="shared" si="106"/>
        <v>11.7544661857728-82.7294154781177i</v>
      </c>
      <c r="AD91" s="64">
        <f t="shared" si="107"/>
        <v>38.43999976357599</v>
      </c>
      <c r="AE91" s="61">
        <f t="shared" si="108"/>
        <v>-81.913354991344121</v>
      </c>
      <c r="AF91" s="31" t="str">
        <f t="shared" si="93"/>
        <v>-0.000106860158311346</v>
      </c>
      <c r="AG91" s="31" t="str">
        <f t="shared" si="94"/>
        <v>1.55891287510813E-06i</v>
      </c>
      <c r="AH91" s="31">
        <f t="shared" si="109"/>
        <v>1.5589128751081299E-6</v>
      </c>
      <c r="AI91" s="31">
        <f t="shared" si="110"/>
        <v>1.5707963267948966</v>
      </c>
      <c r="AJ91" s="31" t="str">
        <f t="shared" si="95"/>
        <v>1+0.0246102622887706i</v>
      </c>
      <c r="AK91" s="31">
        <f t="shared" si="111"/>
        <v>1.0003027866650787</v>
      </c>
      <c r="AL91" s="31">
        <f t="shared" si="112"/>
        <v>2.4605295568629094E-2</v>
      </c>
      <c r="AM91" s="31" t="str">
        <f t="shared" si="96"/>
        <v>1+0.157915849686277i</v>
      </c>
      <c r="AN91" s="31">
        <f t="shared" si="113"/>
        <v>1.0123919278531111</v>
      </c>
      <c r="AO91" s="31">
        <f t="shared" si="114"/>
        <v>0.15662247620351577</v>
      </c>
      <c r="AP91" s="58" t="str">
        <f t="shared" si="115"/>
        <v>-9.13228307410127+68.7726186560755i</v>
      </c>
      <c r="AQ91" s="49">
        <f t="shared" si="116"/>
        <v>36.824223287603573</v>
      </c>
      <c r="AR91" s="61">
        <f t="shared" si="117"/>
        <v>97.564027273595215</v>
      </c>
      <c r="AS91" s="58" t="str">
        <f t="shared" si="118"/>
        <v>5582.17342972319+1563.89386120099i</v>
      </c>
      <c r="AT91" s="64">
        <f t="shared" si="119"/>
        <v>75.264223051179556</v>
      </c>
      <c r="AU91" s="61">
        <f t="shared" si="120"/>
        <v>15.650672282251069</v>
      </c>
    </row>
    <row r="92" spans="14:47" x14ac:dyDescent="0.35">
      <c r="N92" s="10">
        <v>74</v>
      </c>
      <c r="O92" s="50">
        <f t="shared" si="97"/>
        <v>54.95408738576247</v>
      </c>
      <c r="P92" s="48" t="str">
        <f t="shared" si="88"/>
        <v>547.187404092767</v>
      </c>
      <c r="Q92" s="17" t="str">
        <f t="shared" si="89"/>
        <v>1+6.62202292658087i</v>
      </c>
      <c r="R92" s="17">
        <f t="shared" si="98"/>
        <v>6.6971029288911685</v>
      </c>
      <c r="S92" s="17">
        <f t="shared" si="99"/>
        <v>1.4209175226941035</v>
      </c>
      <c r="T92" s="17" t="str">
        <f t="shared" si="90"/>
        <v>1+0.000125301503213667i</v>
      </c>
      <c r="U92" s="17">
        <f t="shared" si="100"/>
        <v>1.0000000078502334</v>
      </c>
      <c r="V92" s="17">
        <f t="shared" si="101"/>
        <v>1.2530150255790298E-4</v>
      </c>
      <c r="W92" s="31" t="str">
        <f t="shared" si="91"/>
        <v>1-0.00217589166980269i</v>
      </c>
      <c r="X92" s="17">
        <f t="shared" si="102"/>
        <v>1.0000023672494773</v>
      </c>
      <c r="Y92" s="17">
        <f t="shared" si="103"/>
        <v>-2.1758882358894347E-3</v>
      </c>
      <c r="Z92" s="31" t="str">
        <f t="shared" si="92"/>
        <v>0.999999001668853+0.0104109153614854i</v>
      </c>
      <c r="AA92" s="17">
        <f t="shared" si="104"/>
        <v>1.0000531938338915</v>
      </c>
      <c r="AB92" s="17">
        <f t="shared" si="105"/>
        <v>1.0410549641857864E-2</v>
      </c>
      <c r="AC92" s="66" t="str">
        <f t="shared" si="106"/>
        <v>11.1918509710334-80.9307476388906i</v>
      </c>
      <c r="AD92" s="64">
        <f t="shared" si="107"/>
        <v>38.244540964580395</v>
      </c>
      <c r="AE92" s="61">
        <f t="shared" si="108"/>
        <v>-82.126547608791782</v>
      </c>
      <c r="AF92" s="31" t="str">
        <f t="shared" si="93"/>
        <v>-0.000106860158311346</v>
      </c>
      <c r="AG92" s="31" t="str">
        <f t="shared" si="94"/>
        <v>1.59522462067439E-06i</v>
      </c>
      <c r="AH92" s="31">
        <f t="shared" si="109"/>
        <v>1.59522462067439E-6</v>
      </c>
      <c r="AI92" s="31">
        <f t="shared" si="110"/>
        <v>1.5707963267948966</v>
      </c>
      <c r="AJ92" s="31" t="str">
        <f t="shared" si="95"/>
        <v>1+0.0251835089382903i</v>
      </c>
      <c r="AK92" s="31">
        <f t="shared" si="111"/>
        <v>1.0003170542995081</v>
      </c>
      <c r="AL92" s="31">
        <f t="shared" si="112"/>
        <v>2.5178187092873366E-2</v>
      </c>
      <c r="AM92" s="31" t="str">
        <f t="shared" si="96"/>
        <v>1+0.161594182354029i</v>
      </c>
      <c r="AN92" s="31">
        <f t="shared" si="113"/>
        <v>1.012972200887402</v>
      </c>
      <c r="AO92" s="31">
        <f t="shared" si="114"/>
        <v>0.16020926442185601</v>
      </c>
      <c r="AP92" s="58" t="str">
        <f t="shared" si="115"/>
        <v>-9.13202256640204+67.2175071098667i</v>
      </c>
      <c r="AQ92" s="49">
        <f t="shared" si="116"/>
        <v>36.629076467075919</v>
      </c>
      <c r="AR92" s="61">
        <f t="shared" si="117"/>
        <v>97.736710834055344</v>
      </c>
      <c r="AS92" s="58" t="str">
        <f t="shared" si="118"/>
        <v>5337.75886919667+1491.34973597214i</v>
      </c>
      <c r="AT92" s="64">
        <f t="shared" si="119"/>
        <v>74.873617431656314</v>
      </c>
      <c r="AU92" s="61">
        <f t="shared" si="120"/>
        <v>15.610163225263531</v>
      </c>
    </row>
    <row r="93" spans="14:47" x14ac:dyDescent="0.35">
      <c r="N93" s="10">
        <v>75</v>
      </c>
      <c r="O93" s="50">
        <f t="shared" si="97"/>
        <v>56.234132519034915</v>
      </c>
      <c r="P93" s="48" t="str">
        <f t="shared" si="88"/>
        <v>547.187404092767</v>
      </c>
      <c r="Q93" s="17" t="str">
        <f t="shared" si="89"/>
        <v>1+6.77626965549269i</v>
      </c>
      <c r="R93" s="17">
        <f t="shared" si="98"/>
        <v>6.849659148012476</v>
      </c>
      <c r="S93" s="17">
        <f t="shared" si="99"/>
        <v>1.4242800114962606</v>
      </c>
      <c r="T93" s="17" t="str">
        <f t="shared" si="90"/>
        <v>1+0.000128220150160789i</v>
      </c>
      <c r="U93" s="17">
        <f t="shared" si="100"/>
        <v>1.0000000082202034</v>
      </c>
      <c r="V93" s="17">
        <f t="shared" si="101"/>
        <v>1.282201494581252E-4</v>
      </c>
      <c r="W93" s="31" t="str">
        <f t="shared" si="91"/>
        <v>1-0.00222657469767116i</v>
      </c>
      <c r="X93" s="17">
        <f t="shared" si="102"/>
        <v>1.00000247881437</v>
      </c>
      <c r="Y93" s="17">
        <f t="shared" si="103"/>
        <v>-2.2265710181673067E-3</v>
      </c>
      <c r="Z93" s="31" t="str">
        <f t="shared" si="92"/>
        <v>0.999998954618955+0.0106534167326361i</v>
      </c>
      <c r="AA93" s="17">
        <f t="shared" si="104"/>
        <v>1.0000557007122564</v>
      </c>
      <c r="AB93" s="17">
        <f t="shared" si="105"/>
        <v>1.0653024858173607E-2</v>
      </c>
      <c r="AC93" s="66" t="str">
        <f t="shared" si="106"/>
        <v>10.6534532085764-79.1675035411548i</v>
      </c>
      <c r="AD93" s="64">
        <f t="shared" si="107"/>
        <v>38.048880423869136</v>
      </c>
      <c r="AE93" s="61">
        <f t="shared" si="108"/>
        <v>-82.335833515716061</v>
      </c>
      <c r="AF93" s="31" t="str">
        <f t="shared" si="93"/>
        <v>-0.000106860158311346</v>
      </c>
      <c r="AG93" s="31" t="str">
        <f t="shared" si="94"/>
        <v>1.63238217544983E-06i</v>
      </c>
      <c r="AH93" s="31">
        <f t="shared" si="109"/>
        <v>1.63238217544983E-6</v>
      </c>
      <c r="AI93" s="31">
        <f t="shared" si="110"/>
        <v>1.5707963267948966</v>
      </c>
      <c r="AJ93" s="31" t="str">
        <f t="shared" si="95"/>
        <v>1+0.0257701082175921i</v>
      </c>
      <c r="AK93" s="31">
        <f t="shared" si="111"/>
        <v>1.0003319941287223</v>
      </c>
      <c r="AL93" s="31">
        <f t="shared" si="112"/>
        <v>2.5764405859698192E-2</v>
      </c>
      <c r="AM93" s="31" t="str">
        <f t="shared" si="96"/>
        <v>1+0.165358194396216i</v>
      </c>
      <c r="AN93" s="31">
        <f t="shared" si="113"/>
        <v>1.0135794652882313</v>
      </c>
      <c r="AO93" s="31">
        <f t="shared" si="114"/>
        <v>0.16387529975645798</v>
      </c>
      <c r="AP93" s="58" t="str">
        <f t="shared" si="115"/>
        <v>-9.1317497972823+65.6980345575292i</v>
      </c>
      <c r="AQ93" s="49">
        <f t="shared" si="116"/>
        <v>36.434152267522677</v>
      </c>
      <c r="AR93" s="61">
        <f t="shared" si="117"/>
        <v>97.913171325063459</v>
      </c>
      <c r="AS93" s="58" t="str">
        <f t="shared" si="118"/>
        <v>5103.86471430233+1422.84877146736i</v>
      </c>
      <c r="AT93" s="64">
        <f t="shared" si="119"/>
        <v>74.483032691391813</v>
      </c>
      <c r="AU93" s="61">
        <f t="shared" si="120"/>
        <v>15.577337809347416</v>
      </c>
    </row>
    <row r="94" spans="14:47" x14ac:dyDescent="0.35">
      <c r="N94" s="10">
        <v>76</v>
      </c>
      <c r="O94" s="50">
        <f t="shared" si="97"/>
        <v>57.543993733715695</v>
      </c>
      <c r="P94" s="48" t="str">
        <f t="shared" si="88"/>
        <v>547.187404092767</v>
      </c>
      <c r="Q94" s="17" t="str">
        <f t="shared" si="89"/>
        <v>1+6.9341092522704i</v>
      </c>
      <c r="R94" s="17">
        <f t="shared" si="98"/>
        <v>7.0058454966136647</v>
      </c>
      <c r="S94" s="17">
        <f t="shared" si="99"/>
        <v>1.4275691883829369</v>
      </c>
      <c r="T94" s="17" t="str">
        <f t="shared" si="90"/>
        <v>1+0.000131206781128722i</v>
      </c>
      <c r="U94" s="17">
        <f t="shared" si="100"/>
        <v>1.0000000086076097</v>
      </c>
      <c r="V94" s="17">
        <f t="shared" si="101"/>
        <v>1.3120678037580418E-4</v>
      </c>
      <c r="W94" s="31" t="str">
        <f t="shared" si="91"/>
        <v>1-0.00227843828491653i</v>
      </c>
      <c r="X94" s="17">
        <f t="shared" si="102"/>
        <v>1.0000025956371403</v>
      </c>
      <c r="Y94" s="17">
        <f t="shared" si="103"/>
        <v>-2.2784343422576703E-3</v>
      </c>
      <c r="Z94" s="31" t="str">
        <f t="shared" si="92"/>
        <v>0.999998905351664+0.010901566686353i</v>
      </c>
      <c r="AA94" s="17">
        <f t="shared" si="104"/>
        <v>1.0000583257294264</v>
      </c>
      <c r="AB94" s="17">
        <f t="shared" si="105"/>
        <v>1.0901146786623741E-2</v>
      </c>
      <c r="AC94" s="66" t="str">
        <f t="shared" si="106"/>
        <v>10.1382771288925-77.4392269121519i</v>
      </c>
      <c r="AD94" s="64">
        <f t="shared" si="107"/>
        <v>37.853026749433724</v>
      </c>
      <c r="AE94" s="61">
        <f t="shared" si="108"/>
        <v>-82.541306236934801</v>
      </c>
      <c r="AF94" s="31" t="str">
        <f t="shared" si="93"/>
        <v>-0.000106860158311346</v>
      </c>
      <c r="AG94" s="31" t="str">
        <f t="shared" si="94"/>
        <v>1.67040524086182E-06i</v>
      </c>
      <c r="AH94" s="31">
        <f t="shared" si="109"/>
        <v>1.6704052408618199E-6</v>
      </c>
      <c r="AI94" s="31">
        <f t="shared" si="110"/>
        <v>1.5707963267948966</v>
      </c>
      <c r="AJ94" s="31" t="str">
        <f t="shared" si="95"/>
        <v>1+0.0263703711493787i</v>
      </c>
      <c r="AK94" s="31">
        <f t="shared" si="111"/>
        <v>1.0003476378112541</v>
      </c>
      <c r="AL94" s="31">
        <f t="shared" si="112"/>
        <v>2.6364261077486302E-2</v>
      </c>
      <c r="AM94" s="31" t="str">
        <f t="shared" si="96"/>
        <v>1+0.169209881541847i</v>
      </c>
      <c r="AN94" s="31">
        <f t="shared" si="113"/>
        <v>1.0142149594693455</v>
      </c>
      <c r="AO94" s="31">
        <f t="shared" si="114"/>
        <v>0.16762213162114864</v>
      </c>
      <c r="AP94" s="58" t="str">
        <f t="shared" si="115"/>
        <v>-9.13146419041451+64.2133953104553i</v>
      </c>
      <c r="AQ94" s="49">
        <f t="shared" si="116"/>
        <v>36.239460608046812</v>
      </c>
      <c r="AR94" s="61">
        <f t="shared" si="117"/>
        <v>98.093479805157202</v>
      </c>
      <c r="AS94" s="58" t="str">
        <f t="shared" si="118"/>
        <v>4880.05837569108+1358.14672452622i</v>
      </c>
      <c r="AT94" s="64">
        <f t="shared" si="119"/>
        <v>74.092487357480536</v>
      </c>
      <c r="AU94" s="61">
        <f t="shared" si="120"/>
        <v>15.552173568222383</v>
      </c>
    </row>
    <row r="95" spans="14:47" x14ac:dyDescent="0.35">
      <c r="N95" s="10">
        <v>77</v>
      </c>
      <c r="O95" s="50">
        <f t="shared" si="97"/>
        <v>58.884365535558949</v>
      </c>
      <c r="P95" s="48" t="str">
        <f t="shared" si="88"/>
        <v>547.187404092767</v>
      </c>
      <c r="Q95" s="17" t="str">
        <f t="shared" si="89"/>
        <v>1+7.09562540555744i</v>
      </c>
      <c r="R95" s="17">
        <f t="shared" si="98"/>
        <v>7.1657448947050986</v>
      </c>
      <c r="S95" s="17">
        <f t="shared" si="99"/>
        <v>1.4307865124945813</v>
      </c>
      <c r="T95" s="17" t="str">
        <f t="shared" si="90"/>
        <v>1+0.000134262979668736i</v>
      </c>
      <c r="U95" s="17">
        <f t="shared" si="100"/>
        <v>1.0000000090132739</v>
      </c>
      <c r="V95" s="17">
        <f t="shared" si="101"/>
        <v>1.3426297886197001E-4</v>
      </c>
      <c r="W95" s="31" t="str">
        <f t="shared" si="91"/>
        <v>1-0.00233150993029927i</v>
      </c>
      <c r="X95" s="17">
        <f t="shared" si="102"/>
        <v>1.0000027179655839</v>
      </c>
      <c r="Y95" s="17">
        <f t="shared" si="103"/>
        <v>-2.3315057056648085E-3</v>
      </c>
      <c r="Z95" s="31" t="str">
        <f t="shared" si="92"/>
        <v>0.999998853762478+0.0111554967950264i</v>
      </c>
      <c r="AA95" s="17">
        <f t="shared" si="104"/>
        <v>1.0000610744524625</v>
      </c>
      <c r="AB95" s="17">
        <f t="shared" si="105"/>
        <v>1.1155046865844115E-2</v>
      </c>
      <c r="AC95" s="66" t="str">
        <f t="shared" si="106"/>
        <v>9.64536387624102-75.7454502929239i</v>
      </c>
      <c r="AD95" s="64">
        <f t="shared" si="107"/>
        <v>37.656988190673658</v>
      </c>
      <c r="AE95" s="61">
        <f t="shared" si="108"/>
        <v>-82.743058390676651</v>
      </c>
      <c r="AF95" s="31" t="str">
        <f t="shared" si="93"/>
        <v>-0.000106860158311346</v>
      </c>
      <c r="AG95" s="31" t="str">
        <f t="shared" si="94"/>
        <v>1.70931397724295E-06i</v>
      </c>
      <c r="AH95" s="31">
        <f t="shared" si="109"/>
        <v>1.7093139772429501E-6</v>
      </c>
      <c r="AI95" s="31">
        <f t="shared" si="110"/>
        <v>1.5707963267948966</v>
      </c>
      <c r="AJ95" s="31" t="str">
        <f t="shared" si="95"/>
        <v>1+0.0269846160010018i</v>
      </c>
      <c r="AK95" s="31">
        <f t="shared" si="111"/>
        <v>1.0003640184956282</v>
      </c>
      <c r="AL95" s="31">
        <f t="shared" si="112"/>
        <v>2.6978069069675741E-2</v>
      </c>
      <c r="AM95" s="31" t="str">
        <f t="shared" si="96"/>
        <v>1+0.173151286006428i</v>
      </c>
      <c r="AN95" s="31">
        <f t="shared" si="113"/>
        <v>1.0148799770641255</v>
      </c>
      <c r="AO95" s="31">
        <f t="shared" si="114"/>
        <v>0.17145132561692783</v>
      </c>
      <c r="AP95" s="58" t="str">
        <f t="shared" si="115"/>
        <v>-9.13116514245721+62.7628021459649i</v>
      </c>
      <c r="AQ95" s="49">
        <f t="shared" si="116"/>
        <v>36.045011822279747</v>
      </c>
      <c r="AR95" s="61">
        <f t="shared" si="117"/>
        <v>98.277707852668328</v>
      </c>
      <c r="AS95" s="58" t="str">
        <f t="shared" si="118"/>
        <v>4665.92329977875+1297.01428000482i</v>
      </c>
      <c r="AT95" s="64">
        <f t="shared" si="119"/>
        <v>73.702000012953405</v>
      </c>
      <c r="AU95" s="61">
        <f t="shared" si="120"/>
        <v>15.534649461991638</v>
      </c>
    </row>
    <row r="96" spans="14:47" x14ac:dyDescent="0.35">
      <c r="N96" s="10">
        <v>78</v>
      </c>
      <c r="O96" s="50">
        <f t="shared" si="97"/>
        <v>60.255958607435822</v>
      </c>
      <c r="P96" s="48" t="str">
        <f t="shared" si="88"/>
        <v>547.187404092767</v>
      </c>
      <c r="Q96" s="17" t="str">
        <f t="shared" si="89"/>
        <v>1+7.26090375335621i</v>
      </c>
      <c r="R96" s="17">
        <f t="shared" si="98"/>
        <v>7.3294422240373995</v>
      </c>
      <c r="S96" s="17">
        <f t="shared" si="99"/>
        <v>1.4339334231350991</v>
      </c>
      <c r="T96" s="17" t="str">
        <f t="shared" si="90"/>
        <v>1+0.00013739036621775i</v>
      </c>
      <c r="U96" s="17">
        <f t="shared" si="100"/>
        <v>1.0000000094380563</v>
      </c>
      <c r="V96" s="17">
        <f t="shared" si="101"/>
        <v>1.3739036535328466E-4</v>
      </c>
      <c r="W96" s="31" t="str">
        <f t="shared" si="91"/>
        <v>1-0.00238581777310823i</v>
      </c>
      <c r="X96" s="17">
        <f t="shared" si="102"/>
        <v>1.0000028460591732</v>
      </c>
      <c r="Y96" s="17">
        <f t="shared" si="103"/>
        <v>-2.3858132463315425E-3</v>
      </c>
      <c r="Z96" s="31" t="str">
        <f t="shared" si="92"/>
        <v>0.999998799741968+0.0114153416957609i</v>
      </c>
      <c r="AA96" s="17">
        <f t="shared" si="104"/>
        <v>1.0000639527107291</v>
      </c>
      <c r="AB96" s="17">
        <f t="shared" si="105"/>
        <v>1.1414859589621029E-2</v>
      </c>
      <c r="AC96" s="66" t="str">
        <f t="shared" si="106"/>
        <v>9.1737904952087-74.0856965439172i</v>
      </c>
      <c r="AD96" s="64">
        <f t="shared" si="107"/>
        <v>37.460772651580193</v>
      </c>
      <c r="AE96" s="61">
        <f t="shared" si="108"/>
        <v>-82.941181668248433</v>
      </c>
      <c r="AF96" s="31" t="str">
        <f t="shared" si="93"/>
        <v>-0.000106860158311346</v>
      </c>
      <c r="AG96" s="31" t="str">
        <f t="shared" si="94"/>
        <v>1.74912901452025E-06i</v>
      </c>
      <c r="AH96" s="31">
        <f t="shared" si="109"/>
        <v>1.7491290145202501E-6</v>
      </c>
      <c r="AI96" s="31">
        <f t="shared" si="110"/>
        <v>1.5707963267948966</v>
      </c>
      <c r="AJ96" s="31" t="str">
        <f t="shared" si="95"/>
        <v>1+0.0276131684532123i</v>
      </c>
      <c r="AK96" s="31">
        <f t="shared" si="111"/>
        <v>1.0003811708903889</v>
      </c>
      <c r="AL96" s="31">
        <f t="shared" si="112"/>
        <v>2.7606153434261756E-2</v>
      </c>
      <c r="AM96" s="31" t="str">
        <f t="shared" si="96"/>
        <v>1+0.177184497574778i</v>
      </c>
      <c r="AN96" s="31">
        <f t="shared" si="113"/>
        <v>1.0155758692391359</v>
      </c>
      <c r="AO96" s="31">
        <f t="shared" si="114"/>
        <v>0.17536446263664823</v>
      </c>
      <c r="AP96" s="58" t="str">
        <f t="shared" si="115"/>
        <v>-9.1308520217968+61.3454858896887i</v>
      </c>
      <c r="AQ96" s="49">
        <f t="shared" si="116"/>
        <v>35.85081667313878</v>
      </c>
      <c r="AR96" s="61">
        <f t="shared" si="117"/>
        <v>98.465927505285762</v>
      </c>
      <c r="AS96" s="58" t="str">
        <f t="shared" si="118"/>
        <v>4461.05852847191+1239.23616745304i</v>
      </c>
      <c r="AT96" s="64">
        <f t="shared" si="119"/>
        <v>73.311589324718966</v>
      </c>
      <c r="AU96" s="61">
        <f t="shared" si="120"/>
        <v>15.524745837037404</v>
      </c>
    </row>
    <row r="97" spans="14:47" x14ac:dyDescent="0.35">
      <c r="N97" s="10">
        <v>79</v>
      </c>
      <c r="O97" s="50">
        <f t="shared" si="97"/>
        <v>61.659500186148257</v>
      </c>
      <c r="P97" s="48" t="str">
        <f t="shared" si="88"/>
        <v>547.187404092767</v>
      </c>
      <c r="Q97" s="17" t="str">
        <f t="shared" si="89"/>
        <v>1+7.43003192843444i</v>
      </c>
      <c r="R97" s="17">
        <f t="shared" si="98"/>
        <v>7.4970243735468278</v>
      </c>
      <c r="S97" s="17">
        <f t="shared" si="99"/>
        <v>1.4370113393952704</v>
      </c>
      <c r="T97" s="17" t="str">
        <f t="shared" si="90"/>
        <v>1+0.000140590598957511i</v>
      </c>
      <c r="U97" s="17">
        <f t="shared" si="100"/>
        <v>1.0000000098828583</v>
      </c>
      <c r="V97" s="17">
        <f t="shared" si="101"/>
        <v>1.4059059803121971E-4</v>
      </c>
      <c r="W97" s="31" t="str">
        <f t="shared" si="91"/>
        <v>1-0.00244139060808053i</v>
      </c>
      <c r="X97" s="17">
        <f t="shared" si="102"/>
        <v>1.00000298018961</v>
      </c>
      <c r="Y97" s="17">
        <f t="shared" si="103"/>
        <v>-2.4413857575526993E-3</v>
      </c>
      <c r="Z97" s="31" t="str">
        <f t="shared" si="92"/>
        <v>0.999998743175549+0.0116812391617625i</v>
      </c>
      <c r="AA97" s="17">
        <f t="shared" si="104"/>
        <v>1.0000669666082527</v>
      </c>
      <c r="AB97" s="17">
        <f t="shared" si="105"/>
        <v>1.1680722577594537E-2</v>
      </c>
      <c r="AC97" s="66" t="str">
        <f t="shared" si="106"/>
        <v>8.7226689117358-72.4594802519658i</v>
      </c>
      <c r="AD97" s="64">
        <f t="shared" si="107"/>
        <v>37.264387703545268</v>
      </c>
      <c r="AE97" s="61">
        <f t="shared" si="108"/>
        <v>-83.135766817314561</v>
      </c>
      <c r="AF97" s="31" t="str">
        <f t="shared" si="93"/>
        <v>-0.000106860158311346</v>
      </c>
      <c r="AG97" s="31" t="str">
        <f t="shared" si="94"/>
        <v>1.78987146315351E-06i</v>
      </c>
      <c r="AH97" s="31">
        <f t="shared" si="109"/>
        <v>1.78987146315351E-6</v>
      </c>
      <c r="AI97" s="31">
        <f t="shared" si="110"/>
        <v>1.5707963267948966</v>
      </c>
      <c r="AJ97" s="31" t="str">
        <f t="shared" si="95"/>
        <v>1+0.0282563617728401i</v>
      </c>
      <c r="AK97" s="31">
        <f t="shared" si="111"/>
        <v>1.0003991313374065</v>
      </c>
      <c r="AL97" s="31">
        <f t="shared" si="112"/>
        <v>2.8248845206569277E-2</v>
      </c>
      <c r="AM97" s="31" t="str">
        <f t="shared" si="96"/>
        <v>1+0.181311654709057i</v>
      </c>
      <c r="AN97" s="31">
        <f t="shared" si="113"/>
        <v>1.0163040470908971</v>
      </c>
      <c r="AO97" s="31">
        <f t="shared" si="114"/>
        <v>0.17936313787498284</v>
      </c>
      <c r="AP97" s="58" t="str">
        <f t="shared" si="115"/>
        <v>-9.13052416723019+59.9606950074981i</v>
      </c>
      <c r="AQ97" s="49">
        <f t="shared" si="116"/>
        <v>35.656886367864104</v>
      </c>
      <c r="AR97" s="61">
        <f t="shared" si="117"/>
        <v>98.658211194004821</v>
      </c>
      <c r="AS97" s="58" t="str">
        <f t="shared" si="118"/>
        <v>4265.0782564886+1184.61032585349i</v>
      </c>
      <c r="AT97" s="64">
        <f t="shared" si="119"/>
        <v>72.921274071409371</v>
      </c>
      <c r="AU97" s="61">
        <f t="shared" si="120"/>
        <v>15.5224443766903</v>
      </c>
    </row>
    <row r="98" spans="14:47" x14ac:dyDescent="0.35">
      <c r="N98" s="10">
        <v>80</v>
      </c>
      <c r="O98" s="50">
        <f t="shared" si="97"/>
        <v>63.095734448019364</v>
      </c>
      <c r="P98" s="48" t="str">
        <f t="shared" si="88"/>
        <v>547.187404092767</v>
      </c>
      <c r="Q98" s="17" t="str">
        <f t="shared" si="89"/>
        <v>1+7.60309960478921i</v>
      </c>
      <c r="R98" s="17">
        <f t="shared" si="98"/>
        <v>7.6685802858381704</v>
      </c>
      <c r="S98" s="17">
        <f t="shared" si="99"/>
        <v>1.4400216598332771</v>
      </c>
      <c r="T98" s="17" t="str">
        <f t="shared" si="90"/>
        <v>1+0.000143865374693774i</v>
      </c>
      <c r="U98" s="17">
        <f t="shared" si="100"/>
        <v>1.0000000103486231</v>
      </c>
      <c r="V98" s="17">
        <f t="shared" si="101"/>
        <v>1.4386537370123499E-4</v>
      </c>
      <c r="W98" s="31" t="str">
        <f t="shared" si="91"/>
        <v>1-0.00249825790066885i</v>
      </c>
      <c r="X98" s="17">
        <f t="shared" si="102"/>
        <v>1.0000031206414</v>
      </c>
      <c r="Y98" s="17">
        <f t="shared" si="103"/>
        <v>-2.4982527032355152E-3</v>
      </c>
      <c r="Z98" s="31" t="str">
        <f t="shared" si="92"/>
        <v>0.999998683943238+0.011953330175387i</v>
      </c>
      <c r="AA98" s="17">
        <f t="shared" si="104"/>
        <v>1.0000701225366597</v>
      </c>
      <c r="AB98" s="17">
        <f t="shared" si="105"/>
        <v>1.1952776647574239E-2</v>
      </c>
      <c r="AC98" s="66" t="str">
        <f t="shared" si="106"/>
        <v>8.29114491264626-70.8663090432924i</v>
      </c>
      <c r="AD98" s="64">
        <f t="shared" si="107"/>
        <v>37.06784059779315</v>
      </c>
      <c r="AE98" s="61">
        <f t="shared" si="108"/>
        <v>-83.326903628560203</v>
      </c>
      <c r="AF98" s="31" t="str">
        <f t="shared" si="93"/>
        <v>-0.000106860158311346</v>
      </c>
      <c r="AG98" s="31" t="str">
        <f t="shared" si="94"/>
        <v>1.83156292532829E-06i</v>
      </c>
      <c r="AH98" s="31">
        <f t="shared" si="109"/>
        <v>1.8315629253282899E-6</v>
      </c>
      <c r="AI98" s="31">
        <f t="shared" si="110"/>
        <v>1.5707963267948966</v>
      </c>
      <c r="AJ98" s="31" t="str">
        <f t="shared" si="95"/>
        <v>1+0.0289145369894971i</v>
      </c>
      <c r="AK98" s="31">
        <f t="shared" si="111"/>
        <v>1.0004179378886191</v>
      </c>
      <c r="AL98" s="31">
        <f t="shared" si="112"/>
        <v>2.8906483025342829E-2</v>
      </c>
      <c r="AM98" s="31" t="str">
        <f t="shared" si="96"/>
        <v>1+0.185534945682606i</v>
      </c>
      <c r="AN98" s="31">
        <f t="shared" si="113"/>
        <v>1.017065984127602</v>
      </c>
      <c r="AO98" s="31">
        <f t="shared" si="114"/>
        <v>0.18344895973808481</v>
      </c>
      <c r="AP98" s="58" t="str">
        <f t="shared" si="115"/>
        <v>-9.13018088658746+58.6076952067765i</v>
      </c>
      <c r="AQ98" s="49">
        <f t="shared" si="116"/>
        <v>35.463232573316567</v>
      </c>
      <c r="AR98" s="61">
        <f t="shared" si="117"/>
        <v>98.854631671138918</v>
      </c>
      <c r="AS98" s="58" t="str">
        <f t="shared" si="118"/>
        <v>4077.61138802914+1132.94711428566i</v>
      </c>
      <c r="AT98" s="64">
        <f t="shared" si="119"/>
        <v>72.531073171109711</v>
      </c>
      <c r="AU98" s="61">
        <f t="shared" si="120"/>
        <v>15.527728042578778</v>
      </c>
    </row>
    <row r="99" spans="14:47" x14ac:dyDescent="0.35">
      <c r="N99" s="10">
        <v>81</v>
      </c>
      <c r="O99" s="50">
        <f t="shared" si="97"/>
        <v>64.565422903465588</v>
      </c>
      <c r="P99" s="48" t="str">
        <f t="shared" si="88"/>
        <v>547.187404092767</v>
      </c>
      <c r="Q99" s="17" t="str">
        <f t="shared" si="89"/>
        <v>1+7.78019854519336i</v>
      </c>
      <c r="R99" s="17">
        <f t="shared" si="98"/>
        <v>7.8442010047313859</v>
      </c>
      <c r="S99" s="17">
        <f t="shared" si="99"/>
        <v>1.4429657622084897</v>
      </c>
      <c r="T99" s="17" t="str">
        <f t="shared" si="90"/>
        <v>1+0.000147216429755984i</v>
      </c>
      <c r="U99" s="17">
        <f t="shared" si="100"/>
        <v>1.0000000108363385</v>
      </c>
      <c r="V99" s="17">
        <f t="shared" si="101"/>
        <v>1.4721642869245931E-4</v>
      </c>
      <c r="W99" s="31" t="str">
        <f t="shared" si="91"/>
        <v>1-0.00255644980266446i</v>
      </c>
      <c r="X99" s="17">
        <f t="shared" si="102"/>
        <v>1.0000032677124577</v>
      </c>
      <c r="Y99" s="17">
        <f t="shared" si="103"/>
        <v>-2.5564442335152871E-3</v>
      </c>
      <c r="Z99" s="31" t="str">
        <f t="shared" si="92"/>
        <v>0.999998621919393+0.0122317590028916i</v>
      </c>
      <c r="AA99" s="17">
        <f t="shared" si="104"/>
        <v>1.0000734271887191</v>
      </c>
      <c r="AB99" s="17">
        <f t="shared" si="105"/>
        <v>1.2231165889505973E-2</v>
      </c>
      <c r="AC99" s="66" t="str">
        <f t="shared" si="106"/>
        <v>7.87839712729122-69.3056848070895i</v>
      </c>
      <c r="AD99" s="64">
        <f t="shared" si="107"/>
        <v>36.871138277435179</v>
      </c>
      <c r="AE99" s="61">
        <f t="shared" si="108"/>
        <v>-83.514680925519386</v>
      </c>
      <c r="AF99" s="31" t="str">
        <f t="shared" si="93"/>
        <v>-0.000106860158311346</v>
      </c>
      <c r="AG99" s="31" t="str">
        <f t="shared" si="94"/>
        <v>1.87422550640968E-06i</v>
      </c>
      <c r="AH99" s="31">
        <f t="shared" si="109"/>
        <v>1.87422550640968E-6</v>
      </c>
      <c r="AI99" s="31">
        <f t="shared" si="110"/>
        <v>1.5707963267948966</v>
      </c>
      <c r="AJ99" s="31" t="str">
        <f t="shared" si="95"/>
        <v>1+0.029588043076395i</v>
      </c>
      <c r="AK99" s="31">
        <f t="shared" si="111"/>
        <v>1.0004376303863678</v>
      </c>
      <c r="AL99" s="31">
        <f t="shared" si="112"/>
        <v>2.9579413302195275E-2</v>
      </c>
      <c r="AM99" s="31" t="str">
        <f t="shared" si="96"/>
        <v>1+0.189856609740201i</v>
      </c>
      <c r="AN99" s="31">
        <f t="shared" si="113"/>
        <v>1.017863218837405</v>
      </c>
      <c r="AO99" s="31">
        <f t="shared" si="114"/>
        <v>0.18762354864715614</v>
      </c>
      <c r="AP99" s="58" t="str">
        <f t="shared" si="115"/>
        <v>-9.12982145529148+57.2857690468114i</v>
      </c>
      <c r="AQ99" s="49">
        <f t="shared" si="116"/>
        <v>35.269867431511329</v>
      </c>
      <c r="AR99" s="61">
        <f t="shared" si="117"/>
        <v>99.055261932060617</v>
      </c>
      <c r="AS99" s="58" t="str">
        <f t="shared" si="118"/>
        <v>3898.30109436399+1084.0685664185i</v>
      </c>
      <c r="AT99" s="64">
        <f t="shared" si="119"/>
        <v>72.141005708946523</v>
      </c>
      <c r="AU99" s="61">
        <f t="shared" si="120"/>
        <v>15.540581006541203</v>
      </c>
    </row>
    <row r="100" spans="14:47" x14ac:dyDescent="0.35">
      <c r="N100" s="10">
        <v>82</v>
      </c>
      <c r="O100" s="50">
        <f t="shared" si="97"/>
        <v>66.069344800759623</v>
      </c>
      <c r="P100" s="48" t="str">
        <f t="shared" si="88"/>
        <v>547.187404092767</v>
      </c>
      <c r="Q100" s="17" t="str">
        <f t="shared" si="89"/>
        <v>1+7.9614226498493i</v>
      </c>
      <c r="R100" s="17">
        <f t="shared" si="98"/>
        <v>8.0239797238984512</v>
      </c>
      <c r="S100" s="17">
        <f t="shared" si="99"/>
        <v>1.4458450032648453</v>
      </c>
      <c r="T100" s="17" t="str">
        <f t="shared" si="90"/>
        <v>1+0.000150645540917891i</v>
      </c>
      <c r="U100" s="17">
        <f t="shared" si="100"/>
        <v>1.0000000113470395</v>
      </c>
      <c r="V100" s="17">
        <f t="shared" si="101"/>
        <v>1.5064553977830374E-4</v>
      </c>
      <c r="W100" s="31" t="str">
        <f t="shared" si="91"/>
        <v>1-0.00261599716818406i</v>
      </c>
      <c r="X100" s="17">
        <f t="shared" si="102"/>
        <v>1.000003421714738</v>
      </c>
      <c r="Y100" s="17">
        <f t="shared" si="103"/>
        <v>-2.6159912007343101E-3</v>
      </c>
      <c r="Z100" s="31" t="str">
        <f t="shared" si="92"/>
        <v>0.999998556972455+0.012516673270926i</v>
      </c>
      <c r="AA100" s="17">
        <f t="shared" si="104"/>
        <v>1.0000768875725323</v>
      </c>
      <c r="AB100" s="17">
        <f t="shared" si="105"/>
        <v>1.2516037741121757E-2</v>
      </c>
      <c r="AC100" s="66" t="str">
        <f t="shared" si="106"/>
        <v>7.4836360145142-67.7771048341344i</v>
      </c>
      <c r="AD100" s="64">
        <f t="shared" si="107"/>
        <v>36.67428738914839</v>
      </c>
      <c r="AE100" s="61">
        <f t="shared" si="108"/>
        <v>-83.699186557360775</v>
      </c>
      <c r="AF100" s="31" t="str">
        <f t="shared" si="93"/>
        <v>-0.000106860158311346</v>
      </c>
      <c r="AG100" s="31" t="str">
        <f t="shared" si="94"/>
        <v>1.91788182666287E-06i</v>
      </c>
      <c r="AH100" s="31">
        <f t="shared" si="109"/>
        <v>1.91788182666287E-6</v>
      </c>
      <c r="AI100" s="31">
        <f t="shared" si="110"/>
        <v>1.5707963267948966</v>
      </c>
      <c r="AJ100" s="31" t="str">
        <f t="shared" si="95"/>
        <v>1+0.0302772371353761i</v>
      </c>
      <c r="AK100" s="31">
        <f t="shared" si="111"/>
        <v>1.0004582505474937</v>
      </c>
      <c r="AL100" s="31">
        <f t="shared" si="112"/>
        <v>3.02679903944599E-2</v>
      </c>
      <c r="AM100" s="31" t="str">
        <f t="shared" si="96"/>
        <v>1+0.19427893828533i</v>
      </c>
      <c r="AN100" s="31">
        <f t="shared" si="113"/>
        <v>1.0186973573447979</v>
      </c>
      <c r="AO100" s="31">
        <f t="shared" si="114"/>
        <v>0.19188853572996636</v>
      </c>
      <c r="AP100" s="58" t="str">
        <f t="shared" si="115"/>
        <v>-9.12944511485095+55.9942155581027i</v>
      </c>
      <c r="AQ100" s="49">
        <f t="shared" si="116"/>
        <v>35.076803575360216</v>
      </c>
      <c r="AR100" s="61">
        <f t="shared" si="117"/>
        <v>99.260175130327312</v>
      </c>
      <c r="AS100" s="58" t="str">
        <f t="shared" si="118"/>
        <v>3726.80437373262+1037.80768678182i</v>
      </c>
      <c r="AT100" s="64">
        <f t="shared" si="119"/>
        <v>71.751090964508606</v>
      </c>
      <c r="AU100" s="61">
        <f t="shared" si="120"/>
        <v>15.560988572966567</v>
      </c>
    </row>
    <row r="101" spans="14:47" x14ac:dyDescent="0.35">
      <c r="N101" s="10">
        <v>83</v>
      </c>
      <c r="O101" s="50">
        <f t="shared" si="97"/>
        <v>67.60829753919819</v>
      </c>
      <c r="P101" s="48" t="str">
        <f t="shared" si="88"/>
        <v>547.187404092767</v>
      </c>
      <c r="Q101" s="17" t="str">
        <f t="shared" si="89"/>
        <v>1+8.14686800617605i</v>
      </c>
      <c r="R101" s="17">
        <f t="shared" si="98"/>
        <v>8.2080118366176187</v>
      </c>
      <c r="S101" s="17">
        <f t="shared" si="99"/>
        <v>1.4486607185603462</v>
      </c>
      <c r="T101" s="17" t="str">
        <f t="shared" si="90"/>
        <v>1+0.000154154526339621i</v>
      </c>
      <c r="U101" s="17">
        <f t="shared" si="100"/>
        <v>1.0000000118818089</v>
      </c>
      <c r="V101" s="17">
        <f t="shared" si="101"/>
        <v>1.5415452511853125E-4</v>
      </c>
      <c r="W101" s="31" t="str">
        <f t="shared" si="91"/>
        <v>1-0.00267693157002905i</v>
      </c>
      <c r="X101" s="17">
        <f t="shared" si="102"/>
        <v>1.0000035829748966</v>
      </c>
      <c r="Y101" s="17">
        <f t="shared" si="103"/>
        <v>-2.6769251757926774E-3</v>
      </c>
      <c r="Z101" s="31" t="str">
        <f t="shared" si="92"/>
        <v>0.999998488964662+0.0128082240448064i</v>
      </c>
      <c r="AA101" s="17">
        <f t="shared" si="104"/>
        <v>1.000080511026382</v>
      </c>
      <c r="AB101" s="17">
        <f t="shared" si="105"/>
        <v>1.2807543065312687E-2</v>
      </c>
      <c r="AC101" s="66" t="str">
        <f t="shared" si="106"/>
        <v>7.10610285777851-66.2800628747877i</v>
      </c>
      <c r="AD101" s="64">
        <f t="shared" si="107"/>
        <v>36.477294294480799</v>
      </c>
      <c r="AE101" s="61">
        <f t="shared" si="108"/>
        <v>-83.880507394434559</v>
      </c>
      <c r="AF101" s="31" t="str">
        <f t="shared" si="93"/>
        <v>-0.000106860158311346</v>
      </c>
      <c r="AG101" s="31" t="str">
        <f t="shared" si="94"/>
        <v>1.96255503324673E-06i</v>
      </c>
      <c r="AH101" s="31">
        <f t="shared" si="109"/>
        <v>1.96255503324673E-6</v>
      </c>
      <c r="AI101" s="31">
        <f t="shared" si="110"/>
        <v>1.5707963267948966</v>
      </c>
      <c r="AJ101" s="31" t="str">
        <f t="shared" si="95"/>
        <v>1+0.030982484586253i</v>
      </c>
      <c r="AK101" s="31">
        <f t="shared" si="111"/>
        <v>1.0004798420513716</v>
      </c>
      <c r="AL101" s="31">
        <f t="shared" si="112"/>
        <v>3.0972576781484268E-2</v>
      </c>
      <c r="AM101" s="31" t="str">
        <f t="shared" si="96"/>
        <v>1+0.198804276095123i</v>
      </c>
      <c r="AN101" s="31">
        <f t="shared" si="113"/>
        <v>1.0195700761564681</v>
      </c>
      <c r="AO101" s="31">
        <f t="shared" si="114"/>
        <v>0.19624556139421517</v>
      </c>
      <c r="AP101" s="58" t="str">
        <f t="shared" si="115"/>
        <v>-9.12905107128443+54.7323498703822i</v>
      </c>
      <c r="AQ101" s="49">
        <f t="shared" si="116"/>
        <v>34.884054144591175</v>
      </c>
      <c r="AR101" s="61">
        <f t="shared" si="117"/>
        <v>99.469444485840086</v>
      </c>
      <c r="AS101" s="58" t="str">
        <f t="shared" si="118"/>
        <v>3562.79161478735+994.007786818736i</v>
      </c>
      <c r="AT101" s="64">
        <f t="shared" si="119"/>
        <v>71.361348439071989</v>
      </c>
      <c r="AU101" s="61">
        <f t="shared" si="120"/>
        <v>15.588937091405517</v>
      </c>
    </row>
    <row r="102" spans="14:47" x14ac:dyDescent="0.35">
      <c r="N102" s="10">
        <v>84</v>
      </c>
      <c r="O102" s="50">
        <f t="shared" si="97"/>
        <v>69.183097091893657</v>
      </c>
      <c r="P102" s="48" t="str">
        <f t="shared" si="88"/>
        <v>547.187404092767</v>
      </c>
      <c r="Q102" s="17" t="str">
        <f t="shared" si="89"/>
        <v>1+8.33663293975623i</v>
      </c>
      <c r="R102" s="17">
        <f t="shared" si="98"/>
        <v>8.3963949866730676</v>
      </c>
      <c r="S102" s="17">
        <f t="shared" si="99"/>
        <v>1.4514142223393809</v>
      </c>
      <c r="T102" s="17" t="str">
        <f t="shared" si="90"/>
        <v>1+0.000157745246531693i</v>
      </c>
      <c r="U102" s="17">
        <f t="shared" si="100"/>
        <v>1.0000000124417814</v>
      </c>
      <c r="V102" s="17">
        <f t="shared" si="101"/>
        <v>1.5774524522327177E-4</v>
      </c>
      <c r="W102" s="31" t="str">
        <f t="shared" si="91"/>
        <v>1-0.00273928531642584i</v>
      </c>
      <c r="X102" s="17">
        <f t="shared" si="102"/>
        <v>1.0000037518349842</v>
      </c>
      <c r="Y102" s="17">
        <f t="shared" si="103"/>
        <v>-2.7392784648795129E-3</v>
      </c>
      <c r="Z102" s="31" t="str">
        <f t="shared" si="92"/>
        <v>0.999998417751761+0.0131065659086123i</v>
      </c>
      <c r="AA102" s="17">
        <f t="shared" si="104"/>
        <v>1.0000843052342849</v>
      </c>
      <c r="AB102" s="17">
        <f t="shared" si="105"/>
        <v>1.3105836229260108E-2</v>
      </c>
      <c r="AC102" s="66" t="str">
        <f t="shared" si="106"/>
        <v>6.74506877095478-64.8140501205846i</v>
      </c>
      <c r="AD102" s="64">
        <f t="shared" si="107"/>
        <v>36.280165080785622</v>
      </c>
      <c r="AE102" s="61">
        <f t="shared" si="108"/>
        <v>-84.058729326394399</v>
      </c>
      <c r="AF102" s="31" t="str">
        <f t="shared" si="93"/>
        <v>-0.000106860158311346</v>
      </c>
      <c r="AG102" s="31" t="str">
        <f t="shared" si="94"/>
        <v>0.0000020082688124867i</v>
      </c>
      <c r="AH102" s="31">
        <f t="shared" si="109"/>
        <v>2.0082688124866999E-6</v>
      </c>
      <c r="AI102" s="31">
        <f t="shared" si="110"/>
        <v>1.5707963267948966</v>
      </c>
      <c r="AJ102" s="31" t="str">
        <f t="shared" si="95"/>
        <v>1+0.0317041593605591i</v>
      </c>
      <c r="AK102" s="31">
        <f t="shared" si="111"/>
        <v>1.000502450632061</v>
      </c>
      <c r="AL102" s="31">
        <f t="shared" si="112"/>
        <v>3.1693543244406243E-2</v>
      </c>
      <c r="AM102" s="31" t="str">
        <f t="shared" si="96"/>
        <v>1+0.203435022563587i</v>
      </c>
      <c r="AN102" s="31">
        <f t="shared" si="113"/>
        <v>1.0204831249978841</v>
      </c>
      <c r="AO102" s="31">
        <f t="shared" si="114"/>
        <v>0.20069627377650334</v>
      </c>
      <c r="AP102" s="58" t="str">
        <f t="shared" si="115"/>
        <v>-9.12863849347282+53.4995028491492i</v>
      </c>
      <c r="AQ102" s="49">
        <f t="shared" si="116"/>
        <v>34.691632801809632</v>
      </c>
      <c r="AR102" s="61">
        <f t="shared" si="117"/>
        <v>99.683143185675917</v>
      </c>
      <c r="AS102" s="58" t="str">
        <f t="shared" si="118"/>
        <v>3405.94616466746+952.521858778048i</v>
      </c>
      <c r="AT102" s="64">
        <f t="shared" si="119"/>
        <v>70.971797882595254</v>
      </c>
      <c r="AU102" s="61">
        <f t="shared" si="120"/>
        <v>15.624413859281507</v>
      </c>
    </row>
    <row r="103" spans="14:47" x14ac:dyDescent="0.35">
      <c r="N103" s="10">
        <v>85</v>
      </c>
      <c r="O103" s="50">
        <f t="shared" si="97"/>
        <v>70.794578438413865</v>
      </c>
      <c r="P103" s="48" t="str">
        <f t="shared" si="88"/>
        <v>547.187404092767</v>
      </c>
      <c r="Q103" s="17" t="str">
        <f t="shared" si="89"/>
        <v>1+8.53081806646947i</v>
      </c>
      <c r="R103" s="17">
        <f t="shared" si="98"/>
        <v>8.5892291204276248</v>
      </c>
      <c r="S103" s="17">
        <f t="shared" si="99"/>
        <v>1.4541068074447421</v>
      </c>
      <c r="T103" s="17" t="str">
        <f t="shared" si="90"/>
        <v>1+0.000161419605341482i</v>
      </c>
      <c r="U103" s="17">
        <f t="shared" si="100"/>
        <v>1.0000000130281443</v>
      </c>
      <c r="V103" s="17">
        <f t="shared" si="101"/>
        <v>1.6141960393948341E-4</v>
      </c>
      <c r="W103" s="31" t="str">
        <f t="shared" si="91"/>
        <v>1-0.00280309146815614i</v>
      </c>
      <c r="X103" s="17">
        <f t="shared" si="102"/>
        <v>1.0000039286531723</v>
      </c>
      <c r="Y103" s="17">
        <f t="shared" si="103"/>
        <v>-2.8030841265935373E-3</v>
      </c>
      <c r="Z103" s="31" t="str">
        <f t="shared" si="92"/>
        <v>0.999998343182699+0.0134118570471488i</v>
      </c>
      <c r="AA103" s="17">
        <f t="shared" si="104"/>
        <v>1.000088278242274</v>
      </c>
      <c r="AB103" s="17">
        <f t="shared" si="105"/>
        <v>1.3411075185363367E-2</v>
      </c>
      <c r="AC103" s="66" t="str">
        <f t="shared" si="106"/>
        <v>6.39983371695661-63.3785561135181i</v>
      </c>
      <c r="AD103" s="64">
        <f t="shared" si="107"/>
        <v>36.082905571789574</v>
      </c>
      <c r="AE103" s="61">
        <f t="shared" si="108"/>
        <v>-84.233937262717475</v>
      </c>
      <c r="AF103" s="31" t="str">
        <f t="shared" si="93"/>
        <v>-0.000106860158311346</v>
      </c>
      <c r="AG103" s="31" t="str">
        <f t="shared" si="94"/>
        <v>2.05504740243363E-06i</v>
      </c>
      <c r="AH103" s="31">
        <f t="shared" si="109"/>
        <v>2.0550474024336301E-6</v>
      </c>
      <c r="AI103" s="31">
        <f t="shared" si="110"/>
        <v>1.5707963267948966</v>
      </c>
      <c r="AJ103" s="31" t="str">
        <f t="shared" si="95"/>
        <v>1+0.0324426440998125i</v>
      </c>
      <c r="AK103" s="31">
        <f t="shared" si="111"/>
        <v>1.0005261241747698</v>
      </c>
      <c r="AL103" s="31">
        <f t="shared" si="112"/>
        <v>3.243126904944877E-2</v>
      </c>
      <c r="AM103" s="31" t="str">
        <f t="shared" si="96"/>
        <v>1+0.208173632973796i</v>
      </c>
      <c r="AN103" s="31">
        <f t="shared" si="113"/>
        <v>1.0214383297416976</v>
      </c>
      <c r="AO103" s="31">
        <f t="shared" si="114"/>
        <v>0.20524232706054213</v>
      </c>
      <c r="AP103" s="58" t="str">
        <f t="shared" si="115"/>
        <v>-9.12820651143586+52.2950207405227i</v>
      </c>
      <c r="AQ103" s="49">
        <f t="shared" si="116"/>
        <v>34.49955374866056</v>
      </c>
      <c r="AR103" s="61">
        <f t="shared" si="117"/>
        <v>99.901344277226087</v>
      </c>
      <c r="AS103" s="58" t="str">
        <f t="shared" si="118"/>
        <v>3255.96390265358+913.211985564961i</v>
      </c>
      <c r="AT103" s="64">
        <f t="shared" si="119"/>
        <v>70.582459320450127</v>
      </c>
      <c r="AU103" s="61">
        <f t="shared" si="120"/>
        <v>15.667407014508608</v>
      </c>
    </row>
    <row r="104" spans="14:47" x14ac:dyDescent="0.35">
      <c r="N104" s="10">
        <v>86</v>
      </c>
      <c r="O104" s="50">
        <f t="shared" si="97"/>
        <v>72.443596007499011</v>
      </c>
      <c r="P104" s="48" t="str">
        <f t="shared" si="88"/>
        <v>547.187404092767</v>
      </c>
      <c r="Q104" s="17" t="str">
        <f t="shared" si="89"/>
        <v>1+8.72952634584024i</v>
      </c>
      <c r="R104" s="17">
        <f t="shared" si="98"/>
        <v>8.7866165400977234</v>
      </c>
      <c r="S104" s="17">
        <f t="shared" si="99"/>
        <v>1.4567397452663891</v>
      </c>
      <c r="T104" s="17" t="str">
        <f t="shared" si="90"/>
        <v>1+0.000165179550962663i</v>
      </c>
      <c r="U104" s="17">
        <f t="shared" si="100"/>
        <v>1.0000000136421421</v>
      </c>
      <c r="V104" s="17">
        <f t="shared" si="101"/>
        <v>1.6517954946039442E-4</v>
      </c>
      <c r="W104" s="31" t="str">
        <f t="shared" si="91"/>
        <v>1-0.00286838385608614i</v>
      </c>
      <c r="X104" s="17">
        <f t="shared" si="102"/>
        <v>1.0000041138045113</v>
      </c>
      <c r="Y104" s="17">
        <f t="shared" si="103"/>
        <v>-2.8683759894618283E-3</v>
      </c>
      <c r="Z104" s="31" t="str">
        <f t="shared" si="92"/>
        <v>0.999998265099305+0.0137242593298186i</v>
      </c>
      <c r="AA104" s="17">
        <f t="shared" si="104"/>
        <v>1.0000924384754504</v>
      </c>
      <c r="AB104" s="17">
        <f t="shared" si="105"/>
        <v>1.3723421554003285E-2</v>
      </c>
      <c r="AC104" s="66" t="str">
        <f t="shared" si="106"/>
        <v>6.06972554112149-61.9730695869532i</v>
      </c>
      <c r="AD104" s="64">
        <f t="shared" si="107"/>
        <v>35.885521337799084</v>
      </c>
      <c r="AE104" s="61">
        <f t="shared" si="108"/>
        <v>-84.406215135456847</v>
      </c>
      <c r="AF104" s="31" t="str">
        <f t="shared" si="93"/>
        <v>-0.000106860158311346</v>
      </c>
      <c r="AG104" s="31" t="str">
        <f t="shared" si="94"/>
        <v>0.0000021029156057151i</v>
      </c>
      <c r="AH104" s="31">
        <f t="shared" si="109"/>
        <v>2.1029156057150999E-6</v>
      </c>
      <c r="AI104" s="31">
        <f t="shared" si="110"/>
        <v>1.5707963267948966</v>
      </c>
      <c r="AJ104" s="31" t="str">
        <f t="shared" si="95"/>
        <v>1+0.0331983303583966i</v>
      </c>
      <c r="AK104" s="31">
        <f t="shared" si="111"/>
        <v>1.0005509128168268</v>
      </c>
      <c r="AL104" s="31">
        <f t="shared" si="112"/>
        <v>3.3186142134766373E-2</v>
      </c>
      <c r="AM104" s="31" t="str">
        <f t="shared" si="96"/>
        <v>1+0.213022619799711i</v>
      </c>
      <c r="AN104" s="31">
        <f t="shared" si="113"/>
        <v>1.0224375954288516</v>
      </c>
      <c r="AO104" s="31">
        <f t="shared" si="114"/>
        <v>0.20988537965814799</v>
      </c>
      <c r="AP104" s="58" t="str">
        <f t="shared" si="115"/>
        <v>-9.12775421453034+51.1182648242245i</v>
      </c>
      <c r="AQ104" s="49">
        <f t="shared" si="116"/>
        <v>34.307831742046908</v>
      </c>
      <c r="AR104" s="61">
        <f t="shared" si="117"/>
        <v>100.12412055326944</v>
      </c>
      <c r="AS104" s="58" t="str">
        <f t="shared" si="118"/>
        <v>3112.55282022695+875.948784731102i</v>
      </c>
      <c r="AT104" s="64">
        <f t="shared" si="119"/>
        <v>70.193353079845991</v>
      </c>
      <c r="AU104" s="61">
        <f t="shared" si="120"/>
        <v>15.717905417812606</v>
      </c>
    </row>
    <row r="105" spans="14:47" x14ac:dyDescent="0.35">
      <c r="N105" s="10">
        <v>87</v>
      </c>
      <c r="O105" s="50">
        <f t="shared" si="97"/>
        <v>74.131024130091816</v>
      </c>
      <c r="P105" s="48" t="str">
        <f t="shared" si="88"/>
        <v>547.187404092767</v>
      </c>
      <c r="Q105" s="17" t="str">
        <f t="shared" si="89"/>
        <v>1+8.93286313562855i</v>
      </c>
      <c r="R105" s="17">
        <f t="shared" si="98"/>
        <v>8.9886619582600567</v>
      </c>
      <c r="S105" s="17">
        <f t="shared" si="99"/>
        <v>1.4593142857241677</v>
      </c>
      <c r="T105" s="17" t="str">
        <f t="shared" si="90"/>
        <v>1+0.000169027076968175i</v>
      </c>
      <c r="U105" s="17">
        <f t="shared" si="100"/>
        <v>1.0000000142850762</v>
      </c>
      <c r="V105" s="17">
        <f t="shared" si="101"/>
        <v>1.6902707535846522E-4</v>
      </c>
      <c r="W105" s="31" t="str">
        <f t="shared" si="91"/>
        <v>1-0.0029351970991042i</v>
      </c>
      <c r="X105" s="17">
        <f t="shared" si="102"/>
        <v>1.0000043076817273</v>
      </c>
      <c r="Y105" s="17">
        <f t="shared" si="103"/>
        <v>-2.9351886698663443E-3</v>
      </c>
      <c r="Z105" s="31" t="str">
        <f t="shared" si="92"/>
        <v>0.999998183335954+0.0140439383964471i</v>
      </c>
      <c r="AA105" s="17">
        <f t="shared" si="104"/>
        <v>1.0000967947558335</v>
      </c>
      <c r="AB105" s="17">
        <f t="shared" si="105"/>
        <v>1.4043040708179536E-2</v>
      </c>
      <c r="AC105" s="66" t="str">
        <f t="shared" si="106"/>
        <v>5.75409902097266-60.5970792419844i</v>
      </c>
      <c r="AD105" s="64">
        <f t="shared" si="107"/>
        <v>35.688017705550095</v>
      </c>
      <c r="AE105" s="61">
        <f t="shared" si="108"/>
        <v>-84.575645904068708</v>
      </c>
      <c r="AF105" s="31" t="str">
        <f t="shared" si="93"/>
        <v>-0.000106860158311346</v>
      </c>
      <c r="AG105" s="31" t="str">
        <f t="shared" si="94"/>
        <v>0.0000021518988026861i</v>
      </c>
      <c r="AH105" s="31">
        <f t="shared" si="109"/>
        <v>2.1518988026860999E-6</v>
      </c>
      <c r="AI105" s="31">
        <f t="shared" si="110"/>
        <v>1.5707963267948966</v>
      </c>
      <c r="AJ105" s="31" t="str">
        <f t="shared" si="95"/>
        <v>1+0.0339716188111687i</v>
      </c>
      <c r="AK105" s="31">
        <f t="shared" si="111"/>
        <v>1.0005768690533734</v>
      </c>
      <c r="AL105" s="31">
        <f t="shared" si="112"/>
        <v>3.3958559300878897E-2</v>
      </c>
      <c r="AM105" s="31" t="str">
        <f t="shared" si="96"/>
        <v>1+0.217984554038332i</v>
      </c>
      <c r="AN105" s="31">
        <f t="shared" si="113"/>
        <v>1.0234829093830977</v>
      </c>
      <c r="AO105" s="31">
        <f t="shared" si="114"/>
        <v>0.21462709224651585</v>
      </c>
      <c r="AP105" s="58" t="str">
        <f t="shared" si="115"/>
        <v>-9.12728064956633+49.9686110745054i</v>
      </c>
      <c r="AQ105" s="49">
        <f t="shared" si="116"/>
        <v>34.116482110353523</v>
      </c>
      <c r="AR105" s="61">
        <f t="shared" si="117"/>
        <v>100.35154442860527</v>
      </c>
      <c r="AS105" s="58" t="str">
        <f t="shared" si="118"/>
        <v>2975.43260824389+840.610884848777i</v>
      </c>
      <c r="AT105" s="64">
        <f t="shared" si="119"/>
        <v>69.804499815903625</v>
      </c>
      <c r="AU105" s="61">
        <f t="shared" si="120"/>
        <v>15.775898524536565</v>
      </c>
    </row>
    <row r="106" spans="14:47" x14ac:dyDescent="0.35">
      <c r="N106" s="10">
        <v>88</v>
      </c>
      <c r="O106" s="50">
        <f t="shared" si="97"/>
        <v>75.857757502918361</v>
      </c>
      <c r="P106" s="48" t="str">
        <f t="shared" si="88"/>
        <v>547.187404092767</v>
      </c>
      <c r="Q106" s="17" t="str">
        <f t="shared" si="89"/>
        <v>1+9.14093624769177i</v>
      </c>
      <c r="R106" s="17">
        <f t="shared" si="98"/>
        <v>9.1954725536192701</v>
      </c>
      <c r="S106" s="17">
        <f t="shared" si="99"/>
        <v>1.4618316572818464</v>
      </c>
      <c r="T106" s="17" t="str">
        <f t="shared" si="90"/>
        <v>1+0.000172964223367233i</v>
      </c>
      <c r="U106" s="17">
        <f t="shared" si="100"/>
        <v>1.000000014958311</v>
      </c>
      <c r="V106" s="17">
        <f t="shared" si="101"/>
        <v>1.7296422164239791E-4</v>
      </c>
      <c r="W106" s="31" t="str">
        <f t="shared" si="91"/>
        <v>1-0.00300356662247612i</v>
      </c>
      <c r="X106" s="17">
        <f t="shared" si="102"/>
        <v>1.0000045106960547</v>
      </c>
      <c r="Y106" s="17">
        <f t="shared" si="103"/>
        <v>-3.0035575903872296E-3</v>
      </c>
      <c r="Z106" s="31" t="str">
        <f t="shared" si="92"/>
        <v>0.999998097719215+0.0143710637451069i</v>
      </c>
      <c r="AA106" s="17">
        <f t="shared" si="104"/>
        <v>1.0001013563210555</v>
      </c>
      <c r="AB106" s="17">
        <f t="shared" si="105"/>
        <v>1.4370101860062566E-2</v>
      </c>
      <c r="AC106" s="66" t="str">
        <f t="shared" si="106"/>
        <v>5.45233493375772-59.2500744628998i</v>
      </c>
      <c r="AD106" s="64">
        <f t="shared" si="107"/>
        <v>35.490399767707871</v>
      </c>
      <c r="AE106" s="61">
        <f t="shared" si="108"/>
        <v>-84.742311562165881</v>
      </c>
      <c r="AF106" s="31" t="str">
        <f t="shared" si="93"/>
        <v>-0.000106860158311346</v>
      </c>
      <c r="AG106" s="31" t="str">
        <f t="shared" si="94"/>
        <v>2.20202296488603E-06i</v>
      </c>
      <c r="AH106" s="31">
        <f t="shared" si="109"/>
        <v>2.2020229648860301E-6</v>
      </c>
      <c r="AI106" s="31">
        <f t="shared" si="110"/>
        <v>1.5707963267948966</v>
      </c>
      <c r="AJ106" s="31" t="str">
        <f t="shared" si="95"/>
        <v>1+0.034762919465902i</v>
      </c>
      <c r="AK106" s="31">
        <f t="shared" si="111"/>
        <v>1.0006040478479952</v>
      </c>
      <c r="AL106" s="31">
        <f t="shared" si="112"/>
        <v>3.4748926404717405E-2</v>
      </c>
      <c r="AM106" s="31" t="str">
        <f t="shared" si="96"/>
        <v>1+0.22306206657287i</v>
      </c>
      <c r="AN106" s="31">
        <f t="shared" si="113"/>
        <v>1.0245763444193701</v>
      </c>
      <c r="AO106" s="31">
        <f t="shared" si="114"/>
        <v>0.21946912565520077</v>
      </c>
      <c r="AP106" s="58" t="str">
        <f t="shared" si="115"/>
        <v>-9.12678481883746+48.8454498288332i</v>
      </c>
      <c r="AQ106" s="49">
        <f t="shared" si="116"/>
        <v>33.92552076962054</v>
      </c>
      <c r="AR106" s="61">
        <f t="shared" si="117"/>
        <v>100.58368780786832</v>
      </c>
      <c r="AS106" s="58" t="str">
        <f t="shared" si="118"/>
        <v>2844.33425183157+807.08443257984i</v>
      </c>
      <c r="AT106" s="64">
        <f t="shared" si="119"/>
        <v>69.415920537328418</v>
      </c>
      <c r="AU106" s="61">
        <f t="shared" si="120"/>
        <v>15.841376245702426</v>
      </c>
    </row>
    <row r="107" spans="14:47" x14ac:dyDescent="0.35">
      <c r="N107" s="10">
        <v>89</v>
      </c>
      <c r="O107" s="50">
        <f t="shared" si="97"/>
        <v>77.624711662869217</v>
      </c>
      <c r="P107" s="48" t="str">
        <f t="shared" si="88"/>
        <v>547.187404092767</v>
      </c>
      <c r="Q107" s="17" t="str">
        <f t="shared" si="89"/>
        <v>1+9.35385600514813i</v>
      </c>
      <c r="R107" s="17">
        <f t="shared" si="98"/>
        <v>9.4071580280680802</v>
      </c>
      <c r="S107" s="17">
        <f t="shared" si="99"/>
        <v>1.4642930669899921</v>
      </c>
      <c r="T107" s="17" t="str">
        <f t="shared" si="90"/>
        <v>1+0.000176993077686973i</v>
      </c>
      <c r="U107" s="17">
        <f t="shared" si="100"/>
        <v>1.0000000156632747</v>
      </c>
      <c r="V107" s="17">
        <f t="shared" si="101"/>
        <v>1.7699307583877891E-4</v>
      </c>
      <c r="W107" s="31" t="str">
        <f t="shared" si="91"/>
        <v>1-0.00307352867662819i</v>
      </c>
      <c r="X107" s="17">
        <f t="shared" si="102"/>
        <v>1.0000047232781084</v>
      </c>
      <c r="Y107" s="17">
        <f t="shared" si="103"/>
        <v>-3.0735189985730458E-3</v>
      </c>
      <c r="Z107" s="31" t="str">
        <f t="shared" si="92"/>
        <v>0.999998008067484+0.0147058088219879i</v>
      </c>
      <c r="AA107" s="17">
        <f t="shared" si="104"/>
        <v>1.000106132843932</v>
      </c>
      <c r="AB107" s="17">
        <f t="shared" si="105"/>
        <v>1.47047781495002E-2</v>
      </c>
      <c r="AC107" s="66" t="str">
        <f t="shared" si="106"/>
        <v>5.16383914293768-57.9315459752622i</v>
      </c>
      <c r="AD107" s="64">
        <f t="shared" si="107"/>
        <v>35.292672392022205</v>
      </c>
      <c r="AE107" s="61">
        <f t="shared" si="108"/>
        <v>-84.906293146059127</v>
      </c>
      <c r="AF107" s="31" t="str">
        <f t="shared" si="93"/>
        <v>-0.000106860158311346</v>
      </c>
      <c r="AG107" s="31" t="str">
        <f t="shared" si="94"/>
        <v>2.25331466880917E-06i</v>
      </c>
      <c r="AH107" s="31">
        <f t="shared" si="109"/>
        <v>2.2533146688091701E-6</v>
      </c>
      <c r="AI107" s="31">
        <f t="shared" si="110"/>
        <v>1.5707963267948966</v>
      </c>
      <c r="AJ107" s="31" t="str">
        <f t="shared" si="95"/>
        <v>1+0.0355726518806777i</v>
      </c>
      <c r="AK107" s="31">
        <f t="shared" si="111"/>
        <v>1.0006325067485184</v>
      </c>
      <c r="AL107" s="31">
        <f t="shared" si="112"/>
        <v>3.5557658557312029E-2</v>
      </c>
      <c r="AM107" s="31" t="str">
        <f t="shared" si="96"/>
        <v>1+0.228257849567682i</v>
      </c>
      <c r="AN107" s="31">
        <f t="shared" si="113"/>
        <v>1.0257200621462284</v>
      </c>
      <c r="AO107" s="31">
        <f t="shared" si="114"/>
        <v>0.22441313859628226</v>
      </c>
      <c r="AP107" s="58" t="str">
        <f t="shared" si="115"/>
        <v>-9.1262656780622+47.7481854641645i</v>
      </c>
      <c r="AQ107" s="49">
        <f t="shared" si="116"/>
        <v>33.73496423960443</v>
      </c>
      <c r="AR107" s="61">
        <f t="shared" si="117"/>
        <v>100.82062194415013</v>
      </c>
      <c r="AS107" s="58" t="str">
        <f t="shared" si="118"/>
        <v>2718.99963351537+775.262628815218i</v>
      </c>
      <c r="AT107" s="64">
        <f t="shared" si="119"/>
        <v>69.027636631626649</v>
      </c>
      <c r="AU107" s="61">
        <f t="shared" si="120"/>
        <v>15.914328798090979</v>
      </c>
    </row>
    <row r="108" spans="14:47" x14ac:dyDescent="0.35">
      <c r="N108" s="10">
        <v>90</v>
      </c>
      <c r="O108" s="50">
        <f t="shared" si="97"/>
        <v>79.432823472428197</v>
      </c>
      <c r="P108" s="48" t="str">
        <f t="shared" si="88"/>
        <v>547.187404092767</v>
      </c>
      <c r="Q108" s="17" t="str">
        <f t="shared" si="89"/>
        <v>1+9.57173530087134i</v>
      </c>
      <c r="R108" s="17">
        <f t="shared" si="98"/>
        <v>9.6238306650702548</v>
      </c>
      <c r="S108" s="17">
        <f t="shared" si="99"/>
        <v>1.4666997005553419</v>
      </c>
      <c r="T108" s="17" t="str">
        <f t="shared" si="90"/>
        <v>1+0.000181115776079282i</v>
      </c>
      <c r="U108" s="17">
        <f t="shared" si="100"/>
        <v>1.000000016401462</v>
      </c>
      <c r="V108" s="17">
        <f t="shared" si="101"/>
        <v>1.8111577409890634E-4</v>
      </c>
      <c r="W108" s="31" t="str">
        <f t="shared" si="91"/>
        <v>1-0.00314512035636757i</v>
      </c>
      <c r="X108" s="17">
        <f t="shared" si="102"/>
        <v>1.0000049458787972</v>
      </c>
      <c r="Y108" s="17">
        <f t="shared" si="103"/>
        <v>-3.145109986147416E-3</v>
      </c>
      <c r="Z108" s="31" t="str">
        <f t="shared" si="92"/>
        <v>0.999997914190597+0.0150483511133608i</v>
      </c>
      <c r="AA108" s="17">
        <f t="shared" si="104"/>
        <v>1.0001111344529545</v>
      </c>
      <c r="AB108" s="17">
        <f t="shared" si="105"/>
        <v>1.5047246734520207E-2</v>
      </c>
      <c r="AC108" s="66" t="str">
        <f t="shared" si="106"/>
        <v>4.88804170460427-56.6409864499817i</v>
      </c>
      <c r="AD108" s="64">
        <f t="shared" si="107"/>
        <v>35.094840230145735</v>
      </c>
      <c r="AE108" s="61">
        <f t="shared" si="108"/>
        <v>-85.067670744954341</v>
      </c>
      <c r="AF108" s="31" t="str">
        <f t="shared" si="93"/>
        <v>-0.000106860158311346</v>
      </c>
      <c r="AG108" s="31" t="str">
        <f t="shared" si="94"/>
        <v>2.30580110999585E-06i</v>
      </c>
      <c r="AH108" s="31">
        <f t="shared" si="109"/>
        <v>2.30580110999585E-6</v>
      </c>
      <c r="AI108" s="31">
        <f t="shared" si="110"/>
        <v>1.5707963267948966</v>
      </c>
      <c r="AJ108" s="31" t="str">
        <f t="shared" si="95"/>
        <v>1+0.0364012453863403i</v>
      </c>
      <c r="AK108" s="31">
        <f t="shared" si="111"/>
        <v>1.000662306008214</v>
      </c>
      <c r="AL108" s="31">
        <f t="shared" si="112"/>
        <v>3.6385180325142603E-2</v>
      </c>
      <c r="AM108" s="31" t="str">
        <f t="shared" si="96"/>
        <v>1+0.233574657895683i</v>
      </c>
      <c r="AN108" s="31">
        <f t="shared" si="113"/>
        <v>1.0269163163622854</v>
      </c>
      <c r="AO108" s="31">
        <f t="shared" si="114"/>
        <v>0.22946078523118657</v>
      </c>
      <c r="AP108" s="58" t="str">
        <f t="shared" si="115"/>
        <v>-9.12572213423127+46.6762360806275i</v>
      </c>
      <c r="AQ108" s="49">
        <f t="shared" si="116"/>
        <v>33.54482965965849</v>
      </c>
      <c r="AR108" s="61">
        <f t="shared" si="117"/>
        <v>101.06241728805169</v>
      </c>
      <c r="AS108" s="58" t="str">
        <f t="shared" si="118"/>
        <v>2599.18114500222+745.045292327353i</v>
      </c>
      <c r="AT108" s="64">
        <f t="shared" si="119"/>
        <v>68.639669889804239</v>
      </c>
      <c r="AU108" s="61">
        <f t="shared" si="120"/>
        <v>15.994746543097333</v>
      </c>
    </row>
    <row r="109" spans="14:47" x14ac:dyDescent="0.35">
      <c r="N109" s="10">
        <v>91</v>
      </c>
      <c r="O109" s="50">
        <f t="shared" si="97"/>
        <v>81.283051616409963</v>
      </c>
      <c r="P109" s="48" t="str">
        <f t="shared" si="88"/>
        <v>547.187404092767</v>
      </c>
      <c r="Q109" s="17" t="str">
        <f t="shared" si="89"/>
        <v>1+9.79468965734794i</v>
      </c>
      <c r="R109" s="17">
        <f t="shared" si="98"/>
        <v>9.8456053893988003</v>
      </c>
      <c r="S109" s="17">
        <f t="shared" si="99"/>
        <v>1.4690527224344754</v>
      </c>
      <c r="T109" s="17" t="str">
        <f t="shared" si="90"/>
        <v>1+0.00018533450445342i</v>
      </c>
      <c r="U109" s="17">
        <f t="shared" si="100"/>
        <v>1.0000000171744392</v>
      </c>
      <c r="V109" s="17">
        <f t="shared" si="101"/>
        <v>1.8533450233140927E-4</v>
      </c>
      <c r="W109" s="31" t="str">
        <f t="shared" si="91"/>
        <v>1-0.00321837962055048i</v>
      </c>
      <c r="X109" s="17">
        <f t="shared" si="102"/>
        <v>1.0000051789702802</v>
      </c>
      <c r="Y109" s="17">
        <f t="shared" si="103"/>
        <v>-3.2183685086624937E-3</v>
      </c>
      <c r="Z109" s="31" t="str">
        <f t="shared" si="92"/>
        <v>0.999997815889428+0.0153988722396823i</v>
      </c>
      <c r="AA109" s="17">
        <f t="shared" si="104"/>
        <v>1.0001163717537476</v>
      </c>
      <c r="AB109" s="17">
        <f t="shared" si="105"/>
        <v>1.5397688883870228E-2</v>
      </c>
      <c r="AC109" s="66" t="str">
        <f t="shared" si="106"/>
        <v>4.62439599462015-55.3778910565995i</v>
      </c>
      <c r="AD109" s="64">
        <f t="shared" si="107"/>
        <v>34.896907726122031</v>
      </c>
      <c r="AE109" s="61">
        <f t="shared" si="108"/>
        <v>-85.226523512682732</v>
      </c>
      <c r="AF109" s="31" t="str">
        <f t="shared" si="93"/>
        <v>-0.000106860158311346</v>
      </c>
      <c r="AG109" s="31" t="str">
        <f t="shared" si="94"/>
        <v>2.35951011745194E-06i</v>
      </c>
      <c r="AH109" s="31">
        <f t="shared" si="109"/>
        <v>2.3595101174519401E-6</v>
      </c>
      <c r="AI109" s="31">
        <f t="shared" si="110"/>
        <v>1.5707963267948966</v>
      </c>
      <c r="AJ109" s="31" t="str">
        <f t="shared" si="95"/>
        <v>1+0.0372491393141341i</v>
      </c>
      <c r="AK109" s="31">
        <f t="shared" si="111"/>
        <v>1.0006935087126547</v>
      </c>
      <c r="AL109" s="31">
        <f t="shared" si="112"/>
        <v>3.7231925935170787E-2</v>
      </c>
      <c r="AM109" s="31" t="str">
        <f t="shared" si="96"/>
        <v>1+0.239015310599027i</v>
      </c>
      <c r="AN109" s="31">
        <f t="shared" si="113"/>
        <v>1.0281674565462326</v>
      </c>
      <c r="AO109" s="31">
        <f t="shared" si="114"/>
        <v>0.23461371256779656</v>
      </c>
      <c r="AP109" s="58" t="str">
        <f t="shared" si="115"/>
        <v>-9.12515304335835+45.6290331924437i</v>
      </c>
      <c r="AQ109" s="49">
        <f t="shared" si="116"/>
        <v>33.355134804357689</v>
      </c>
      <c r="AR109" s="61">
        <f t="shared" si="117"/>
        <v>101.30914332680119</v>
      </c>
      <c r="AS109" s="58" t="str">
        <f t="shared" si="118"/>
        <v>2484.64130796511+716.338449443423i</v>
      </c>
      <c r="AT109" s="64">
        <f t="shared" si="119"/>
        <v>68.252042530479727</v>
      </c>
      <c r="AU109" s="61">
        <f t="shared" si="120"/>
        <v>16.082619814118477</v>
      </c>
    </row>
    <row r="110" spans="14:47" x14ac:dyDescent="0.35">
      <c r="N110" s="10">
        <v>92</v>
      </c>
      <c r="O110" s="50">
        <f t="shared" si="97"/>
        <v>83.176377110267126</v>
      </c>
      <c r="P110" s="48" t="str">
        <f t="shared" si="88"/>
        <v>547.187404092767</v>
      </c>
      <c r="Q110" s="17" t="str">
        <f t="shared" si="89"/>
        <v>1+10.0228372879289i</v>
      </c>
      <c r="R110" s="17">
        <f t="shared" si="98"/>
        <v>10.072599828261716</v>
      </c>
      <c r="S110" s="17">
        <f t="shared" si="99"/>
        <v>1.4713532759497148</v>
      </c>
      <c r="T110" s="17" t="str">
        <f t="shared" si="90"/>
        <v>1+0.000189651499635011i</v>
      </c>
      <c r="U110" s="17">
        <f t="shared" si="100"/>
        <v>1.0000000179838455</v>
      </c>
      <c r="V110" s="17">
        <f t="shared" si="101"/>
        <v>1.8965149736123552E-4</v>
      </c>
      <c r="W110" s="31" t="str">
        <f t="shared" si="91"/>
        <v>1-0.0032933453122085i</v>
      </c>
      <c r="X110" s="17">
        <f t="shared" si="102"/>
        <v>1.0000054230469679</v>
      </c>
      <c r="Y110" s="17">
        <f t="shared" si="103"/>
        <v>-3.2933334056094925E-3</v>
      </c>
      <c r="Z110" s="31" t="str">
        <f t="shared" si="92"/>
        <v>0.999997712955468+0.0157575580518936i</v>
      </c>
      <c r="AA110" s="17">
        <f t="shared" si="104"/>
        <v>1.0001218558515386</v>
      </c>
      <c r="AB110" s="17">
        <f t="shared" si="105"/>
        <v>1.5756290071639107E-2</v>
      </c>
      <c r="AC110" s="66" t="str">
        <f t="shared" si="106"/>
        <v>4.37237785711375-54.1417579688589i</v>
      </c>
      <c r="AD110" s="64">
        <f t="shared" si="107"/>
        <v>34.698879124550352</v>
      </c>
      <c r="AE110" s="61">
        <f t="shared" si="108"/>
        <v>-85.382929680848775</v>
      </c>
      <c r="AF110" s="31" t="str">
        <f t="shared" si="93"/>
        <v>-0.000106860158311346</v>
      </c>
      <c r="AG110" s="31" t="str">
        <f t="shared" si="94"/>
        <v>0.0000024144701684041i</v>
      </c>
      <c r="AH110" s="31">
        <f t="shared" si="109"/>
        <v>2.4144701684041001E-6</v>
      </c>
      <c r="AI110" s="31">
        <f t="shared" si="110"/>
        <v>1.5707963267948966</v>
      </c>
      <c r="AJ110" s="31" t="str">
        <f t="shared" si="95"/>
        <v>1+0.038116783228643i</v>
      </c>
      <c r="AK110" s="31">
        <f t="shared" si="111"/>
        <v>1.0007261809124908</v>
      </c>
      <c r="AL110" s="31">
        <f t="shared" si="112"/>
        <v>3.8098339483569735E-2</v>
      </c>
      <c r="AM110" s="31" t="str">
        <f t="shared" si="96"/>
        <v>1+0.244582692383792i</v>
      </c>
      <c r="AN110" s="31">
        <f t="shared" si="113"/>
        <v>1.0294759314397324</v>
      </c>
      <c r="AO110" s="31">
        <f t="shared" si="114"/>
        <v>0.23987355768155749</v>
      </c>
      <c r="AP110" s="58" t="str">
        <f t="shared" si="115"/>
        <v>-9.12455720812879+44.6060214259248i</v>
      </c>
      <c r="AQ110" s="49">
        <f t="shared" si="116"/>
        <v>33.165898098786599</v>
      </c>
      <c r="AR110" s="61">
        <f t="shared" si="117"/>
        <v>101.56086841307597</v>
      </c>
      <c r="AS110" s="58" t="str">
        <f t="shared" si="118"/>
        <v>2375.15240410336+689.053948312171i</v>
      </c>
      <c r="AT110" s="64">
        <f t="shared" si="119"/>
        <v>67.86477722333693</v>
      </c>
      <c r="AU110" s="61">
        <f t="shared" si="120"/>
        <v>16.17793873222724</v>
      </c>
    </row>
    <row r="111" spans="14:47" x14ac:dyDescent="0.35">
      <c r="N111" s="10">
        <v>93</v>
      </c>
      <c r="O111" s="50">
        <f t="shared" si="97"/>
        <v>85.113803820237734</v>
      </c>
      <c r="P111" s="48" t="str">
        <f t="shared" si="88"/>
        <v>547.187404092767</v>
      </c>
      <c r="Q111" s="17" t="str">
        <f t="shared" si="89"/>
        <v>1+10.2562991595079i</v>
      </c>
      <c r="R111" s="17">
        <f t="shared" si="98"/>
        <v>10.304934373848406</v>
      </c>
      <c r="S111" s="17">
        <f t="shared" si="99"/>
        <v>1.4736024834253141</v>
      </c>
      <c r="T111" s="17" t="str">
        <f t="shared" si="90"/>
        <v>1+0.000194069050552043i</v>
      </c>
      <c r="U111" s="17">
        <f t="shared" si="100"/>
        <v>1.000000018831398</v>
      </c>
      <c r="V111" s="17">
        <f t="shared" si="101"/>
        <v>1.9406904811564867E-4</v>
      </c>
      <c r="W111" s="31" t="str">
        <f t="shared" si="91"/>
        <v>1-0.00337005717914363i</v>
      </c>
      <c r="X111" s="17">
        <f t="shared" si="102"/>
        <v>1.0000056786265719</v>
      </c>
      <c r="Y111" s="17">
        <f t="shared" si="103"/>
        <v>-3.3700444209968467E-3</v>
      </c>
      <c r="Z111" s="31" t="str">
        <f t="shared" si="92"/>
        <v>0.99999760517038+0.0161245987299599i</v>
      </c>
      <c r="AA111" s="17">
        <f t="shared" si="104"/>
        <v>1.000127598374676</v>
      </c>
      <c r="AB111" s="17">
        <f t="shared" si="105"/>
        <v>1.6123240073999515E-2</v>
      </c>
      <c r="AC111" s="66" t="str">
        <f t="shared" si="106"/>
        <v>4.13148477481407-52.9320888255034i</v>
      </c>
      <c r="AD111" s="64">
        <f t="shared" si="107"/>
        <v>34.500758478435515</v>
      </c>
      <c r="AE111" s="61">
        <f t="shared" si="108"/>
        <v>-85.536966573287273</v>
      </c>
      <c r="AF111" s="31" t="str">
        <f t="shared" si="93"/>
        <v>-0.000106860158311346</v>
      </c>
      <c r="AG111" s="31" t="str">
        <f t="shared" si="94"/>
        <v>2.47071040339885E-06i</v>
      </c>
      <c r="AH111" s="31">
        <f t="shared" si="109"/>
        <v>2.4707104033988501E-6</v>
      </c>
      <c r="AI111" s="31">
        <f t="shared" si="110"/>
        <v>1.5707963267948966</v>
      </c>
      <c r="AJ111" s="31" t="str">
        <f t="shared" si="95"/>
        <v>1+0.039004637166155i</v>
      </c>
      <c r="AK111" s="31">
        <f t="shared" si="111"/>
        <v>1.0007603917624155</v>
      </c>
      <c r="AL111" s="31">
        <f t="shared" si="112"/>
        <v>3.8984875148159216E-2</v>
      </c>
      <c r="AM111" s="31" t="str">
        <f t="shared" si="96"/>
        <v>1+0.250279755149494i</v>
      </c>
      <c r="AN111" s="31">
        <f t="shared" si="113"/>
        <v>1.0308442927220827</v>
      </c>
      <c r="AO111" s="31">
        <f t="shared" si="114"/>
        <v>0.24524194475456512</v>
      </c>
      <c r="AP111" s="58" t="str">
        <f t="shared" si="115"/>
        <v>-9.12393337544258+43.606658224378i</v>
      </c>
      <c r="AQ111" s="49">
        <f t="shared" si="116"/>
        <v>32.977138633400543</v>
      </c>
      <c r="AR111" s="61">
        <f t="shared" si="117"/>
        <v>101.81765958318309</v>
      </c>
      <c r="AS111" s="58" t="str">
        <f t="shared" si="118"/>
        <v>2270.49611468909+663.10909640144i</v>
      </c>
      <c r="AT111" s="64">
        <f t="shared" si="119"/>
        <v>67.477897111836086</v>
      </c>
      <c r="AU111" s="61">
        <f t="shared" si="120"/>
        <v>16.280693009895792</v>
      </c>
    </row>
    <row r="112" spans="14:47" x14ac:dyDescent="0.35">
      <c r="N112" s="10">
        <v>94</v>
      </c>
      <c r="O112" s="50">
        <f t="shared" si="97"/>
        <v>87.096358995608071</v>
      </c>
      <c r="P112" s="48" t="str">
        <f t="shared" si="88"/>
        <v>547.187404092767</v>
      </c>
      <c r="Q112" s="17" t="str">
        <f t="shared" si="89"/>
        <v>1+10.4951990566594i</v>
      </c>
      <c r="R112" s="17">
        <f t="shared" si="98"/>
        <v>10.542732247330592</v>
      </c>
      <c r="S112" s="17">
        <f t="shared" si="99"/>
        <v>1.4758014463421143</v>
      </c>
      <c r="T112" s="17" t="str">
        <f t="shared" si="90"/>
        <v>1+0.000198589499448484i</v>
      </c>
      <c r="U112" s="17">
        <f t="shared" si="100"/>
        <v>1.0000000197188945</v>
      </c>
      <c r="V112" s="17">
        <f t="shared" si="101"/>
        <v>1.9858949683784045E-4</v>
      </c>
      <c r="W112" s="31" t="str">
        <f t="shared" si="91"/>
        <v>1-0.00344855589500312i</v>
      </c>
      <c r="X112" s="17">
        <f t="shared" si="102"/>
        <v>1.0000059462512016</v>
      </c>
      <c r="Y112" s="17">
        <f t="shared" si="103"/>
        <v>-3.4485422244069329E-3</v>
      </c>
      <c r="Z112" s="31" t="str">
        <f t="shared" si="92"/>
        <v>0.999997492305537+0.0165001888837071i</v>
      </c>
      <c r="AA112" s="17">
        <f t="shared" si="104"/>
        <v>1.0001336114992638</v>
      </c>
      <c r="AB112" s="17">
        <f t="shared" si="105"/>
        <v>1.649873306811938E-2</v>
      </c>
      <c r="AC112" s="66" t="str">
        <f t="shared" si="106"/>
        <v>3.90123506157627-51.7483891490911i</v>
      </c>
      <c r="AD112" s="64">
        <f t="shared" si="107"/>
        <v>34.302549656729589</v>
      </c>
      <c r="AE112" s="61">
        <f t="shared" si="108"/>
        <v>-85.68871062172866</v>
      </c>
      <c r="AF112" s="31" t="str">
        <f t="shared" si="93"/>
        <v>-0.000106860158311346</v>
      </c>
      <c r="AG112" s="31" t="str">
        <f t="shared" si="94"/>
        <v>0.0000025282606417532i</v>
      </c>
      <c r="AH112" s="31">
        <f t="shared" si="109"/>
        <v>2.5282606417532002E-6</v>
      </c>
      <c r="AI112" s="31">
        <f t="shared" si="110"/>
        <v>1.5707963267948966</v>
      </c>
      <c r="AJ112" s="31" t="str">
        <f t="shared" si="95"/>
        <v>1+0.0399131718785798i</v>
      </c>
      <c r="AK112" s="31">
        <f t="shared" si="111"/>
        <v>1.0007962136666031</v>
      </c>
      <c r="AL112" s="31">
        <f t="shared" si="112"/>
        <v>3.9891997404553112E-2</v>
      </c>
      <c r="AM112" s="31" t="str">
        <f t="shared" si="96"/>
        <v>1+0.25610951955422i</v>
      </c>
      <c r="AN112" s="31">
        <f t="shared" si="113"/>
        <v>1.0322751987751586</v>
      </c>
      <c r="AO112" s="31">
        <f t="shared" si="114"/>
        <v>0.25072048192684798</v>
      </c>
      <c r="AP112" s="58" t="str">
        <f t="shared" si="115"/>
        <v>-9.12328023384706+42.6304135597667i</v>
      </c>
      <c r="AQ112" s="49">
        <f t="shared" si="116"/>
        <v>32.788876178364688</v>
      </c>
      <c r="AR112" s="61">
        <f t="shared" si="117"/>
        <v>102.07958236426667</v>
      </c>
      <c r="AS112" s="58" t="str">
        <f t="shared" si="118"/>
        <v>2170.46316975263+638.426319926187i</v>
      </c>
      <c r="AT112" s="64">
        <f t="shared" si="119"/>
        <v>67.091425835094299</v>
      </c>
      <c r="AU112" s="61">
        <f t="shared" si="120"/>
        <v>16.390871742538</v>
      </c>
    </row>
    <row r="113" spans="14:47" x14ac:dyDescent="0.35">
      <c r="N113" s="10">
        <v>95</v>
      </c>
      <c r="O113" s="50">
        <f t="shared" si="97"/>
        <v>89.125093813374562</v>
      </c>
      <c r="P113" s="48" t="str">
        <f t="shared" si="88"/>
        <v>547.187404092767</v>
      </c>
      <c r="Q113" s="17" t="str">
        <f t="shared" si="89"/>
        <v>1+10.7396636472712i</v>
      </c>
      <c r="R113" s="17">
        <f t="shared" si="98"/>
        <v>10.786119564352999</v>
      </c>
      <c r="S113" s="17">
        <f t="shared" si="99"/>
        <v>1.4779512455089614</v>
      </c>
      <c r="T113" s="17" t="str">
        <f t="shared" si="90"/>
        <v>1+0.000203215243126176i</v>
      </c>
      <c r="U113" s="17">
        <f t="shared" si="100"/>
        <v>1.0000000206482174</v>
      </c>
      <c r="V113" s="17">
        <f t="shared" si="101"/>
        <v>2.0321524032882105E-4</v>
      </c>
      <c r="W113" s="31" t="str">
        <f t="shared" si="91"/>
        <v>1-0.00352888308084517i</v>
      </c>
      <c r="X113" s="17">
        <f t="shared" si="102"/>
        <v>1.0000062264885146</v>
      </c>
      <c r="Y113" s="17">
        <f t="shared" si="103"/>
        <v>-3.5288684325423671E-3</v>
      </c>
      <c r="Z113" s="31" t="str">
        <f t="shared" si="92"/>
        <v>0.999997374121538+0.0168845276560062i</v>
      </c>
      <c r="AA113" s="17">
        <f t="shared" si="104"/>
        <v>1.0001399079749482</v>
      </c>
      <c r="AB113" s="17">
        <f t="shared" si="105"/>
        <v>1.688296773328345E-2</v>
      </c>
      <c r="AC113" s="66" t="str">
        <f t="shared" si="106"/>
        <v>3.68116707733186-50.5901687254871i</v>
      </c>
      <c r="AD113" s="64">
        <f t="shared" si="107"/>
        <v>34.104256351573618</v>
      </c>
      <c r="AE113" s="61">
        <f t="shared" si="108"/>
        <v>-85.83823738257756</v>
      </c>
      <c r="AF113" s="31" t="str">
        <f t="shared" si="93"/>
        <v>-0.000106860158311346</v>
      </c>
      <c r="AG113" s="31" t="str">
        <f t="shared" si="94"/>
        <v>2.58715139736529E-06i</v>
      </c>
      <c r="AH113" s="31">
        <f t="shared" si="109"/>
        <v>2.5871513973652899E-6</v>
      </c>
      <c r="AI113" s="31">
        <f t="shared" si="110"/>
        <v>1.5707963267948966</v>
      </c>
      <c r="AJ113" s="31" t="str">
        <f t="shared" si="95"/>
        <v>1+0.040842869083048i</v>
      </c>
      <c r="AK113" s="31">
        <f t="shared" si="111"/>
        <v>1.0008337224309216</v>
      </c>
      <c r="AL113" s="31">
        <f t="shared" si="112"/>
        <v>4.0820181246017814E-2</v>
      </c>
      <c r="AM113" s="31" t="str">
        <f t="shared" si="96"/>
        <v>1+0.262075076616224i</v>
      </c>
      <c r="AN113" s="31">
        <f t="shared" si="113"/>
        <v>1.0337714185367091</v>
      </c>
      <c r="AO113" s="31">
        <f t="shared" si="114"/>
        <v>0.25631075795444147</v>
      </c>
      <c r="AP113" s="58" t="str">
        <f t="shared" si="115"/>
        <v>-9.12259641085434+41.676769650963i</v>
      </c>
      <c r="AQ113" s="49">
        <f t="shared" si="116"/>
        <v>32.601131197265126</v>
      </c>
      <c r="AR113" s="61">
        <f t="shared" si="117"/>
        <v>102.34670057023277</v>
      </c>
      <c r="AS113" s="58" t="str">
        <f t="shared" si="118"/>
        <v>2074.85300700806+614.932843968313i</v>
      </c>
      <c r="AT113" s="64">
        <f t="shared" si="119"/>
        <v>66.705387548838772</v>
      </c>
      <c r="AU113" s="61">
        <f t="shared" si="120"/>
        <v>16.508463187655181</v>
      </c>
    </row>
    <row r="114" spans="14:47" x14ac:dyDescent="0.35">
      <c r="N114" s="10">
        <v>96</v>
      </c>
      <c r="O114" s="50">
        <f t="shared" si="97"/>
        <v>91.201083935590972</v>
      </c>
      <c r="P114" s="48" t="str">
        <f t="shared" si="88"/>
        <v>547.187404092767</v>
      </c>
      <c r="Q114" s="17" t="str">
        <f t="shared" si="89"/>
        <v>1+10.989822549705i</v>
      </c>
      <c r="R114" s="17">
        <f t="shared" si="98"/>
        <v>11.035225402047956</v>
      </c>
      <c r="S114" s="17">
        <f t="shared" si="99"/>
        <v>1.4800529412492813</v>
      </c>
      <c r="T114" s="17" t="str">
        <f t="shared" si="90"/>
        <v>1+0.000207948734215646i</v>
      </c>
      <c r="U114" s="17">
        <f t="shared" si="100"/>
        <v>1.0000000216213378</v>
      </c>
      <c r="V114" s="17">
        <f t="shared" si="101"/>
        <v>2.0794873121822617E-4</v>
      </c>
      <c r="W114" s="31" t="str">
        <f t="shared" si="91"/>
        <v>1-0.00361108132720698i</v>
      </c>
      <c r="X114" s="17">
        <f t="shared" si="102"/>
        <v>1.0000065199329211</v>
      </c>
      <c r="Y114" s="17">
        <f t="shared" si="103"/>
        <v>-3.6110656312732651E-3</v>
      </c>
      <c r="Z114" s="31" t="str">
        <f t="shared" si="92"/>
        <v>0.999997250367699+0.0172778188283618i</v>
      </c>
      <c r="AA114" s="17">
        <f t="shared" si="104"/>
        <v>1.0001465011519184</v>
      </c>
      <c r="AB114" s="17">
        <f t="shared" si="105"/>
        <v>1.7276147354271708E-2</v>
      </c>
      <c r="AC114" s="66" t="str">
        <f t="shared" si="106"/>
        <v>3.47083846558982-49.4569419465575i</v>
      </c>
      <c r="AD114" s="64">
        <f t="shared" si="107"/>
        <v>33.905882085247214</v>
      </c>
      <c r="AE114" s="61">
        <f t="shared" si="108"/>
        <v>-85.985621554716488</v>
      </c>
      <c r="AF114" s="31" t="str">
        <f t="shared" si="93"/>
        <v>-0.000106860158311346</v>
      </c>
      <c r="AG114" s="31" t="str">
        <f t="shared" si="94"/>
        <v>2.64741389489326E-06i</v>
      </c>
      <c r="AH114" s="31">
        <f t="shared" si="109"/>
        <v>2.6474138948932598E-6</v>
      </c>
      <c r="AI114" s="31">
        <f t="shared" si="110"/>
        <v>1.5707963267948966</v>
      </c>
      <c r="AJ114" s="31" t="str">
        <f t="shared" si="95"/>
        <v>1+0.0417942217173232i</v>
      </c>
      <c r="AK114" s="31">
        <f t="shared" si="111"/>
        <v>1.0008729974222288</v>
      </c>
      <c r="AL114" s="31">
        <f t="shared" si="112"/>
        <v>4.1769912407033691E-2</v>
      </c>
      <c r="AM114" s="31" t="str">
        <f t="shared" si="96"/>
        <v>1+0.268179589352823i</v>
      </c>
      <c r="AN114" s="31">
        <f t="shared" si="113"/>
        <v>1.0353358354396165</v>
      </c>
      <c r="AO114" s="31">
        <f t="shared" si="114"/>
        <v>0.26201433866925727</v>
      </c>
      <c r="AP114" s="58" t="str">
        <f t="shared" si="115"/>
        <v>-9.12188047013881+40.745220688445i</v>
      </c>
      <c r="AQ114" s="49">
        <f t="shared" si="116"/>
        <v>32.413924860080634</v>
      </c>
      <c r="AR114" s="61">
        <f t="shared" si="117"/>
        <v>102.61907608610571</v>
      </c>
      <c r="AS114" s="58" t="str">
        <f t="shared" si="118"/>
        <v>1983.47344057383+592.560392109493i</v>
      </c>
      <c r="AT114" s="64">
        <f t="shared" si="119"/>
        <v>66.319806945327855</v>
      </c>
      <c r="AU114" s="61">
        <f t="shared" si="120"/>
        <v>16.633454531389205</v>
      </c>
    </row>
    <row r="115" spans="14:47" x14ac:dyDescent="0.35">
      <c r="N115" s="10">
        <v>97</v>
      </c>
      <c r="O115" s="50">
        <f t="shared" si="97"/>
        <v>93.325430079699174</v>
      </c>
      <c r="P115" s="48" t="str">
        <f t="shared" si="88"/>
        <v>547.187404092767</v>
      </c>
      <c r="Q115" s="17" t="str">
        <f t="shared" si="89"/>
        <v>1+11.2458084015221i</v>
      </c>
      <c r="R115" s="17">
        <f t="shared" si="98"/>
        <v>11.290181867611567</v>
      </c>
      <c r="S115" s="17">
        <f t="shared" si="99"/>
        <v>1.4821075736013276</v>
      </c>
      <c r="T115" s="17" t="str">
        <f t="shared" si="90"/>
        <v>1+0.000212792482476524i</v>
      </c>
      <c r="U115" s="17">
        <f t="shared" si="100"/>
        <v>1.0000000226403201</v>
      </c>
      <c r="V115" s="17">
        <f t="shared" si="101"/>
        <v>2.1279247926473077E-4</v>
      </c>
      <c r="W115" s="31" t="str">
        <f t="shared" si="91"/>
        <v>1-0.0036951942166868i</v>
      </c>
      <c r="X115" s="17">
        <f t="shared" si="102"/>
        <v>1.0000068272068441</v>
      </c>
      <c r="Y115" s="17">
        <f t="shared" si="103"/>
        <v>-3.6951773981970123E-3</v>
      </c>
      <c r="Z115" s="31" t="str">
        <f t="shared" si="92"/>
        <v>0.999997120781521+0.0176802709289591i</v>
      </c>
      <c r="AA115" s="17">
        <f t="shared" si="104"/>
        <v>1.0001534050091783</v>
      </c>
      <c r="AB115" s="17">
        <f t="shared" si="105"/>
        <v>1.7678479927038426E-2</v>
      </c>
      <c r="AC115" s="66" t="str">
        <f t="shared" si="106"/>
        <v>3.26982541352099-48.3482281184578i</v>
      </c>
      <c r="AD115" s="64">
        <f t="shared" si="107"/>
        <v>33.707430216833274</v>
      </c>
      <c r="AE115" s="61">
        <f t="shared" si="108"/>
        <v>-86.130936998251968</v>
      </c>
      <c r="AF115" s="31" t="str">
        <f t="shared" si="93"/>
        <v>-0.000106860158311346</v>
      </c>
      <c r="AG115" s="31" t="str">
        <f t="shared" si="94"/>
        <v>2.70908008631098E-06i</v>
      </c>
      <c r="AH115" s="31">
        <f t="shared" si="109"/>
        <v>2.7090800863109801E-6</v>
      </c>
      <c r="AI115" s="31">
        <f t="shared" si="110"/>
        <v>1.5707963267948966</v>
      </c>
      <c r="AJ115" s="31" t="str">
        <f t="shared" si="95"/>
        <v>1+0.0427677342011651i</v>
      </c>
      <c r="AK115" s="31">
        <f t="shared" si="111"/>
        <v>1.0009141217350774</v>
      </c>
      <c r="AL115" s="31">
        <f t="shared" si="112"/>
        <v>4.2741687590549041E-2</v>
      </c>
      <c r="AM115" s="31" t="str">
        <f t="shared" si="96"/>
        <v>1+0.274426294457475i</v>
      </c>
      <c r="AN115" s="31">
        <f t="shared" si="113"/>
        <v>1.0369714514342527</v>
      </c>
      <c r="AO115" s="31">
        <f t="shared" si="114"/>
        <v>0.26783276323629696</v>
      </c>
      <c r="AP115" s="58" t="str">
        <f t="shared" si="115"/>
        <v>-9.12113090860976+39.8352725652875i</v>
      </c>
      <c r="AQ115" s="49">
        <f t="shared" si="116"/>
        <v>32.227279055293813</v>
      </c>
      <c r="AR115" s="61">
        <f t="shared" si="117"/>
        <v>102.89676864056131</v>
      </c>
      <c r="AS115" s="58" t="str">
        <f t="shared" si="118"/>
        <v>1896.14033950244+571.244904456294i</v>
      </c>
      <c r="AT115" s="64">
        <f t="shared" si="119"/>
        <v>65.934709272127094</v>
      </c>
      <c r="AU115" s="61">
        <f t="shared" si="120"/>
        <v>16.765831642309344</v>
      </c>
    </row>
    <row r="116" spans="14:47" x14ac:dyDescent="0.35">
      <c r="N116" s="10">
        <v>98</v>
      </c>
      <c r="O116" s="50">
        <f t="shared" si="97"/>
        <v>95.499258602143655</v>
      </c>
      <c r="P116" s="48" t="str">
        <f t="shared" si="88"/>
        <v>547.187404092767</v>
      </c>
      <c r="Q116" s="17" t="str">
        <f t="shared" si="89"/>
        <v>1+11.5077569298096i</v>
      </c>
      <c r="R116" s="17">
        <f t="shared" si="98"/>
        <v>11.551124168477322</v>
      </c>
      <c r="S116" s="17">
        <f t="shared" si="99"/>
        <v>1.4841161625306962</v>
      </c>
      <c r="T116" s="17" t="str">
        <f t="shared" si="90"/>
        <v>1+0.000217749056128252i</v>
      </c>
      <c r="U116" s="17">
        <f t="shared" si="100"/>
        <v>1.0000000237073254</v>
      </c>
      <c r="V116" s="17">
        <f t="shared" si="101"/>
        <v>2.1774905268675355E-4</v>
      </c>
      <c r="W116" s="31" t="str">
        <f t="shared" si="91"/>
        <v>1-0.00378126634705197i</v>
      </c>
      <c r="X116" s="17">
        <f t="shared" si="102"/>
        <v>1.0000071489620399</v>
      </c>
      <c r="Y116" s="17">
        <f t="shared" si="103"/>
        <v>-3.7812483257224356E-3</v>
      </c>
      <c r="Z116" s="31" t="str">
        <f t="shared" si="92"/>
        <v>0.999996985088134+0.018092097343229i</v>
      </c>
      <c r="AA116" s="17">
        <f t="shared" si="104"/>
        <v>1.0001606341841467</v>
      </c>
      <c r="AB116" s="17">
        <f t="shared" si="105"/>
        <v>1.8090178266740177E-2</v>
      </c>
      <c r="AC116" s="66" t="str">
        <f t="shared" si="106"/>
        <v>3.07772193457367-47.2635517377863i</v>
      </c>
      <c r="AD116" s="64">
        <f t="shared" si="107"/>
        <v>33.508903948605855</v>
      </c>
      <c r="AE116" s="61">
        <f t="shared" si="108"/>
        <v>-86.274256754127009</v>
      </c>
      <c r="AF116" s="31" t="str">
        <f t="shared" si="93"/>
        <v>-0.000106860158311346</v>
      </c>
      <c r="AG116" s="31" t="str">
        <f t="shared" si="94"/>
        <v>2.77218266784936E-06i</v>
      </c>
      <c r="AH116" s="31">
        <f t="shared" si="109"/>
        <v>2.77218266784936E-6</v>
      </c>
      <c r="AI116" s="31">
        <f t="shared" si="110"/>
        <v>1.5707963267948966</v>
      </c>
      <c r="AJ116" s="31" t="str">
        <f t="shared" si="95"/>
        <v>1+0.0437639227037781i</v>
      </c>
      <c r="AK116" s="31">
        <f t="shared" si="111"/>
        <v>1.00095718236617</v>
      </c>
      <c r="AL116" s="31">
        <f t="shared" si="112"/>
        <v>4.373601469890169E-2</v>
      </c>
      <c r="AM116" s="31" t="str">
        <f t="shared" si="96"/>
        <v>1+0.280818504015909i</v>
      </c>
      <c r="AN116" s="31">
        <f t="shared" si="113"/>
        <v>1.0386813910905177</v>
      </c>
      <c r="AO116" s="31">
        <f t="shared" si="114"/>
        <v>0.27376754020434568</v>
      </c>
      <c r="AP116" s="58" t="str">
        <f t="shared" si="115"/>
        <v>-9.12034615335367+38.9464426142988i</v>
      </c>
      <c r="AQ116" s="49">
        <f t="shared" si="116"/>
        <v>32.041216401012427</v>
      </c>
      <c r="AR116" s="61">
        <f t="shared" si="117"/>
        <v>103.17983556641789</v>
      </c>
      <c r="AS116" s="58" t="str">
        <f t="shared" si="118"/>
        <v>1812.67731609656+550.926272993194i</v>
      </c>
      <c r="AT116" s="64">
        <f t="shared" si="119"/>
        <v>65.550120349618311</v>
      </c>
      <c r="AU116" s="61">
        <f t="shared" si="120"/>
        <v>16.905578812290862</v>
      </c>
    </row>
    <row r="117" spans="14:47" x14ac:dyDescent="0.35">
      <c r="N117" s="10">
        <v>99</v>
      </c>
      <c r="O117" s="50">
        <f t="shared" si="97"/>
        <v>97.723722095581124</v>
      </c>
      <c r="P117" s="48" t="str">
        <f t="shared" si="88"/>
        <v>547.187404092767</v>
      </c>
      <c r="Q117" s="17" t="str">
        <f t="shared" si="89"/>
        <v>1+11.7758070231444i</v>
      </c>
      <c r="R117" s="17">
        <f t="shared" si="98"/>
        <v>11.818190684124918</v>
      </c>
      <c r="S117" s="17">
        <f t="shared" si="99"/>
        <v>1.4860797081538053</v>
      </c>
      <c r="T117" s="17" t="str">
        <f t="shared" si="90"/>
        <v>1+0.000222821083211789i</v>
      </c>
      <c r="U117" s="17">
        <f t="shared" si="100"/>
        <v>1.0000000248246173</v>
      </c>
      <c r="V117" s="17">
        <f t="shared" si="101"/>
        <v>2.2282107952415698E-4</v>
      </c>
      <c r="W117" s="31" t="str">
        <f t="shared" si="91"/>
        <v>1-0.00386934335488532i</v>
      </c>
      <c r="X117" s="17">
        <f t="shared" si="102"/>
        <v>1.0000074858809798</v>
      </c>
      <c r="Y117" s="17">
        <f t="shared" si="103"/>
        <v>-3.8693240446906244E-3</v>
      </c>
      <c r="Z117" s="31" t="str">
        <f t="shared" si="92"/>
        <v>0.999996842999716+0.0185135164269874i</v>
      </c>
      <c r="AA117" s="17">
        <f t="shared" si="104"/>
        <v>1.0001682040036519</v>
      </c>
      <c r="AB117" s="17">
        <f t="shared" si="105"/>
        <v>1.8511460118156853E-2</v>
      </c>
      <c r="AC117" s="66" t="str">
        <f t="shared" si="106"/>
        <v>2.89413917349599-46.2024427377538i</v>
      </c>
      <c r="AD117" s="64">
        <f t="shared" si="107"/>
        <v>33.310306332149239</v>
      </c>
      <c r="AE117" s="61">
        <f t="shared" si="108"/>
        <v>-86.415653064527277</v>
      </c>
      <c r="AF117" s="31" t="str">
        <f t="shared" si="93"/>
        <v>-0.000106860158311346</v>
      </c>
      <c r="AG117" s="31" t="str">
        <f t="shared" si="94"/>
        <v>2.83675509733242E-06i</v>
      </c>
      <c r="AH117" s="31">
        <f t="shared" si="109"/>
        <v>2.8367550973324199E-6</v>
      </c>
      <c r="AI117" s="31">
        <f t="shared" si="110"/>
        <v>1.5707963267948966</v>
      </c>
      <c r="AJ117" s="31" t="str">
        <f t="shared" si="95"/>
        <v>1+0.0447833154174927i</v>
      </c>
      <c r="AK117" s="31">
        <f t="shared" si="111"/>
        <v>1.001002270396917</v>
      </c>
      <c r="AL117" s="31">
        <f t="shared" si="112"/>
        <v>4.4753413068385428E-2</v>
      </c>
      <c r="AM117" s="31" t="str">
        <f t="shared" si="96"/>
        <v>1+0.287359607262244i</v>
      </c>
      <c r="AN117" s="31">
        <f t="shared" si="113"/>
        <v>1.0404689057756176</v>
      </c>
      <c r="AO117" s="31">
        <f t="shared" si="114"/>
        <v>0.2798201433470458</v>
      </c>
      <c r="AP117" s="58" t="str">
        <f t="shared" si="115"/>
        <v>-9.11952455844079+38.0782593511612i</v>
      </c>
      <c r="AQ117" s="49">
        <f t="shared" si="116"/>
        <v>31.855760254963123</v>
      </c>
      <c r="AR117" s="61">
        <f t="shared" si="117"/>
        <v>103.46833154890732</v>
      </c>
      <c r="AS117" s="58" t="str">
        <f t="shared" si="118"/>
        <v>1732.91542395712+531.548093253636i</v>
      </c>
      <c r="AT117" s="64">
        <f t="shared" si="119"/>
        <v>65.166066587112368</v>
      </c>
      <c r="AU117" s="61">
        <f t="shared" si="120"/>
        <v>17.052678484380063</v>
      </c>
    </row>
    <row r="118" spans="14:47" x14ac:dyDescent="0.35">
      <c r="N118" s="10">
        <v>100</v>
      </c>
      <c r="O118" s="50">
        <f t="shared" si="97"/>
        <v>100</v>
      </c>
      <c r="P118" s="48" t="str">
        <f t="shared" si="88"/>
        <v>547.187404092767</v>
      </c>
      <c r="Q118" s="17" t="str">
        <f t="shared" si="89"/>
        <v>1+12.0501008052342i</v>
      </c>
      <c r="R118" s="17">
        <f t="shared" si="98"/>
        <v>12.091523039563953</v>
      </c>
      <c r="S118" s="17">
        <f t="shared" si="99"/>
        <v>1.4879991909711301</v>
      </c>
      <c r="T118" s="17" t="str">
        <f t="shared" si="90"/>
        <v>1+0.00022801125298303i</v>
      </c>
      <c r="U118" s="17">
        <f t="shared" si="100"/>
        <v>1.0000000259945654</v>
      </c>
      <c r="V118" s="17">
        <f t="shared" si="101"/>
        <v>2.2801124903166112E-4</v>
      </c>
      <c r="W118" s="31" t="str">
        <f t="shared" si="91"/>
        <v>1-0.00395947193978226i</v>
      </c>
      <c r="X118" s="17">
        <f t="shared" si="102"/>
        <v>1.0000078386782985</v>
      </c>
      <c r="Y118" s="17">
        <f t="shared" si="103"/>
        <v>-3.9594512485446156E-3</v>
      </c>
      <c r="Z118" s="31" t="str">
        <f t="shared" si="92"/>
        <v>0.999996694214876+0.0189447516222109i</v>
      </c>
      <c r="AA118" s="17">
        <f t="shared" si="104"/>
        <v>1.0001761305163743</v>
      </c>
      <c r="AB118" s="17">
        <f t="shared" si="105"/>
        <v>1.8942548268555202E-2</v>
      </c>
      <c r="AC118" s="66" t="str">
        <f t="shared" si="106"/>
        <v>2.7187047335729-45.164436706397i</v>
      </c>
      <c r="AD118" s="64">
        <f t="shared" si="107"/>
        <v>33.111640274215347</v>
      </c>
      <c r="AE118" s="61">
        <f t="shared" si="108"/>
        <v>-86.55519739401619</v>
      </c>
      <c r="AF118" s="31" t="str">
        <f t="shared" si="93"/>
        <v>-0.000106860158311346</v>
      </c>
      <c r="AG118" s="31" t="str">
        <f t="shared" si="94"/>
        <v>2.90283161191697E-06i</v>
      </c>
      <c r="AH118" s="31">
        <f t="shared" si="109"/>
        <v>2.9028316119169699E-6</v>
      </c>
      <c r="AI118" s="31">
        <f t="shared" si="110"/>
        <v>1.5707963267948966</v>
      </c>
      <c r="AJ118" s="31" t="str">
        <f t="shared" si="95"/>
        <v>1+0.045826452837819i</v>
      </c>
      <c r="AK118" s="31">
        <f t="shared" si="111"/>
        <v>1.0010494811844701</v>
      </c>
      <c r="AL118" s="31">
        <f t="shared" si="112"/>
        <v>4.5794413707418304E-2</v>
      </c>
      <c r="AM118" s="31" t="str">
        <f t="shared" si="96"/>
        <v>1+0.294053072376004i</v>
      </c>
      <c r="AN118" s="31">
        <f t="shared" si="113"/>
        <v>1.0423373779030316</v>
      </c>
      <c r="AO118" s="31">
        <f t="shared" si="114"/>
        <v>0.2859920072920335</v>
      </c>
      <c r="AP118" s="58" t="str">
        <f t="shared" si="115"/>
        <v>-9.11866440159102+37.230262223436i</v>
      </c>
      <c r="AQ118" s="49">
        <f t="shared" si="116"/>
        <v>31.670934723211793</v>
      </c>
      <c r="AR118" s="61">
        <f t="shared" si="117"/>
        <v>103.76230836159708</v>
      </c>
      <c r="AS118" s="58" t="str">
        <f t="shared" si="118"/>
        <v>1656.69286568047+513.057431351549i</v>
      </c>
      <c r="AT118" s="64">
        <f t="shared" si="119"/>
        <v>64.782574997427133</v>
      </c>
      <c r="AU118" s="61">
        <f t="shared" si="120"/>
        <v>17.20711096758091</v>
      </c>
    </row>
    <row r="119" spans="14:47" x14ac:dyDescent="0.35">
      <c r="N119" s="10">
        <v>1</v>
      </c>
      <c r="O119" s="50">
        <f>10^(2+(N119/100))</f>
        <v>102.32929922807544</v>
      </c>
      <c r="P119" s="48" t="str">
        <f t="shared" si="88"/>
        <v>547.187404092767</v>
      </c>
      <c r="Q119" s="17" t="str">
        <f t="shared" si="89"/>
        <v>1+12.3307837102728i</v>
      </c>
      <c r="R119" s="17">
        <f t="shared" si="98"/>
        <v>12.371266180530149</v>
      </c>
      <c r="S119" s="17">
        <f t="shared" si="99"/>
        <v>1.4898755721090464</v>
      </c>
      <c r="T119" s="17" t="str">
        <f t="shared" si="90"/>
        <v>1+0.000233322317338689i</v>
      </c>
      <c r="U119" s="17">
        <f t="shared" si="100"/>
        <v>1.0000000272196514</v>
      </c>
      <c r="V119" s="17">
        <f t="shared" si="101"/>
        <v>2.3332231310472097E-4</v>
      </c>
      <c r="W119" s="31" t="str">
        <f t="shared" si="91"/>
        <v>1-0.00405169988911147i</v>
      </c>
      <c r="X119" s="17">
        <f t="shared" si="102"/>
        <v>1.0000082081023092</v>
      </c>
      <c r="Y119" s="17">
        <f t="shared" si="103"/>
        <v>-4.0516777180607134E-3</v>
      </c>
      <c r="Z119" s="31" t="str">
        <f t="shared" si="92"/>
        <v>0.999996538418023+0.0193860315755079i</v>
      </c>
      <c r="AA119" s="17">
        <f t="shared" si="104"/>
        <v>1.0001844305268279</v>
      </c>
      <c r="AB119" s="17">
        <f t="shared" si="105"/>
        <v>1.9383670663039514E-2</v>
      </c>
      <c r="AC119" s="66" t="str">
        <f t="shared" si="106"/>
        <v>2.5510620258314-44.1490750787557i</v>
      </c>
      <c r="AD119" s="64">
        <f t="shared" si="107"/>
        <v>32.912908542326889</v>
      </c>
      <c r="AE119" s="61">
        <f t="shared" si="108"/>
        <v>-86.692960451335992</v>
      </c>
      <c r="AF119" s="31" t="str">
        <f t="shared" si="93"/>
        <v>-0.000106860158311346</v>
      </c>
      <c r="AG119" s="31" t="str">
        <f t="shared" si="94"/>
        <v>2.97044724624568E-06i</v>
      </c>
      <c r="AH119" s="31">
        <f t="shared" si="109"/>
        <v>2.9704472462456798E-6</v>
      </c>
      <c r="AI119" s="31">
        <f t="shared" si="110"/>
        <v>1.5707963267948966</v>
      </c>
      <c r="AJ119" s="31" t="str">
        <f t="shared" si="95"/>
        <v>1+0.0468938880500246i</v>
      </c>
      <c r="AK119" s="31">
        <f t="shared" si="111"/>
        <v>1.0010989145616171</v>
      </c>
      <c r="AL119" s="31">
        <f t="shared" si="112"/>
        <v>4.6859559538270312E-2</v>
      </c>
      <c r="AM119" s="31" t="str">
        <f t="shared" si="96"/>
        <v>1+0.300902448320991i</v>
      </c>
      <c r="AN119" s="31">
        <f t="shared" si="113"/>
        <v>1.044290325247518</v>
      </c>
      <c r="AO119" s="31">
        <f t="shared" si="114"/>
        <v>0.29228452293680668</v>
      </c>
      <c r="AP119" s="58" t="str">
        <f t="shared" si="115"/>
        <v>-9.11776388069214+36.4020013652918i</v>
      </c>
      <c r="AQ119" s="49">
        <f t="shared" si="116"/>
        <v>31.486764667454743</v>
      </c>
      <c r="AR119" s="61">
        <f t="shared" si="117"/>
        <v>104.06181458988883</v>
      </c>
      <c r="AS119" s="58" t="str">
        <f t="shared" si="118"/>
        <v>1583.8547100967+495.404605466303i</v>
      </c>
      <c r="AT119" s="64">
        <f t="shared" si="119"/>
        <v>64.399673209781611</v>
      </c>
      <c r="AU119" s="61">
        <f t="shared" si="120"/>
        <v>17.368854138552887</v>
      </c>
    </row>
    <row r="120" spans="14:47" x14ac:dyDescent="0.35">
      <c r="N120" s="10">
        <v>2</v>
      </c>
      <c r="O120" s="50">
        <f t="shared" ref="O120:O183" si="121">10^(2+(N120/100))</f>
        <v>104.71285480508998</v>
      </c>
      <c r="P120" s="48" t="str">
        <f t="shared" si="88"/>
        <v>547.187404092767</v>
      </c>
      <c r="Q120" s="17" t="str">
        <f t="shared" si="89"/>
        <v>1+12.6180045600519i</v>
      </c>
      <c r="R120" s="17">
        <f t="shared" si="98"/>
        <v>12.657568450436701</v>
      </c>
      <c r="S120" s="17">
        <f t="shared" si="99"/>
        <v>1.4917097935692456</v>
      </c>
      <c r="T120" s="17" t="str">
        <f t="shared" si="90"/>
        <v>1+0.000238757092275387i</v>
      </c>
      <c r="U120" s="17">
        <f t="shared" si="100"/>
        <v>1.0000000285024742</v>
      </c>
      <c r="V120" s="17">
        <f t="shared" si="101"/>
        <v>2.3875708773860851E-4</v>
      </c>
      <c r="W120" s="31" t="str">
        <f t="shared" si="91"/>
        <v>1-0.00414607610335247i</v>
      </c>
      <c r="X120" s="17">
        <f t="shared" si="102"/>
        <v>1.0000085949365909</v>
      </c>
      <c r="Y120" s="17">
        <f t="shared" si="103"/>
        <v>-4.1460523466545947E-3</v>
      </c>
      <c r="Z120" s="31" t="str">
        <f t="shared" si="92"/>
        <v>0.99999637527869+0.0198375902593506i</v>
      </c>
      <c r="AA120" s="17">
        <f t="shared" si="104"/>
        <v>1.0001931216309261</v>
      </c>
      <c r="AB120" s="17">
        <f t="shared" si="105"/>
        <v>1.9835060522440724E-2</v>
      </c>
      <c r="AC120" s="66" t="str">
        <f t="shared" si="106"/>
        <v>2.39086963991694-43.1559053048282i</v>
      </c>
      <c r="AD120" s="64">
        <f t="shared" si="107"/>
        <v>32.714113770134212</v>
      </c>
      <c r="AE120" s="61">
        <f t="shared" si="108"/>
        <v>-86.829012211818807</v>
      </c>
      <c r="AF120" s="31" t="str">
        <f t="shared" si="93"/>
        <v>-0.000106860158311346</v>
      </c>
      <c r="AG120" s="31" t="str">
        <f t="shared" si="94"/>
        <v>3.03963785102287E-06i</v>
      </c>
      <c r="AH120" s="31">
        <f t="shared" si="109"/>
        <v>3.0396378510228702E-6</v>
      </c>
      <c r="AI120" s="31">
        <f t="shared" si="110"/>
        <v>1.5707963267948966</v>
      </c>
      <c r="AJ120" s="31" t="str">
        <f t="shared" si="95"/>
        <v>1+0.0479861870223884i</v>
      </c>
      <c r="AK120" s="31">
        <f t="shared" si="111"/>
        <v>1.0011506750459431</v>
      </c>
      <c r="AL120" s="31">
        <f t="shared" si="112"/>
        <v>4.7949405642293642E-2</v>
      </c>
      <c r="AM120" s="31" t="str">
        <f t="shared" si="96"/>
        <v>1+0.307911366726992i</v>
      </c>
      <c r="AN120" s="31">
        <f t="shared" si="113"/>
        <v>1.0463314053203623</v>
      </c>
      <c r="AO120" s="31">
        <f t="shared" si="114"/>
        <v>0.2986990326510568</v>
      </c>
      <c r="AP120" s="58" t="str">
        <f t="shared" si="115"/>
        <v>-9.11682111016555+35.5930373578245i</v>
      </c>
      <c r="AQ120" s="49">
        <f t="shared" si="116"/>
        <v>31.303275710718282</v>
      </c>
      <c r="AR120" s="61">
        <f t="shared" si="117"/>
        <v>104.36689534208172</v>
      </c>
      <c r="AS120" s="58" t="str">
        <f t="shared" si="118"/>
        <v>1514.25261892064+478.542980922615i</v>
      </c>
      <c r="AT120" s="64">
        <f t="shared" si="119"/>
        <v>64.017389480852501</v>
      </c>
      <c r="AU120" s="61">
        <f t="shared" si="120"/>
        <v>17.537883130262891</v>
      </c>
    </row>
    <row r="121" spans="14:47" x14ac:dyDescent="0.35">
      <c r="N121" s="10">
        <v>3</v>
      </c>
      <c r="O121" s="50">
        <f t="shared" si="121"/>
        <v>107.15193052376065</v>
      </c>
      <c r="P121" s="48" t="str">
        <f t="shared" si="88"/>
        <v>547.187404092767</v>
      </c>
      <c r="Q121" s="17" t="str">
        <f t="shared" si="89"/>
        <v>1+12.9119156428677i</v>
      </c>
      <c r="R121" s="17">
        <f t="shared" si="98"/>
        <v>12.95058166911941</v>
      </c>
      <c r="S121" s="17">
        <f t="shared" si="99"/>
        <v>1.4935027784847192</v>
      </c>
      <c r="T121" s="17" t="str">
        <f t="shared" si="90"/>
        <v>1+0.000244318459382733i</v>
      </c>
      <c r="U121" s="17">
        <f t="shared" si="100"/>
        <v>1.0000000298457543</v>
      </c>
      <c r="V121" s="17">
        <f t="shared" si="101"/>
        <v>2.4431845452148728E-4</v>
      </c>
      <c r="W121" s="31" t="str">
        <f t="shared" si="91"/>
        <v>1-0.00424265062202328i</v>
      </c>
      <c r="X121" s="17">
        <f t="shared" si="102"/>
        <v>1.0000090000016504</v>
      </c>
      <c r="Y121" s="17">
        <f t="shared" si="103"/>
        <v>-4.2426251662752512E-3</v>
      </c>
      <c r="Z121" s="31" t="str">
        <f t="shared" si="92"/>
        <v>0.999996204450838+0.0202996670961304i</v>
      </c>
      <c r="AA121" s="17">
        <f t="shared" si="104"/>
        <v>1.0002022222532281</v>
      </c>
      <c r="AB121" s="17">
        <f t="shared" si="105"/>
        <v>2.0296956463790101E-2</v>
      </c>
      <c r="AC121" s="66" t="str">
        <f t="shared" si="106"/>
        <v>2.23780073630157-42.1844809950097i</v>
      </c>
      <c r="AD121" s="64">
        <f t="shared" si="107"/>
        <v>32.515258462532429</v>
      </c>
      <c r="AE121" s="61">
        <f t="shared" si="108"/>
        <v>-86.963421940354564</v>
      </c>
      <c r="AF121" s="31" t="str">
        <f t="shared" si="93"/>
        <v>-0.000106860158311346</v>
      </c>
      <c r="AG121" s="31" t="str">
        <f t="shared" si="94"/>
        <v>3.11044011202303E-06i</v>
      </c>
      <c r="AH121" s="31">
        <f t="shared" si="109"/>
        <v>3.1104401120230301E-6</v>
      </c>
      <c r="AI121" s="31">
        <f t="shared" si="110"/>
        <v>1.5707963267948966</v>
      </c>
      <c r="AJ121" s="31" t="str">
        <f t="shared" si="95"/>
        <v>1+0.0491039289062837i</v>
      </c>
      <c r="AK121" s="31">
        <f t="shared" si="111"/>
        <v>1.0012048720586777</v>
      </c>
      <c r="AL121" s="31">
        <f t="shared" si="112"/>
        <v>4.9064519508586042E-2</v>
      </c>
      <c r="AM121" s="31" t="str">
        <f t="shared" si="96"/>
        <v>1+0.31508354381532i</v>
      </c>
      <c r="AN121" s="31">
        <f t="shared" si="113"/>
        <v>1.0484644197984119</v>
      </c>
      <c r="AO121" s="31">
        <f t="shared" si="114"/>
        <v>0.30523682526641216</v>
      </c>
      <c r="AP121" s="58" t="str">
        <f t="shared" si="115"/>
        <v>-9.11583411717297+34.8029409948357i</v>
      </c>
      <c r="AQ121" s="49">
        <f t="shared" si="116"/>
        <v>31.120494241295212</v>
      </c>
      <c r="AR121" s="61">
        <f t="shared" si="117"/>
        <v>104.67759194805831</v>
      </c>
      <c r="AS121" s="58" t="str">
        <f t="shared" si="118"/>
        <v>1447.74458266768+462.428778053248i</v>
      </c>
      <c r="AT121" s="64">
        <f t="shared" si="119"/>
        <v>63.635752703827649</v>
      </c>
      <c r="AU121" s="61">
        <f t="shared" si="120"/>
        <v>17.714170007703746</v>
      </c>
    </row>
    <row r="122" spans="14:47" x14ac:dyDescent="0.35">
      <c r="N122" s="10">
        <v>4</v>
      </c>
      <c r="O122" s="50">
        <f t="shared" si="121"/>
        <v>109.64781961431861</v>
      </c>
      <c r="P122" s="48" t="str">
        <f t="shared" si="88"/>
        <v>547.187404092767</v>
      </c>
      <c r="Q122" s="17" t="str">
        <f t="shared" si="89"/>
        <v>1+13.2126727942667i</v>
      </c>
      <c r="R122" s="17">
        <f t="shared" si="98"/>
        <v>13.250461213420284</v>
      </c>
      <c r="S122" s="17">
        <f t="shared" si="99"/>
        <v>1.4952554313814226</v>
      </c>
      <c r="T122" s="17" t="str">
        <f t="shared" si="90"/>
        <v>1+0.000250009367371181i</v>
      </c>
      <c r="U122" s="17">
        <f t="shared" si="100"/>
        <v>1.0000000312523414</v>
      </c>
      <c r="V122" s="17">
        <f t="shared" si="101"/>
        <v>2.5000936216226235E-4</v>
      </c>
      <c r="W122" s="31" t="str">
        <f t="shared" si="91"/>
        <v>1-0.00434147465021201i</v>
      </c>
      <c r="X122" s="17">
        <f t="shared" si="102"/>
        <v>1.0000094241566619</v>
      </c>
      <c r="Y122" s="17">
        <f t="shared" si="103"/>
        <v>-4.3414473739004514E-3</v>
      </c>
      <c r="Z122" s="31" t="str">
        <f t="shared" si="92"/>
        <v>0.999996025572117+0.0207725070851025i</v>
      </c>
      <c r="AA122" s="17">
        <f t="shared" si="104"/>
        <v>1.000211751685927</v>
      </c>
      <c r="AB122" s="17">
        <f t="shared" si="105"/>
        <v>2.0769602623426635E-2</v>
      </c>
      <c r="AC122" s="66" t="str">
        <f t="shared" si="106"/>
        <v>2.09154245944889-41.2343620446256i</v>
      </c>
      <c r="AD122" s="64">
        <f t="shared" si="107"/>
        <v>32.316345000546335</v>
      </c>
      <c r="AE122" s="61">
        <f t="shared" si="108"/>
        <v>-87.09625821486695</v>
      </c>
      <c r="AF122" s="31" t="str">
        <f t="shared" si="93"/>
        <v>-0.000106860158311346</v>
      </c>
      <c r="AG122" s="31" t="str">
        <f t="shared" si="94"/>
        <v>3.18289156954214E-06i</v>
      </c>
      <c r="AH122" s="31">
        <f t="shared" si="109"/>
        <v>3.1828915695421399E-6</v>
      </c>
      <c r="AI122" s="31">
        <f t="shared" si="110"/>
        <v>1.5707963267948966</v>
      </c>
      <c r="AJ122" s="31" t="str">
        <f t="shared" si="95"/>
        <v>1+0.0502477063432525i</v>
      </c>
      <c r="AK122" s="31">
        <f t="shared" si="111"/>
        <v>1.0012616201536728</v>
      </c>
      <c r="AL122" s="31">
        <f t="shared" si="112"/>
        <v>5.0205481286011086E-2</v>
      </c>
      <c r="AM122" s="31" t="str">
        <f t="shared" si="96"/>
        <v>1+0.322422782369203i</v>
      </c>
      <c r="AN122" s="31">
        <f t="shared" si="113"/>
        <v>1.0506933189997443</v>
      </c>
      <c r="AO122" s="31">
        <f t="shared" si="114"/>
        <v>0.31189913085587473</v>
      </c>
      <c r="AP122" s="58" t="str">
        <f t="shared" si="115"/>
        <v>-9.11480083765749+34.0312930539384i</v>
      </c>
      <c r="AQ122" s="49">
        <f t="shared" si="116"/>
        <v>30.938447414738619</v>
      </c>
      <c r="AR122" s="61">
        <f t="shared" si="117"/>
        <v>104.99394164572873</v>
      </c>
      <c r="AS122" s="58" t="str">
        <f t="shared" si="118"/>
        <v>1384.19466567147+447.020892076886i</v>
      </c>
      <c r="AT122" s="64">
        <f t="shared" si="119"/>
        <v>63.254792415284967</v>
      </c>
      <c r="AU122" s="61">
        <f t="shared" si="120"/>
        <v>17.897683430861743</v>
      </c>
    </row>
    <row r="123" spans="14:47" x14ac:dyDescent="0.35">
      <c r="N123" s="10">
        <v>5</v>
      </c>
      <c r="O123" s="50">
        <f t="shared" si="121"/>
        <v>112.20184543019634</v>
      </c>
      <c r="P123" s="48" t="str">
        <f t="shared" si="88"/>
        <v>547.187404092767</v>
      </c>
      <c r="Q123" s="17" t="str">
        <f t="shared" si="89"/>
        <v>1+13.5204354796717i</v>
      </c>
      <c r="R123" s="17">
        <f t="shared" si="98"/>
        <v>13.557366099650968</v>
      </c>
      <c r="S123" s="17">
        <f t="shared" si="99"/>
        <v>1.4969686384447558</v>
      </c>
      <c r="T123" s="17" t="str">
        <f t="shared" si="90"/>
        <v>1+0.000255832833635474i</v>
      </c>
      <c r="U123" s="17">
        <f t="shared" si="100"/>
        <v>1.000000032725219</v>
      </c>
      <c r="V123" s="17">
        <f t="shared" si="101"/>
        <v>2.5583282805401717E-4</v>
      </c>
      <c r="W123" s="31" t="str">
        <f t="shared" si="91"/>
        <v>1-0.00444260058572649i</v>
      </c>
      <c r="X123" s="17">
        <f t="shared" si="102"/>
        <v>1.0000098683012906</v>
      </c>
      <c r="Y123" s="17">
        <f t="shared" si="103"/>
        <v>-4.4425713586476569E-3</v>
      </c>
      <c r="Z123" s="31" t="str">
        <f t="shared" si="92"/>
        <v>0.999995838263101+0.0212563609322877i</v>
      </c>
      <c r="AA123" s="17">
        <f t="shared" si="104"/>
        <v>1.0002217301296779</v>
      </c>
      <c r="AB123" s="17">
        <f t="shared" si="105"/>
        <v>2.1253248782787594E-2</v>
      </c>
      <c r="AC123" s="66" t="str">
        <f t="shared" si="106"/>
        <v>1.95179537152921-40.3051147390744i</v>
      </c>
      <c r="AD123" s="64">
        <f t="shared" si="107"/>
        <v>32.117375645989746</v>
      </c>
      <c r="AE123" s="61">
        <f t="shared" si="108"/>
        <v>-87.22758895025288</v>
      </c>
      <c r="AF123" s="31" t="str">
        <f t="shared" si="93"/>
        <v>-0.000106860158311346</v>
      </c>
      <c r="AG123" s="31" t="str">
        <f t="shared" si="94"/>
        <v>3.25703063830195E-06i</v>
      </c>
      <c r="AH123" s="31">
        <f t="shared" si="109"/>
        <v>3.2570306383019502E-6</v>
      </c>
      <c r="AI123" s="31">
        <f t="shared" si="110"/>
        <v>1.5707963267948966</v>
      </c>
      <c r="AJ123" s="31" t="str">
        <f t="shared" si="95"/>
        <v>1+0.0514181257792315i</v>
      </c>
      <c r="AK123" s="31">
        <f t="shared" si="111"/>
        <v>1.0013210392569651</v>
      </c>
      <c r="AL123" s="31">
        <f t="shared" si="112"/>
        <v>5.1372884038480914E-2</v>
      </c>
      <c r="AM123" s="31" t="str">
        <f t="shared" si="96"/>
        <v>1+0.329932973750068i</v>
      </c>
      <c r="AN123" s="31">
        <f t="shared" si="113"/>
        <v>1.0530222063981192</v>
      </c>
      <c r="AO123" s="31">
        <f t="shared" si="114"/>
        <v>0.31868711530673388</v>
      </c>
      <c r="AP123" s="58" t="str">
        <f t="shared" si="115"/>
        <v>-9.1137191122129+33.2776840728646i</v>
      </c>
      <c r="AQ123" s="49">
        <f t="shared" si="116"/>
        <v>30.757163153727099</v>
      </c>
      <c r="AR123" s="61">
        <f t="shared" si="117"/>
        <v>105.31597725545497</v>
      </c>
      <c r="AS123" s="58" t="str">
        <f t="shared" si="118"/>
        <v>1323.47276002684+432.280724266065i</v>
      </c>
      <c r="AT123" s="64">
        <f t="shared" si="119"/>
        <v>62.874538799716831</v>
      </c>
      <c r="AU123" s="61">
        <f t="shared" si="120"/>
        <v>18.088388305202116</v>
      </c>
    </row>
    <row r="124" spans="14:47" x14ac:dyDescent="0.35">
      <c r="N124" s="10">
        <v>6</v>
      </c>
      <c r="O124" s="50">
        <f t="shared" si="121"/>
        <v>114.81536214968835</v>
      </c>
      <c r="P124" s="48" t="str">
        <f t="shared" si="88"/>
        <v>547.187404092767</v>
      </c>
      <c r="Q124" s="17" t="str">
        <f t="shared" si="89"/>
        <v>1+13.8353668789322i</v>
      </c>
      <c r="R124" s="17">
        <f t="shared" si="98"/>
        <v>13.871459067980345</v>
      </c>
      <c r="S124" s="17">
        <f t="shared" si="99"/>
        <v>1.4986432677900843</v>
      </c>
      <c r="T124" s="17" t="str">
        <f t="shared" si="90"/>
        <v>1+0.000261791945854508i</v>
      </c>
      <c r="U124" s="17">
        <f t="shared" si="100"/>
        <v>1.0000000342675108</v>
      </c>
      <c r="V124" s="17">
        <f t="shared" si="101"/>
        <v>2.617919398738692E-4</v>
      </c>
      <c r="W124" s="31" t="str">
        <f t="shared" si="91"/>
        <v>1-0.00454608204687629i</v>
      </c>
      <c r="X124" s="17">
        <f t="shared" si="102"/>
        <v>1.0000103333775991</v>
      </c>
      <c r="Y124" s="17">
        <f t="shared" si="103"/>
        <v>-4.5460507295145619E-3</v>
      </c>
      <c r="Z124" s="31" t="str">
        <f t="shared" si="92"/>
        <v>0.999995642126484+0.0217514851834004i</v>
      </c>
      <c r="AA124" s="17">
        <f t="shared" si="104"/>
        <v>1.0002321787363384</v>
      </c>
      <c r="AB124" s="17">
        <f t="shared" si="105"/>
        <v>2.1748150496931941E-2</v>
      </c>
      <c r="AC124" s="66" t="str">
        <f t="shared" si="106"/>
        <v>1.81827290625381-39.3963118410084i</v>
      </c>
      <c r="AD124" s="64">
        <f t="shared" si="107"/>
        <v>31.9183525459066</v>
      </c>
      <c r="AE124" s="61">
        <f t="shared" si="108"/>
        <v>-87.357481422743646</v>
      </c>
      <c r="AF124" s="31" t="str">
        <f t="shared" si="93"/>
        <v>-0.000106860158311346</v>
      </c>
      <c r="AG124" s="31" t="str">
        <f t="shared" si="94"/>
        <v>0.0000033328966278181i</v>
      </c>
      <c r="AH124" s="31">
        <f t="shared" si="109"/>
        <v>3.3328966278181E-6</v>
      </c>
      <c r="AI124" s="31">
        <f t="shared" si="110"/>
        <v>1.5707963267948966</v>
      </c>
      <c r="AJ124" s="31" t="str">
        <f t="shared" si="95"/>
        <v>1+0.0526158077860979i</v>
      </c>
      <c r="AK124" s="31">
        <f t="shared" si="111"/>
        <v>1.0013832549174084</v>
      </c>
      <c r="AL124" s="31">
        <f t="shared" si="112"/>
        <v>5.2567334003397526E-2</v>
      </c>
      <c r="AM124" s="31" t="str">
        <f t="shared" si="96"/>
        <v>1+0.337618099960794i</v>
      </c>
      <c r="AN124" s="31">
        <f t="shared" si="113"/>
        <v>1.0554553431676477</v>
      </c>
      <c r="AO124" s="31">
        <f t="shared" si="114"/>
        <v>0.32560187469237922</v>
      </c>
      <c r="AP124" s="58" t="str">
        <f t="shared" si="115"/>
        <v>-9.11258668177407+32.5417141308488i</v>
      </c>
      <c r="AQ124" s="49">
        <f t="shared" si="116"/>
        <v>30.576670145607917</v>
      </c>
      <c r="AR124" s="61">
        <f t="shared" si="117"/>
        <v>105.64372684277156</v>
      </c>
      <c r="AS124" s="58" t="str">
        <f t="shared" si="118"/>
        <v>1265.45434827051+418.17202372057i</v>
      </c>
      <c r="AT124" s="64">
        <f t="shared" si="119"/>
        <v>62.495022691514521</v>
      </c>
      <c r="AU124" s="61">
        <f t="shared" si="120"/>
        <v>18.286245420027903</v>
      </c>
    </row>
    <row r="125" spans="14:47" x14ac:dyDescent="0.35">
      <c r="N125" s="10">
        <v>7</v>
      </c>
      <c r="O125" s="50">
        <f t="shared" si="121"/>
        <v>117.48975549395293</v>
      </c>
      <c r="P125" s="48" t="str">
        <f t="shared" si="88"/>
        <v>547.187404092767</v>
      </c>
      <c r="Q125" s="17" t="str">
        <f t="shared" si="89"/>
        <v>1+14.1576339728445i</v>
      </c>
      <c r="R125" s="17">
        <f t="shared" si="98"/>
        <v>14.192906668792013</v>
      </c>
      <c r="S125" s="17">
        <f t="shared" si="99"/>
        <v>1.5002801697365722</v>
      </c>
      <c r="T125" s="17" t="str">
        <f t="shared" si="90"/>
        <v>1+0.000267889863628461i</v>
      </c>
      <c r="U125" s="17">
        <f t="shared" si="100"/>
        <v>1.000000035882489</v>
      </c>
      <c r="V125" s="17">
        <f t="shared" si="101"/>
        <v>2.6788985722009113E-4</v>
      </c>
      <c r="W125" s="31" t="str">
        <f t="shared" si="91"/>
        <v>1-0.00465197390090185i</v>
      </c>
      <c r="X125" s="17">
        <f t="shared" si="102"/>
        <v>1.000010820372047</v>
      </c>
      <c r="Y125" s="17">
        <f t="shared" si="103"/>
        <v>-4.6519403437637798E-3</v>
      </c>
      <c r="Z125" s="31" t="str">
        <f t="shared" si="92"/>
        <v>0.999995436746233+0.0222581423598722i</v>
      </c>
      <c r="AA125" s="17">
        <f t="shared" si="104"/>
        <v>1.0002431196537178</v>
      </c>
      <c r="AB125" s="17">
        <f t="shared" si="105"/>
        <v>2.2254569225845174E-2</v>
      </c>
      <c r="AC125" s="66" t="str">
        <f t="shared" si="106"/>
        <v>1.69070084237496-38.5075326608857i</v>
      </c>
      <c r="AD125" s="64">
        <f t="shared" si="107"/>
        <v>31.719277736798972</v>
      </c>
      <c r="AE125" s="61">
        <f t="shared" si="108"/>
        <v>-87.486002294650248</v>
      </c>
      <c r="AF125" s="31" t="str">
        <f t="shared" si="93"/>
        <v>-0.000106860158311346</v>
      </c>
      <c r="AG125" s="31" t="str">
        <f t="shared" si="94"/>
        <v>3.41052976324242E-06i</v>
      </c>
      <c r="AH125" s="31">
        <f t="shared" si="109"/>
        <v>3.4105297632424198E-6</v>
      </c>
      <c r="AI125" s="31">
        <f t="shared" si="110"/>
        <v>1.5707963267948966</v>
      </c>
      <c r="AJ125" s="31" t="str">
        <f t="shared" si="95"/>
        <v>1+0.0538413873907051i</v>
      </c>
      <c r="AK125" s="31">
        <f t="shared" si="111"/>
        <v>1.0014483985688709</v>
      </c>
      <c r="AL125" s="31">
        <f t="shared" si="112"/>
        <v>5.378945085313145E-2</v>
      </c>
      <c r="AM125" s="31" t="str">
        <f t="shared" si="96"/>
        <v>1+0.345482235757024i</v>
      </c>
      <c r="AN125" s="31">
        <f t="shared" si="113"/>
        <v>1.0579971527483767</v>
      </c>
      <c r="AO125" s="31">
        <f t="shared" si="114"/>
        <v>0.33264442945021372</v>
      </c>
      <c r="AP125" s="58" t="str">
        <f t="shared" si="115"/>
        <v>-9.11140118312231+31.822992634964i</v>
      </c>
      <c r="AQ125" s="49">
        <f t="shared" si="116"/>
        <v>30.396997837418876</v>
      </c>
      <c r="AR125" s="61">
        <f t="shared" si="117"/>
        <v>105.97721336982373</v>
      </c>
      <c r="AS125" s="58" t="str">
        <f t="shared" si="118"/>
        <v>1210.02027460248+404.660739100341i</v>
      </c>
      <c r="AT125" s="64">
        <f t="shared" si="119"/>
        <v>62.116275574217852</v>
      </c>
      <c r="AU125" s="61">
        <f t="shared" si="120"/>
        <v>18.49121107517351</v>
      </c>
    </row>
    <row r="126" spans="14:47" x14ac:dyDescent="0.35">
      <c r="N126" s="10">
        <v>8</v>
      </c>
      <c r="O126" s="50">
        <f t="shared" si="121"/>
        <v>120.22644346174135</v>
      </c>
      <c r="P126" s="48" t="str">
        <f t="shared" si="88"/>
        <v>547.187404092767</v>
      </c>
      <c r="Q126" s="17" t="str">
        <f t="shared" si="89"/>
        <v>1+14.4874076316877i</v>
      </c>
      <c r="R126" s="17">
        <f t="shared" si="98"/>
        <v>14.521879351057942</v>
      </c>
      <c r="S126" s="17">
        <f t="shared" si="99"/>
        <v>1.5018801770836636</v>
      </c>
      <c r="T126" s="17" t="str">
        <f t="shared" si="90"/>
        <v>1+0.000274129820154051i</v>
      </c>
      <c r="U126" s="17">
        <f t="shared" si="100"/>
        <v>1.0000000375735785</v>
      </c>
      <c r="V126" s="17">
        <f t="shared" si="101"/>
        <v>2.7412981328735897E-4</v>
      </c>
      <c r="W126" s="31" t="str">
        <f t="shared" si="91"/>
        <v>1-0.00476033229306583i</v>
      </c>
      <c r="X126" s="17">
        <f t="shared" si="102"/>
        <v>1.0000113303175822</v>
      </c>
      <c r="Y126" s="17">
        <f t="shared" si="103"/>
        <v>-4.7602963359665625E-3</v>
      </c>
      <c r="Z126" s="31" t="str">
        <f t="shared" si="92"/>
        <v>0.999995221686708+0.0227766010980447i</v>
      </c>
      <c r="AA126" s="17">
        <f t="shared" si="104"/>
        <v>1.0002545760724255</v>
      </c>
      <c r="AB126" s="17">
        <f t="shared" si="105"/>
        <v>2.277277246857649E-2</v>
      </c>
      <c r="AC126" s="66" t="str">
        <f t="shared" si="106"/>
        <v>1.56881679638267-37.6383631121596i</v>
      </c>
      <c r="AD126" s="64">
        <f t="shared" si="107"/>
        <v>31.520153148649769</v>
      </c>
      <c r="AE126" s="61">
        <f t="shared" si="108"/>
        <v>-87.613217639458171</v>
      </c>
      <c r="AF126" s="31" t="str">
        <f t="shared" si="93"/>
        <v>-0.000106860158311346</v>
      </c>
      <c r="AG126" s="31" t="str">
        <f t="shared" si="94"/>
        <v>3.48997120669091E-06i</v>
      </c>
      <c r="AH126" s="31">
        <f t="shared" si="109"/>
        <v>3.4899712066909099E-6</v>
      </c>
      <c r="AI126" s="31">
        <f t="shared" si="110"/>
        <v>1.5707963267948966</v>
      </c>
      <c r="AJ126" s="31" t="str">
        <f t="shared" si="95"/>
        <v>1+0.055095514411582i</v>
      </c>
      <c r="AK126" s="31">
        <f t="shared" si="111"/>
        <v>1.0015166078045221</v>
      </c>
      <c r="AL126" s="31">
        <f t="shared" si="112"/>
        <v>5.5039867959400551E-2</v>
      </c>
      <c r="AM126" s="31" t="str">
        <f t="shared" si="96"/>
        <v>1+0.35352955080765i</v>
      </c>
      <c r="AN126" s="31">
        <f t="shared" si="113"/>
        <v>1.0606522254227626</v>
      </c>
      <c r="AO126" s="31">
        <f t="shared" si="114"/>
        <v>0.33981571837480451</v>
      </c>
      <c r="AP126" s="58" t="str">
        <f t="shared" si="115"/>
        <v>-9.11016014419739+31.1211381112928i</v>
      </c>
      <c r="AQ126" s="49">
        <f t="shared" si="116"/>
        <v>30.218176428185643</v>
      </c>
      <c r="AR126" s="61">
        <f t="shared" si="117"/>
        <v>106.31645433605145</v>
      </c>
      <c r="AS126" s="58" t="str">
        <f t="shared" si="118"/>
        <v>1157.05652444455+391.714879708767i</v>
      </c>
      <c r="AT126" s="64">
        <f t="shared" si="119"/>
        <v>61.738329576835376</v>
      </c>
      <c r="AU126" s="61">
        <f t="shared" si="120"/>
        <v>18.703236696593375</v>
      </c>
    </row>
    <row r="127" spans="14:47" x14ac:dyDescent="0.35">
      <c r="N127" s="10">
        <v>9</v>
      </c>
      <c r="O127" s="50">
        <f t="shared" si="121"/>
        <v>123.02687708123821</v>
      </c>
      <c r="P127" s="48" t="str">
        <f t="shared" si="88"/>
        <v>547.187404092767</v>
      </c>
      <c r="Q127" s="17" t="str">
        <f t="shared" si="89"/>
        <v>1+14.8248627058208i</v>
      </c>
      <c r="R127" s="17">
        <f t="shared" si="98"/>
        <v>14.858551552773791</v>
      </c>
      <c r="S127" s="17">
        <f t="shared" si="99"/>
        <v>1.5034441053895748</v>
      </c>
      <c r="T127" s="17" t="str">
        <f t="shared" si="90"/>
        <v>1+0.000280515123938824i</v>
      </c>
      <c r="U127" s="17">
        <f t="shared" si="100"/>
        <v>1.0000000393443667</v>
      </c>
      <c r="V127" s="17">
        <f t="shared" si="101"/>
        <v>2.8051511658103097E-4</v>
      </c>
      <c r="W127" s="31" t="str">
        <f t="shared" si="91"/>
        <v>1-0.00487121467642203i</v>
      </c>
      <c r="X127" s="17">
        <f t="shared" si="102"/>
        <v>1.0000118642958311</v>
      </c>
      <c r="Y127" s="17">
        <f t="shared" si="103"/>
        <v>-4.8711761477206921E-3</v>
      </c>
      <c r="Z127" s="31" t="str">
        <f t="shared" si="92"/>
        <v>0.999994996491741+0.0233071362916033i</v>
      </c>
      <c r="AA127" s="17">
        <f t="shared" si="104"/>
        <v>1.0002665722749273</v>
      </c>
      <c r="AB127" s="17">
        <f t="shared" si="105"/>
        <v>2.3303033900256297E-2</v>
      </c>
      <c r="AC127" s="66" t="str">
        <f t="shared" si="106"/>
        <v>1.45236973391585-36.7883957522838i</v>
      </c>
      <c r="AD127" s="64">
        <f t="shared" si="107"/>
        <v>31.320980608745671</v>
      </c>
      <c r="AE127" s="61">
        <f t="shared" si="108"/>
        <v>-87.739192967238822</v>
      </c>
      <c r="AF127" s="31" t="str">
        <f t="shared" si="93"/>
        <v>-0.000106860158311346</v>
      </c>
      <c r="AG127" s="31" t="str">
        <f t="shared" si="94"/>
        <v>3.57126307906842E-06i</v>
      </c>
      <c r="AH127" s="31">
        <f t="shared" si="109"/>
        <v>3.5712630790684199E-6</v>
      </c>
      <c r="AI127" s="31">
        <f t="shared" si="110"/>
        <v>1.5707963267948966</v>
      </c>
      <c r="AJ127" s="31" t="str">
        <f t="shared" si="95"/>
        <v>1+0.0563788538034751i</v>
      </c>
      <c r="AK127" s="31">
        <f t="shared" si="111"/>
        <v>1.0015880266637545</v>
      </c>
      <c r="AL127" s="31">
        <f t="shared" si="112"/>
        <v>5.6319232660395555E-2</v>
      </c>
      <c r="AM127" s="31" t="str">
        <f t="shared" si="96"/>
        <v>1+0.361764311905631i</v>
      </c>
      <c r="AN127" s="31">
        <f t="shared" si="113"/>
        <v>1.0634253228922821</v>
      </c>
      <c r="AO127" s="31">
        <f t="shared" si="114"/>
        <v>0.34711659243751508</v>
      </c>
      <c r="AP127" s="58" t="str">
        <f t="shared" si="115"/>
        <v>-9.10886097921026+30.4357780008096i</v>
      </c>
      <c r="AQ127" s="49">
        <f t="shared" si="116"/>
        <v>30.040236858285169</v>
      </c>
      <c r="AR127" s="61">
        <f t="shared" si="117"/>
        <v>106.66146140877629</v>
      </c>
      <c r="AS127" s="58" t="str">
        <f t="shared" si="118"/>
        <v>1106.45401212578+379.30438535228i</v>
      </c>
      <c r="AT127" s="64">
        <f t="shared" si="119"/>
        <v>61.361217467030812</v>
      </c>
      <c r="AU127" s="61">
        <f t="shared" si="120"/>
        <v>18.922268441537547</v>
      </c>
    </row>
    <row r="128" spans="14:47" x14ac:dyDescent="0.35">
      <c r="N128" s="10">
        <v>10</v>
      </c>
      <c r="O128" s="50">
        <f t="shared" si="121"/>
        <v>125.89254117941677</v>
      </c>
      <c r="P128" s="48" t="str">
        <f t="shared" si="88"/>
        <v>547.187404092767</v>
      </c>
      <c r="Q128" s="17" t="str">
        <f t="shared" si="89"/>
        <v>1+15.1701781183907i</v>
      </c>
      <c r="R128" s="17">
        <f t="shared" si="98"/>
        <v>15.203101793505823</v>
      </c>
      <c r="S128" s="17">
        <f t="shared" si="99"/>
        <v>1.504972753251244</v>
      </c>
      <c r="T128" s="17" t="str">
        <f t="shared" si="90"/>
        <v>1+0.000287049160555365i</v>
      </c>
      <c r="U128" s="17">
        <f t="shared" si="100"/>
        <v>1.0000000411986094</v>
      </c>
      <c r="V128" s="17">
        <f t="shared" si="101"/>
        <v>2.8704915267134773E-4</v>
      </c>
      <c r="W128" s="31" t="str">
        <f t="shared" si="91"/>
        <v>1-0.00498467984227782i</v>
      </c>
      <c r="X128" s="17">
        <f t="shared" si="102"/>
        <v>1.0000124234393941</v>
      </c>
      <c r="Y128" s="17">
        <f t="shared" si="103"/>
        <v>-4.9846385580582311E-3</v>
      </c>
      <c r="Z128" s="31" t="str">
        <f t="shared" si="92"/>
        <v>0.999994760683661+0.0238500292373301i</v>
      </c>
      <c r="AA128" s="17">
        <f t="shared" si="104"/>
        <v>1.0002791336868893</v>
      </c>
      <c r="AB128" s="17">
        <f t="shared" si="105"/>
        <v>2.3845633512046705E-2</v>
      </c>
      <c r="AC128" s="66" t="str">
        <f t="shared" si="106"/>
        <v>1.34111949939474-35.9572298106412i</v>
      </c>
      <c r="AD128" s="64">
        <f t="shared" si="107"/>
        <v>31.121761845306139</v>
      </c>
      <c r="AE128" s="61">
        <f t="shared" si="108"/>
        <v>-87.86399325034975</v>
      </c>
      <c r="AF128" s="31" t="str">
        <f t="shared" si="93"/>
        <v>-0.000106860158311346</v>
      </c>
      <c r="AG128" s="31" t="str">
        <f t="shared" si="94"/>
        <v>0.0000036544484824017i</v>
      </c>
      <c r="AH128" s="31">
        <f t="shared" si="109"/>
        <v>3.6544484824016999E-6</v>
      </c>
      <c r="AI128" s="31">
        <f t="shared" si="110"/>
        <v>1.5707963267948966</v>
      </c>
      <c r="AJ128" s="31" t="str">
        <f t="shared" si="95"/>
        <v>1+0.0576920860099172i</v>
      </c>
      <c r="AK128" s="31">
        <f t="shared" si="111"/>
        <v>1.0016628059323036</v>
      </c>
      <c r="AL128" s="31">
        <f t="shared" si="112"/>
        <v>5.7628206530481139E-2</v>
      </c>
      <c r="AM128" s="31" t="str">
        <f t="shared" si="96"/>
        <v>1+0.370190885230301i</v>
      </c>
      <c r="AN128" s="31">
        <f t="shared" si="113"/>
        <v>1.0663213828427121</v>
      </c>
      <c r="AO128" s="31">
        <f t="shared" si="114"/>
        <v>0.3545478084460682</v>
      </c>
      <c r="AP128" s="58" t="str">
        <f t="shared" si="115"/>
        <v>-9.10750098354809+29.7665484598643i</v>
      </c>
      <c r="AQ128" s="49">
        <f t="shared" si="116"/>
        <v>29.863210795666557</v>
      </c>
      <c r="AR128" s="61">
        <f t="shared" si="117"/>
        <v>107.01224004446765</v>
      </c>
      <c r="AS128" s="58" t="str">
        <f t="shared" si="118"/>
        <v>1058.10837648114+367.401004435282i</v>
      </c>
      <c r="AT128" s="64">
        <f t="shared" si="119"/>
        <v>60.984972640972728</v>
      </c>
      <c r="AU128" s="61">
        <f t="shared" si="120"/>
        <v>19.148246794117838</v>
      </c>
    </row>
    <row r="129" spans="14:47" x14ac:dyDescent="0.35">
      <c r="N129" s="10">
        <v>11</v>
      </c>
      <c r="O129" s="50">
        <f t="shared" si="121"/>
        <v>128.82495516931343</v>
      </c>
      <c r="P129" s="48" t="str">
        <f t="shared" si="88"/>
        <v>547.187404092767</v>
      </c>
      <c r="Q129" s="17" t="str">
        <f t="shared" si="89"/>
        <v>1+15.5235369602i</v>
      </c>
      <c r="R129" s="17">
        <f t="shared" si="98"/>
        <v>15.555712769098541</v>
      </c>
      <c r="S129" s="17">
        <f t="shared" si="99"/>
        <v>1.5064669025852007</v>
      </c>
      <c r="T129" s="17" t="str">
        <f t="shared" si="90"/>
        <v>1+0.000293735394436379i</v>
      </c>
      <c r="U129" s="17">
        <f t="shared" si="100"/>
        <v>1.00000004314024</v>
      </c>
      <c r="V129" s="17">
        <f t="shared" si="101"/>
        <v>2.9373538598850233E-4</v>
      </c>
      <c r="W129" s="31" t="str">
        <f t="shared" si="91"/>
        <v>1-0.00510078795136603i</v>
      </c>
      <c r="X129" s="17">
        <f t="shared" si="102"/>
        <v>1.0000130089342463</v>
      </c>
      <c r="Y129" s="17">
        <f t="shared" si="103"/>
        <v>-5.1007437145588197E-3</v>
      </c>
      <c r="Z129" s="31" t="str">
        <f t="shared" si="92"/>
        <v>0.999994513762289+0.024405567784251i</v>
      </c>
      <c r="AA129" s="17">
        <f t="shared" si="104"/>
        <v>1.0002922869309492</v>
      </c>
      <c r="AB129" s="17">
        <f t="shared" si="105"/>
        <v>2.4400857754071959E-2</v>
      </c>
      <c r="AC129" s="66" t="str">
        <f t="shared" si="106"/>
        <v>1.2348363633758-35.1444712044335i</v>
      </c>
      <c r="AD129" s="64">
        <f t="shared" si="107"/>
        <v>30.922498490923701</v>
      </c>
      <c r="AE129" s="61">
        <f t="shared" si="108"/>
        <v>-87.987682949396444</v>
      </c>
      <c r="AF129" s="31" t="str">
        <f t="shared" si="93"/>
        <v>-0.000106860158311346</v>
      </c>
      <c r="AG129" s="31" t="str">
        <f t="shared" si="94"/>
        <v>3.73957152269269E-06i</v>
      </c>
      <c r="AH129" s="31">
        <f t="shared" si="109"/>
        <v>3.73957152269269E-6</v>
      </c>
      <c r="AI129" s="31">
        <f t="shared" si="110"/>
        <v>1.5707963267948966</v>
      </c>
      <c r="AJ129" s="31" t="str">
        <f t="shared" si="95"/>
        <v>1+0.0590359073240068i</v>
      </c>
      <c r="AK129" s="31">
        <f t="shared" si="111"/>
        <v>1.0017411034561619</v>
      </c>
      <c r="AL129" s="31">
        <f t="shared" si="112"/>
        <v>5.896746565227684E-2</v>
      </c>
      <c r="AM129" s="31" t="str">
        <f t="shared" si="96"/>
        <v>1+0.378813738662376i</v>
      </c>
      <c r="AN129" s="31">
        <f t="shared" si="113"/>
        <v>1.0693455234859155</v>
      </c>
      <c r="AO129" s="31">
        <f t="shared" si="114"/>
        <v>0.36211002255988817</v>
      </c>
      <c r="AP129" s="58" t="str">
        <f t="shared" si="115"/>
        <v>-9.10607732846429+29.1130941651463i</v>
      </c>
      <c r="AQ129" s="49">
        <f t="shared" si="116"/>
        <v>29.687130618715976</v>
      </c>
      <c r="AR129" s="61">
        <f t="shared" si="117"/>
        <v>107.36878910161049</v>
      </c>
      <c r="AS129" s="58" t="str">
        <f t="shared" si="118"/>
        <v>1011.91978414605+355.978179781064i</v>
      </c>
      <c r="AT129" s="64">
        <f t="shared" si="119"/>
        <v>60.60962910963972</v>
      </c>
      <c r="AU129" s="61">
        <f t="shared" si="120"/>
        <v>19.381106152213942</v>
      </c>
    </row>
    <row r="130" spans="14:47" x14ac:dyDescent="0.35">
      <c r="N130" s="10">
        <v>12</v>
      </c>
      <c r="O130" s="50">
        <f t="shared" si="121"/>
        <v>131.82567385564084</v>
      </c>
      <c r="P130" s="48" t="str">
        <f t="shared" si="88"/>
        <v>547.187404092767</v>
      </c>
      <c r="Q130" s="17" t="str">
        <f t="shared" si="89"/>
        <v>1+15.885126586784i</v>
      </c>
      <c r="R130" s="17">
        <f t="shared" si="98"/>
        <v>15.91657144859256</v>
      </c>
      <c r="S130" s="17">
        <f t="shared" si="99"/>
        <v>1.507927318908872</v>
      </c>
      <c r="T130" s="17" t="str">
        <f t="shared" si="90"/>
        <v>1+0.00030057737071157i</v>
      </c>
      <c r="U130" s="17">
        <f t="shared" si="100"/>
        <v>1.0000000451733768</v>
      </c>
      <c r="V130" s="17">
        <f t="shared" si="101"/>
        <v>3.0057736165950709E-4</v>
      </c>
      <c r="W130" s="31" t="str">
        <f t="shared" si="91"/>
        <v>1-0.00521960056574297i</v>
      </c>
      <c r="X130" s="17">
        <f t="shared" si="102"/>
        <v>1.0000136220222533</v>
      </c>
      <c r="Y130" s="17">
        <f t="shared" si="103"/>
        <v>-5.2195531651849144E-3</v>
      </c>
      <c r="Z130" s="31" t="str">
        <f t="shared" si="92"/>
        <v>0.999994255203872+0.024974046486257i</v>
      </c>
      <c r="AA130" s="17">
        <f t="shared" si="104"/>
        <v>1.0003060598829963</v>
      </c>
      <c r="AB130" s="17">
        <f t="shared" si="105"/>
        <v>2.4968999681380052E-2</v>
      </c>
      <c r="AC130" s="66" t="str">
        <f t="shared" si="106"/>
        <v>1.13330058712576-34.3497325435095i</v>
      </c>
      <c r="AD130" s="64">
        <f t="shared" si="107"/>
        <v>30.723192085822333</v>
      </c>
      <c r="AE130" s="61">
        <f t="shared" si="108"/>
        <v>-88.110326039431641</v>
      </c>
      <c r="AF130" s="31" t="str">
        <f t="shared" si="93"/>
        <v>-0.000106860158311346</v>
      </c>
      <c r="AG130" s="31" t="str">
        <f t="shared" si="94"/>
        <v>3.82667733330411E-06i</v>
      </c>
      <c r="AH130" s="31">
        <f t="shared" si="109"/>
        <v>3.8266773333041102E-6</v>
      </c>
      <c r="AI130" s="31">
        <f t="shared" si="110"/>
        <v>1.5707963267948966</v>
      </c>
      <c r="AJ130" s="31" t="str">
        <f t="shared" si="95"/>
        <v>1+0.0604110302575923i</v>
      </c>
      <c r="AK130" s="31">
        <f t="shared" si="111"/>
        <v>1.0018230844698996</v>
      </c>
      <c r="AL130" s="31">
        <f t="shared" si="112"/>
        <v>6.0337700890906683E-2</v>
      </c>
      <c r="AM130" s="31" t="str">
        <f t="shared" si="96"/>
        <v>1+0.387637444152883i</v>
      </c>
      <c r="AN130" s="31">
        <f t="shared" si="113"/>
        <v>1.0725030480653095</v>
      </c>
      <c r="AO130" s="31">
        <f t="shared" si="114"/>
        <v>0.36980378367956418</v>
      </c>
      <c r="AP130" s="58" t="str">
        <f t="shared" si="115"/>
        <v>-9.10458705554612+28.4750681230211i</v>
      </c>
      <c r="AQ130" s="49">
        <f t="shared" si="116"/>
        <v>29.51202939555629</v>
      </c>
      <c r="AR130" s="61">
        <f t="shared" si="117"/>
        <v>107.73110044623617</v>
      </c>
      <c r="AS130" s="58" t="str">
        <f t="shared" si="118"/>
        <v>967.7927403284+345.010941699374i</v>
      </c>
      <c r="AT130" s="64">
        <f t="shared" si="119"/>
        <v>60.23522148137863</v>
      </c>
      <c r="AU130" s="61">
        <f t="shared" si="120"/>
        <v>19.62077440680455</v>
      </c>
    </row>
    <row r="131" spans="14:47" x14ac:dyDescent="0.35">
      <c r="N131" s="10">
        <v>13</v>
      </c>
      <c r="O131" s="50">
        <f t="shared" si="121"/>
        <v>134.89628825916537</v>
      </c>
      <c r="P131" s="48" t="str">
        <f t="shared" si="88"/>
        <v>547.187404092767</v>
      </c>
      <c r="Q131" s="17" t="str">
        <f t="shared" si="89"/>
        <v>1+16.2551387177487i</v>
      </c>
      <c r="R131" s="17">
        <f t="shared" si="98"/>
        <v>16.285869173404677</v>
      </c>
      <c r="S131" s="17">
        <f t="shared" si="99"/>
        <v>1.5093547516218806</v>
      </c>
      <c r="T131" s="17" t="str">
        <f t="shared" si="90"/>
        <v>1+0.000307578717087323i</v>
      </c>
      <c r="U131" s="17">
        <f t="shared" si="100"/>
        <v>1.0000000473023325</v>
      </c>
      <c r="V131" s="17">
        <f t="shared" si="101"/>
        <v>3.0757870738786283E-4</v>
      </c>
      <c r="W131" s="31" t="str">
        <f t="shared" si="91"/>
        <v>1-0.00534118068142944i</v>
      </c>
      <c r="X131" s="17">
        <f t="shared" si="102"/>
        <v>1.000014264003805</v>
      </c>
      <c r="Y131" s="17">
        <f t="shared" si="103"/>
        <v>-5.3411298908555317E-3</v>
      </c>
      <c r="Z131" s="31" t="str">
        <f t="shared" si="92"/>
        <v>0.999993984459972+0.0255557667582805i</v>
      </c>
      <c r="AA131" s="17">
        <f t="shared" si="104"/>
        <v>1.0003204817310971</v>
      </c>
      <c r="AB131" s="17">
        <f t="shared" si="105"/>
        <v>2.5550359102984359E-2</v>
      </c>
      <c r="AC131" s="66" t="str">
        <f t="shared" si="106"/>
        <v>1.03630200390908-33.5726331250369i</v>
      </c>
      <c r="AD131" s="64">
        <f t="shared" si="107"/>
        <v>30.523844080937664</v>
      </c>
      <c r="AE131" s="61">
        <f t="shared" si="108"/>
        <v>-88.231986036370856</v>
      </c>
      <c r="AF131" s="31" t="str">
        <f t="shared" si="93"/>
        <v>-0.000106860158311346</v>
      </c>
      <c r="AG131" s="31" t="str">
        <f t="shared" si="94"/>
        <v>3.91581209888969E-06i</v>
      </c>
      <c r="AH131" s="31">
        <f t="shared" si="109"/>
        <v>3.9158120988896898E-6</v>
      </c>
      <c r="AI131" s="31">
        <f t="shared" si="110"/>
        <v>1.5707963267948966</v>
      </c>
      <c r="AJ131" s="31" t="str">
        <f t="shared" si="95"/>
        <v>1+0.0618181839190547i</v>
      </c>
      <c r="AK131" s="31">
        <f t="shared" si="111"/>
        <v>1.0019089219400383</v>
      </c>
      <c r="AL131" s="31">
        <f t="shared" si="112"/>
        <v>6.1739618170178132E-2</v>
      </c>
      <c r="AM131" s="31" t="str">
        <f t="shared" si="96"/>
        <v>1+0.396666680147267i</v>
      </c>
      <c r="AN131" s="31">
        <f t="shared" si="113"/>
        <v>1.0757994493115592</v>
      </c>
      <c r="AO131" s="31">
        <f t="shared" si="114"/>
        <v>0.37762952673141065</v>
      </c>
      <c r="AP131" s="58" t="str">
        <f t="shared" si="115"/>
        <v>-9.10302707095138+27.8521314831262i</v>
      </c>
      <c r="AQ131" s="49">
        <f t="shared" si="116"/>
        <v>29.337940859572264</v>
      </c>
      <c r="AR131" s="61">
        <f t="shared" si="117"/>
        <v>108.09915855133211</v>
      </c>
      <c r="AS131" s="58" t="str">
        <f t="shared" si="118"/>
        <v>925.63590683802+334.475807849433i</v>
      </c>
      <c r="AT131" s="64">
        <f t="shared" si="119"/>
        <v>59.861784940509928</v>
      </c>
      <c r="AU131" s="61">
        <f t="shared" si="120"/>
        <v>19.86717251496129</v>
      </c>
    </row>
    <row r="132" spans="14:47" x14ac:dyDescent="0.35">
      <c r="N132" s="10">
        <v>14</v>
      </c>
      <c r="O132" s="50">
        <f t="shared" si="121"/>
        <v>138.0384264602886</v>
      </c>
      <c r="P132" s="48" t="str">
        <f t="shared" si="88"/>
        <v>547.187404092767</v>
      </c>
      <c r="Q132" s="17" t="str">
        <f t="shared" si="89"/>
        <v>1+16.6337695384238i</v>
      </c>
      <c r="R132" s="17">
        <f t="shared" si="98"/>
        <v>16.663801758824292</v>
      </c>
      <c r="S132" s="17">
        <f t="shared" si="99"/>
        <v>1.5107499342869302</v>
      </c>
      <c r="T132" s="17" t="str">
        <f t="shared" si="90"/>
        <v>1+0.000314743145770163i</v>
      </c>
      <c r="U132" s="17">
        <f t="shared" si="100"/>
        <v>1.0000000495316226</v>
      </c>
      <c r="V132" s="17">
        <f t="shared" si="101"/>
        <v>3.1474313537700424E-4</v>
      </c>
      <c r="W132" s="31" t="str">
        <f t="shared" si="91"/>
        <v>1-0.00546559276181209i</v>
      </c>
      <c r="X132" s="17">
        <f t="shared" si="102"/>
        <v>1.0000149362405735</v>
      </c>
      <c r="Y132" s="17">
        <f t="shared" si="103"/>
        <v>-5.4655383387755248E-3</v>
      </c>
      <c r="Z132" s="31" t="str">
        <f t="shared" si="92"/>
        <v>0.999993700956304+0.0261510370361099i</v>
      </c>
      <c r="AA132" s="17">
        <f t="shared" si="104"/>
        <v>1.0003355830371876</v>
      </c>
      <c r="AB132" s="17">
        <f t="shared" si="105"/>
        <v>2.6145242734034846E-2</v>
      </c>
      <c r="AC132" s="66" t="str">
        <f t="shared" si="106"/>
        <v>0.943639616484163-32.8127989188733i</v>
      </c>
      <c r="AD132" s="64">
        <f t="shared" si="107"/>
        <v>30.324455840824989</v>
      </c>
      <c r="AE132" s="61">
        <f t="shared" si="108"/>
        <v>-88.352726023603807</v>
      </c>
      <c r="AF132" s="31" t="str">
        <f t="shared" si="93"/>
        <v>-0.000106860158311346</v>
      </c>
      <c r="AG132" s="31" t="str">
        <f t="shared" si="94"/>
        <v>4.00702307988202E-06i</v>
      </c>
      <c r="AH132" s="31">
        <f t="shared" si="109"/>
        <v>4.00702307988202E-6</v>
      </c>
      <c r="AI132" s="31">
        <f t="shared" si="110"/>
        <v>1.5707963267948966</v>
      </c>
      <c r="AJ132" s="31" t="str">
        <f t="shared" si="95"/>
        <v>1+0.0632581143998915i</v>
      </c>
      <c r="AK132" s="31">
        <f t="shared" si="111"/>
        <v>1.0019987969241428</v>
      </c>
      <c r="AL132" s="31">
        <f t="shared" si="112"/>
        <v>6.3173938750430578E-2</v>
      </c>
      <c r="AM132" s="31" t="str">
        <f t="shared" si="96"/>
        <v>1+0.40590623406597i</v>
      </c>
      <c r="AN132" s="31">
        <f t="shared" si="113"/>
        <v>1.0792404138344793</v>
      </c>
      <c r="AO132" s="31">
        <f t="shared" si="114"/>
        <v>0.38558756587084103</v>
      </c>
      <c r="AP132" s="58" t="str">
        <f t="shared" si="115"/>
        <v>-9.10139413940644+27.2439533561162i</v>
      </c>
      <c r="AQ132" s="49">
        <f t="shared" si="116"/>
        <v>29.164899380957824</v>
      </c>
      <c r="AR132" s="61">
        <f t="shared" si="117"/>
        <v>108.47294009150416</v>
      </c>
      <c r="AS132" s="58" t="str">
        <f t="shared" si="118"/>
        <v>885.361927154224+324.350689474233i</v>
      </c>
      <c r="AT132" s="64">
        <f t="shared" si="119"/>
        <v>59.489355221782816</v>
      </c>
      <c r="AU132" s="61">
        <f t="shared" si="120"/>
        <v>20.120214067900331</v>
      </c>
    </row>
    <row r="133" spans="14:47" x14ac:dyDescent="0.35">
      <c r="N133" s="10">
        <v>15</v>
      </c>
      <c r="O133" s="50">
        <f t="shared" si="121"/>
        <v>141.25375446227542</v>
      </c>
      <c r="P133" s="48" t="str">
        <f t="shared" si="88"/>
        <v>547.187404092767</v>
      </c>
      <c r="Q133" s="17" t="str">
        <f t="shared" si="89"/>
        <v>1+17.0212198038822i</v>
      </c>
      <c r="R133" s="17">
        <f t="shared" si="98"/>
        <v>17.050569597877711</v>
      </c>
      <c r="S133" s="17">
        <f t="shared" si="99"/>
        <v>1.5121135849098952</v>
      </c>
      <c r="T133" s="17" t="str">
        <f t="shared" si="90"/>
        <v>1+0.000322074455435007i</v>
      </c>
      <c r="U133" s="17">
        <f t="shared" si="100"/>
        <v>1.000000051865976</v>
      </c>
      <c r="V133" s="17">
        <f t="shared" si="101"/>
        <v>3.220744442985367E-4</v>
      </c>
      <c r="W133" s="31" t="str">
        <f t="shared" si="91"/>
        <v>1-0.00559290277182272i</v>
      </c>
      <c r="X133" s="17">
        <f t="shared" si="102"/>
        <v>1.0000156401584002</v>
      </c>
      <c r="Y133" s="17">
        <f t="shared" si="103"/>
        <v>-5.5928444565376493E-3</v>
      </c>
      <c r="Z133" s="31" t="str">
        <f t="shared" si="92"/>
        <v>0.999993404091521+0.0267601729399257i</v>
      </c>
      <c r="AA133" s="17">
        <f t="shared" si="104"/>
        <v>1.0003513958016568</v>
      </c>
      <c r="AB133" s="17">
        <f t="shared" si="105"/>
        <v>2.6753964351165883E-2</v>
      </c>
      <c r="AC133" s="66" t="str">
        <f t="shared" si="106"/>
        <v>0.855121210305115-32.0698625444298i</v>
      </c>
      <c r="AD133" s="64">
        <f t="shared" si="107"/>
        <v>30.12502864639924</v>
      </c>
      <c r="AE133" s="61">
        <f t="shared" si="108"/>
        <v>-88.472608678784525</v>
      </c>
      <c r="AF133" s="31" t="str">
        <f t="shared" si="93"/>
        <v>-0.000106860158311346</v>
      </c>
      <c r="AG133" s="31" t="str">
        <f t="shared" si="94"/>
        <v>4.10035863755051E-06i</v>
      </c>
      <c r="AH133" s="31">
        <f t="shared" si="109"/>
        <v>4.1003586375505099E-6</v>
      </c>
      <c r="AI133" s="31">
        <f t="shared" si="110"/>
        <v>1.5707963267948966</v>
      </c>
      <c r="AJ133" s="31" t="str">
        <f t="shared" si="95"/>
        <v>1+0.0647315851703032i</v>
      </c>
      <c r="AK133" s="31">
        <f t="shared" si="111"/>
        <v>1.0020928989463302</v>
      </c>
      <c r="AL133" s="31">
        <f t="shared" si="112"/>
        <v>6.4641399507761113E-2</v>
      </c>
      <c r="AM133" s="31" t="str">
        <f t="shared" si="96"/>
        <v>1+0.415361004842778i</v>
      </c>
      <c r="AN133" s="31">
        <f t="shared" si="113"/>
        <v>1.0828318264365904</v>
      </c>
      <c r="AO133" s="31">
        <f t="shared" si="114"/>
        <v>0.3936780876310722</v>
      </c>
      <c r="AP133" s="58" t="str">
        <f t="shared" si="115"/>
        <v>-9.0996848779577+26.6502106354515i</v>
      </c>
      <c r="AQ133" s="49">
        <f t="shared" si="116"/>
        <v>28.992939934089328</v>
      </c>
      <c r="AR133" s="61">
        <f t="shared" si="117"/>
        <v>108.85241353442811</v>
      </c>
      <c r="AS133" s="58" t="str">
        <f t="shared" si="118"/>
        <v>846.887258312796+314.614803607203i</v>
      </c>
      <c r="AT133" s="64">
        <f t="shared" si="119"/>
        <v>59.117968580488565</v>
      </c>
      <c r="AU133" s="61">
        <f t="shared" si="120"/>
        <v>20.379804855643563</v>
      </c>
    </row>
    <row r="134" spans="14:47" x14ac:dyDescent="0.35">
      <c r="N134" s="10">
        <v>16</v>
      </c>
      <c r="O134" s="50">
        <f t="shared" si="121"/>
        <v>144.54397707459285</v>
      </c>
      <c r="P134" s="48" t="str">
        <f t="shared" si="88"/>
        <v>547.187404092767</v>
      </c>
      <c r="Q134" s="17" t="str">
        <f t="shared" si="89"/>
        <v>1+17.417694945383i</v>
      </c>
      <c r="R134" s="17">
        <f t="shared" si="98"/>
        <v>17.446377767617566</v>
      </c>
      <c r="S134" s="17">
        <f t="shared" si="99"/>
        <v>1.5134464062187845</v>
      </c>
      <c r="T134" s="17" t="str">
        <f t="shared" si="90"/>
        <v>1+0.000329576533239283i</v>
      </c>
      <c r="U134" s="17">
        <f t="shared" si="100"/>
        <v>1.0000000543103442</v>
      </c>
      <c r="V134" s="17">
        <f t="shared" si="101"/>
        <v>3.2957652130634015E-4</v>
      </c>
      <c r="W134" s="31" t="str">
        <f t="shared" si="91"/>
        <v>1-0.0057231782129138i</v>
      </c>
      <c r="X134" s="17">
        <f t="shared" si="102"/>
        <v>1.0000163772503212</v>
      </c>
      <c r="Y134" s="17">
        <f t="shared" si="103"/>
        <v>-5.7231157270153255E-3</v>
      </c>
      <c r="Z134" s="31" t="str">
        <f t="shared" si="92"/>
        <v>0.999993093235931+0.0273834974416471i</v>
      </c>
      <c r="AA134" s="17">
        <f t="shared" si="104"/>
        <v>1.0003679535309506</v>
      </c>
      <c r="AB134" s="17">
        <f t="shared" si="105"/>
        <v>2.7376844951071178E-2</v>
      </c>
      <c r="AC134" s="66" t="str">
        <f t="shared" si="106"/>
        <v>0.770562981929777-31.3434632397742i</v>
      </c>
      <c r="AD134" s="64">
        <f t="shared" si="107"/>
        <v>29.925563697512203</v>
      </c>
      <c r="AE134" s="61">
        <f t="shared" si="108"/>
        <v>-88.591696300784164</v>
      </c>
      <c r="AF134" s="31" t="str">
        <f t="shared" si="93"/>
        <v>-0.000106860158311346</v>
      </c>
      <c r="AG134" s="31" t="str">
        <f t="shared" si="94"/>
        <v>0.0000041958682596433i</v>
      </c>
      <c r="AH134" s="31">
        <f t="shared" si="109"/>
        <v>4.1958682596432996E-6</v>
      </c>
      <c r="AI134" s="31">
        <f t="shared" si="110"/>
        <v>1.5707963267948966</v>
      </c>
      <c r="AJ134" s="31" t="str">
        <f t="shared" si="95"/>
        <v>1+0.0662393774839961i</v>
      </c>
      <c r="AK134" s="31">
        <f t="shared" si="111"/>
        <v>1.0021914263899223</v>
      </c>
      <c r="AL134" s="31">
        <f t="shared" si="112"/>
        <v>6.6142753214313968E-2</v>
      </c>
      <c r="AM134" s="31" t="str">
        <f t="shared" si="96"/>
        <v>1+0.425036005522308i</v>
      </c>
      <c r="AN134" s="31">
        <f t="shared" si="113"/>
        <v>1.0865797743333709</v>
      </c>
      <c r="AO134" s="31">
        <f t="shared" si="114"/>
        <v>0.40190114404659921</v>
      </c>
      <c r="AP134" s="58" t="str">
        <f t="shared" si="115"/>
        <v>-9.09789574946753+26.0705878231218i</v>
      </c>
      <c r="AQ134" s="49">
        <f t="shared" si="116"/>
        <v>28.822098060537442</v>
      </c>
      <c r="AR134" s="61">
        <f t="shared" si="117"/>
        <v>109.23753873079399</v>
      </c>
      <c r="AS134" s="58" t="str">
        <f t="shared" si="118"/>
        <v>810.132009395327+305.24859087638i</v>
      </c>
      <c r="AT134" s="64">
        <f t="shared" si="119"/>
        <v>58.747661758049645</v>
      </c>
      <c r="AU134" s="61">
        <f t="shared" si="120"/>
        <v>20.645842430009797</v>
      </c>
    </row>
    <row r="135" spans="14:47" x14ac:dyDescent="0.35">
      <c r="N135" s="10">
        <v>17</v>
      </c>
      <c r="O135" s="50">
        <f t="shared" si="121"/>
        <v>147.91083881682084</v>
      </c>
      <c r="P135" s="48" t="str">
        <f t="shared" si="88"/>
        <v>547.187404092767</v>
      </c>
      <c r="Q135" s="17" t="str">
        <f t="shared" si="89"/>
        <v>1+17.8234051792944i</v>
      </c>
      <c r="R135" s="17">
        <f t="shared" si="98"/>
        <v>17.851436137893735</v>
      </c>
      <c r="S135" s="17">
        <f t="shared" si="99"/>
        <v>1.5147490859412596</v>
      </c>
      <c r="T135" s="17" t="str">
        <f t="shared" si="90"/>
        <v>1+0.000337253356883944i</v>
      </c>
      <c r="U135" s="17">
        <f t="shared" si="100"/>
        <v>1.0000000568699117</v>
      </c>
      <c r="V135" s="17">
        <f t="shared" si="101"/>
        <v>3.3725334409756541E-4</v>
      </c>
      <c r="W135" s="31" t="str">
        <f t="shared" si="91"/>
        <v>1-0.00585648815884858i</v>
      </c>
      <c r="X135" s="17">
        <f t="shared" si="102"/>
        <v>1.0000171490797318</v>
      </c>
      <c r="Y135" s="17">
        <f t="shared" si="103"/>
        <v>-5.8564212040640717E-3</v>
      </c>
      <c r="Z135" s="31" t="str">
        <f t="shared" si="92"/>
        <v>0.999992767730169+0.0280213410361754i</v>
      </c>
      <c r="AA135" s="17">
        <f t="shared" si="104"/>
        <v>1.0003852913083586</v>
      </c>
      <c r="AB135" s="17">
        <f t="shared" si="105"/>
        <v>2.8014212912350026E-2</v>
      </c>
      <c r="AC135" s="66" t="str">
        <f t="shared" si="106"/>
        <v>0.689789182139622-30.6332468236632i</v>
      </c>
      <c r="AD135" s="64">
        <f t="shared" si="107"/>
        <v>29.726062115370038</v>
      </c>
      <c r="AE135" s="61">
        <f t="shared" si="108"/>
        <v>-88.710050836792277</v>
      </c>
      <c r="AF135" s="31" t="str">
        <f t="shared" si="93"/>
        <v>-0.000106860158311346</v>
      </c>
      <c r="AG135" s="31" t="str">
        <f t="shared" si="94"/>
        <v>4.29360258662623E-06i</v>
      </c>
      <c r="AH135" s="31">
        <f t="shared" si="109"/>
        <v>4.2936025866262298E-6</v>
      </c>
      <c r="AI135" s="31">
        <f t="shared" si="110"/>
        <v>1.5707963267948966</v>
      </c>
      <c r="AJ135" s="31" t="str">
        <f t="shared" si="95"/>
        <v>1+0.0677822907924128i</v>
      </c>
      <c r="AK135" s="31">
        <f t="shared" si="111"/>
        <v>1.0022945869079944</v>
      </c>
      <c r="AL135" s="31">
        <f t="shared" si="112"/>
        <v>6.7678768819282684E-2</v>
      </c>
      <c r="AM135" s="31" t="str">
        <f t="shared" si="96"/>
        <v>1+0.434936365917981i</v>
      </c>
      <c r="AN135" s="31">
        <f t="shared" si="113"/>
        <v>1.0904905512648608</v>
      </c>
      <c r="AO135" s="31">
        <f t="shared" si="114"/>
        <v>0.41025664578376003</v>
      </c>
      <c r="AP135" s="58" t="str">
        <f t="shared" si="115"/>
        <v>-9.09602305584701+25.5047768592007i</v>
      </c>
      <c r="AQ135" s="49">
        <f t="shared" si="116"/>
        <v>28.652409827543416</v>
      </c>
      <c r="AR135" s="61">
        <f t="shared" si="117"/>
        <v>109.62826650461655</v>
      </c>
      <c r="AS135" s="58" t="str">
        <f t="shared" si="118"/>
        <v>775.019786405933+296.233638553854i</v>
      </c>
      <c r="AT135" s="64">
        <f t="shared" si="119"/>
        <v>58.37847194291345</v>
      </c>
      <c r="AU135" s="61">
        <f t="shared" si="120"/>
        <v>20.918215667824267</v>
      </c>
    </row>
    <row r="136" spans="14:47" x14ac:dyDescent="0.35">
      <c r="N136" s="10">
        <v>18</v>
      </c>
      <c r="O136" s="50">
        <f t="shared" si="121"/>
        <v>151.3561248436209</v>
      </c>
      <c r="P136" s="48" t="str">
        <f t="shared" si="88"/>
        <v>547.187404092767</v>
      </c>
      <c r="Q136" s="17" t="str">
        <f t="shared" si="89"/>
        <v>1+18.2385656185524i</v>
      </c>
      <c r="R136" s="17">
        <f t="shared" si="98"/>
        <v>18.265959482661778</v>
      </c>
      <c r="S136" s="17">
        <f t="shared" si="99"/>
        <v>1.5160222970804287</v>
      </c>
      <c r="T136" s="17" t="str">
        <f t="shared" si="90"/>
        <v>1+0.0003451089967225i</v>
      </c>
      <c r="U136" s="17">
        <f t="shared" si="100"/>
        <v>1.0000000595501082</v>
      </c>
      <c r="V136" s="17">
        <f t="shared" si="101"/>
        <v>3.4510898302164857E-4</v>
      </c>
      <c r="W136" s="31" t="str">
        <f t="shared" si="91"/>
        <v>1-0.00599290329232497i</v>
      </c>
      <c r="X136" s="17">
        <f t="shared" si="102"/>
        <v>1.0000179572837036</v>
      </c>
      <c r="Y136" s="17">
        <f t="shared" si="103"/>
        <v>-5.99283154905037E-3</v>
      </c>
      <c r="Z136" s="31" t="str">
        <f t="shared" si="92"/>
        <v>0.999992426883793+0.0286740419166274i</v>
      </c>
      <c r="AA136" s="17">
        <f t="shared" si="104"/>
        <v>1.000403445868103</v>
      </c>
      <c r="AB136" s="17">
        <f t="shared" si="105"/>
        <v>2.8666404160674397E-2</v>
      </c>
      <c r="AC136" s="66" t="str">
        <f t="shared" si="106"/>
        <v>0.612631773283767-29.9388656511588i</v>
      </c>
      <c r="AD136" s="64">
        <f t="shared" si="107"/>
        <v>29.526524944797266</v>
      </c>
      <c r="AE136" s="61">
        <f t="shared" si="108"/>
        <v>-88.827733909553956</v>
      </c>
      <c r="AF136" s="31" t="str">
        <f t="shared" si="93"/>
        <v>-0.000106860158311346</v>
      </c>
      <c r="AG136" s="31" t="str">
        <f t="shared" si="94"/>
        <v>4.39361343853314E-06i</v>
      </c>
      <c r="AH136" s="31">
        <f t="shared" si="109"/>
        <v>4.3936134385331399E-6</v>
      </c>
      <c r="AI136" s="31">
        <f t="shared" si="110"/>
        <v>1.5707963267948966</v>
      </c>
      <c r="AJ136" s="31" t="str">
        <f t="shared" si="95"/>
        <v>1+0.0693611431686123i</v>
      </c>
      <c r="AK136" s="31">
        <f t="shared" si="111"/>
        <v>1.0024025978526077</v>
      </c>
      <c r="AL136" s="31">
        <f t="shared" si="112"/>
        <v>6.9250231730246109E-2</v>
      </c>
      <c r="AM136" s="31" t="str">
        <f t="shared" si="96"/>
        <v>1+0.445067335331928i</v>
      </c>
      <c r="AN136" s="31">
        <f t="shared" si="113"/>
        <v>1.0945706614830597</v>
      </c>
      <c r="AO136" s="31">
        <f t="shared" si="114"/>
        <v>0.41874435531369952</v>
      </c>
      <c r="AP136" s="58" t="str">
        <f t="shared" si="115"/>
        <v>-9.09406293101692+24.9524769551267i</v>
      </c>
      <c r="AQ136" s="49">
        <f t="shared" si="116"/>
        <v>28.483911781800508</v>
      </c>
      <c r="AR136" s="61">
        <f t="shared" si="117"/>
        <v>110.02453824595544</v>
      </c>
      <c r="AS136" s="58" t="str">
        <f t="shared" si="118"/>
        <v>741.477543323391+287.552608519741i</v>
      </c>
      <c r="AT136" s="64">
        <f t="shared" si="119"/>
        <v>58.010436726597774</v>
      </c>
      <c r="AU136" s="61">
        <f t="shared" si="120"/>
        <v>21.196804336401524</v>
      </c>
    </row>
    <row r="137" spans="14:47" x14ac:dyDescent="0.35">
      <c r="N137" s="10">
        <v>19</v>
      </c>
      <c r="O137" s="50">
        <f t="shared" si="121"/>
        <v>154.8816618912482</v>
      </c>
      <c r="P137" s="48" t="str">
        <f t="shared" si="88"/>
        <v>547.187404092767</v>
      </c>
      <c r="Q137" s="17" t="str">
        <f t="shared" si="89"/>
        <v>1+18.6633963867174i</v>
      </c>
      <c r="R137" s="17">
        <f t="shared" si="98"/>
        <v>18.690167593891079</v>
      </c>
      <c r="S137" s="17">
        <f t="shared" si="99"/>
        <v>1.5172666981886584</v>
      </c>
      <c r="T137" s="17" t="str">
        <f t="shared" si="90"/>
        <v>1+0.000353147617919176i</v>
      </c>
      <c r="U137" s="17">
        <f t="shared" si="100"/>
        <v>1.0000000623566181</v>
      </c>
      <c r="V137" s="17">
        <f t="shared" si="101"/>
        <v>3.5314760323844921E-4</v>
      </c>
      <c r="W137" s="31" t="str">
        <f t="shared" si="91"/>
        <v>1-0.0061324959424524i</v>
      </c>
      <c r="X137" s="17">
        <f t="shared" si="102"/>
        <v>1.000018803576455</v>
      </c>
      <c r="Y137" s="17">
        <f t="shared" si="103"/>
        <v>-6.1324190682267143E-3</v>
      </c>
      <c r="Z137" s="31" t="str">
        <f t="shared" si="92"/>
        <v>0.999992069973821+0.0293419461536494i</v>
      </c>
      <c r="AA137" s="17">
        <f t="shared" si="104"/>
        <v>1.0004224556729076</v>
      </c>
      <c r="AB137" s="17">
        <f t="shared" si="105"/>
        <v>2.9333762337319273E-2</v>
      </c>
      <c r="AC137" s="66" t="str">
        <f t="shared" si="106"/>
        <v>0.538930100365923-29.2599785634225i</v>
      </c>
      <c r="AD137" s="64">
        <f t="shared" si="107"/>
        <v>29.326953156348186</v>
      </c>
      <c r="AE137" s="61">
        <f t="shared" si="108"/>
        <v>-88.944806844732213</v>
      </c>
      <c r="AF137" s="31" t="str">
        <f t="shared" si="93"/>
        <v>-0.000106860158311346</v>
      </c>
      <c r="AG137" s="31" t="str">
        <f t="shared" si="94"/>
        <v>4.49595384244151E-06i</v>
      </c>
      <c r="AH137" s="31">
        <f t="shared" si="109"/>
        <v>4.4959538424415099E-6</v>
      </c>
      <c r="AI137" s="31">
        <f t="shared" si="110"/>
        <v>1.5707963267948966</v>
      </c>
      <c r="AJ137" s="31" t="str">
        <f t="shared" si="95"/>
        <v>1+0.070976771741023i</v>
      </c>
      <c r="AK137" s="31">
        <f t="shared" si="111"/>
        <v>1.0025156867235432</v>
      </c>
      <c r="AL137" s="31">
        <f t="shared" si="112"/>
        <v>7.0857944094421213E-2</v>
      </c>
      <c r="AM137" s="31" t="str">
        <f t="shared" si="96"/>
        <v>1+0.45543428533823i</v>
      </c>
      <c r="AN137" s="31">
        <f t="shared" si="113"/>
        <v>1.0988268235993988</v>
      </c>
      <c r="AO137" s="31">
        <f t="shared" si="114"/>
        <v>0.42736388016588089</v>
      </c>
      <c r="AP137" s="58" t="str">
        <f t="shared" si="115"/>
        <v>-9.09201133358813+24.4133944306081i</v>
      </c>
      <c r="AQ137" s="49">
        <f t="shared" si="116"/>
        <v>28.316640898399825</v>
      </c>
      <c r="AR137" s="61">
        <f t="shared" si="117"/>
        <v>110.42628550825536</v>
      </c>
      <c r="AS137" s="58" t="str">
        <f t="shared" si="118"/>
        <v>709.435439119433+279.189169829944i</v>
      </c>
      <c r="AT137" s="64">
        <f t="shared" si="119"/>
        <v>57.643594054748021</v>
      </c>
      <c r="AU137" s="61">
        <f t="shared" si="120"/>
        <v>21.48147866352317</v>
      </c>
    </row>
    <row r="138" spans="14:47" x14ac:dyDescent="0.35">
      <c r="N138" s="10">
        <v>20</v>
      </c>
      <c r="O138" s="50">
        <f t="shared" si="121"/>
        <v>158.48931924611153</v>
      </c>
      <c r="P138" s="48" t="str">
        <f t="shared" si="88"/>
        <v>547.187404092767</v>
      </c>
      <c r="Q138" s="17" t="str">
        <f t="shared" si="89"/>
        <v>1+19.0981227346859i</v>
      </c>
      <c r="R138" s="17">
        <f t="shared" si="98"/>
        <v>19.124285398129953</v>
      </c>
      <c r="S138" s="17">
        <f t="shared" si="99"/>
        <v>1.5184829336391703</v>
      </c>
      <c r="T138" s="17" t="str">
        <f t="shared" si="90"/>
        <v>1+0.000361373482657334i</v>
      </c>
      <c r="U138" s="17">
        <f t="shared" si="100"/>
        <v>1.0000000652953949</v>
      </c>
      <c r="V138" s="17">
        <f t="shared" si="101"/>
        <v>3.6137346692665187E-4</v>
      </c>
      <c r="W138" s="31" t="str">
        <f t="shared" si="91"/>
        <v>1-0.0062753401231017i</v>
      </c>
      <c r="X138" s="17">
        <f t="shared" si="102"/>
        <v>1.0000196897529872</v>
      </c>
      <c r="Y138" s="17">
        <f t="shared" si="103"/>
        <v>-6.2752577509723973E-3</v>
      </c>
      <c r="Z138" s="31" t="str">
        <f t="shared" si="92"/>
        <v>0.999991696243202+0.0300254078789087i</v>
      </c>
      <c r="AA138" s="17">
        <f t="shared" si="104"/>
        <v>1.0004423609952007</v>
      </c>
      <c r="AB138" s="17">
        <f t="shared" si="105"/>
        <v>3.0016638971102311E-2</v>
      </c>
      <c r="AC138" s="66" t="str">
        <f t="shared" si="106"/>
        <v>0.468530575402307-28.5962508322605i</v>
      </c>
      <c r="AD138" s="64">
        <f t="shared" si="107"/>
        <v>29.127347648272327</v>
      </c>
      <c r="AE138" s="61">
        <f t="shared" si="108"/>
        <v>-89.06133069838495</v>
      </c>
      <c r="AF138" s="31" t="str">
        <f t="shared" si="93"/>
        <v>-0.000106860158311346</v>
      </c>
      <c r="AG138" s="31" t="str">
        <f t="shared" si="94"/>
        <v>4.60067806058813E-06i</v>
      </c>
      <c r="AH138" s="31">
        <f t="shared" si="109"/>
        <v>4.60067806058813E-6</v>
      </c>
      <c r="AI138" s="31">
        <f t="shared" si="110"/>
        <v>1.5707963267948966</v>
      </c>
      <c r="AJ138" s="31" t="str">
        <f t="shared" si="95"/>
        <v>1+0.0726300331372996i</v>
      </c>
      <c r="AK138" s="31">
        <f t="shared" si="111"/>
        <v>1.0026340916373855</v>
      </c>
      <c r="AL138" s="31">
        <f t="shared" si="112"/>
        <v>7.2502725079380104E-2</v>
      </c>
      <c r="AM138" s="31" t="str">
        <f t="shared" si="96"/>
        <v>1+0.466042712631005i</v>
      </c>
      <c r="AN138" s="31">
        <f t="shared" si="113"/>
        <v>1.1032659742765865</v>
      </c>
      <c r="AO138" s="31">
        <f t="shared" si="114"/>
        <v>0.43611466630319773</v>
      </c>
      <c r="AP138" s="58" t="str">
        <f t="shared" si="115"/>
        <v>-9.08986403925357+23.8872425540504i</v>
      </c>
      <c r="AQ138" s="49">
        <f t="shared" si="116"/>
        <v>28.150634524821641</v>
      </c>
      <c r="AR138" s="61">
        <f t="shared" si="117"/>
        <v>110.83342961268366</v>
      </c>
      <c r="AS138" s="58" t="str">
        <f t="shared" si="118"/>
        <v>678.826700538032+271.127935596263i</v>
      </c>
      <c r="AT138" s="64">
        <f t="shared" si="119"/>
        <v>57.27798217309396</v>
      </c>
      <c r="AU138" s="61">
        <f t="shared" si="120"/>
        <v>21.772098914298684</v>
      </c>
    </row>
    <row r="139" spans="14:47" x14ac:dyDescent="0.35">
      <c r="N139" s="10">
        <v>21</v>
      </c>
      <c r="O139" s="50">
        <f t="shared" si="121"/>
        <v>162.18100973589304</v>
      </c>
      <c r="P139" s="48" t="str">
        <f t="shared" si="88"/>
        <v>547.187404092767</v>
      </c>
      <c r="Q139" s="17" t="str">
        <f t="shared" si="89"/>
        <v>1+19.5429751601217i</v>
      </c>
      <c r="R139" s="17">
        <f t="shared" si="98"/>
        <v>19.568543075792171</v>
      </c>
      <c r="S139" s="17">
        <f t="shared" si="99"/>
        <v>1.5196716338952134</v>
      </c>
      <c r="T139" s="17" t="str">
        <f t="shared" si="90"/>
        <v>1+0.000369790952399339i</v>
      </c>
      <c r="U139" s="17">
        <f t="shared" si="100"/>
        <v>1.0000000683726717</v>
      </c>
      <c r="V139" s="17">
        <f t="shared" si="101"/>
        <v>3.6979093554360954E-4</v>
      </c>
      <c r="W139" s="31" t="str">
        <f t="shared" si="91"/>
        <v>1-0.0064215115721482i</v>
      </c>
      <c r="X139" s="17">
        <f t="shared" si="102"/>
        <v>1.000020617692891</v>
      </c>
      <c r="Y139" s="17">
        <f t="shared" si="103"/>
        <v>-6.4214233089197213E-3</v>
      </c>
      <c r="Z139" s="31" t="str">
        <f t="shared" si="92"/>
        <v>0.9999913048992+0.0307247894728585i</v>
      </c>
      <c r="AA139" s="17">
        <f t="shared" si="104"/>
        <v>1.0004632040021042</v>
      </c>
      <c r="AB139" s="17">
        <f t="shared" si="105"/>
        <v>3.0715393653774813E-2</v>
      </c>
      <c r="AC139" s="66" t="str">
        <f t="shared" si="106"/>
        <v>0.401286374586466-27.9473540999359i</v>
      </c>
      <c r="AD139" s="64">
        <f t="shared" si="107"/>
        <v>28.927709248335205</v>
      </c>
      <c r="AE139" s="61">
        <f t="shared" si="108"/>
        <v>-89.177366284549123</v>
      </c>
      <c r="AF139" s="31" t="str">
        <f t="shared" si="93"/>
        <v>-0.000106860158311346</v>
      </c>
      <c r="AG139" s="31" t="str">
        <f t="shared" si="94"/>
        <v>4.70784161913964E-06i</v>
      </c>
      <c r="AH139" s="31">
        <f t="shared" si="109"/>
        <v>4.7078416191396397E-6</v>
      </c>
      <c r="AI139" s="31">
        <f t="shared" si="110"/>
        <v>1.5707963267948966</v>
      </c>
      <c r="AJ139" s="31" t="str">
        <f t="shared" si="95"/>
        <v>1+0.0743218039385174i</v>
      </c>
      <c r="AK139" s="31">
        <f t="shared" si="111"/>
        <v>1.0027580618178422</v>
      </c>
      <c r="AL139" s="31">
        <f t="shared" si="112"/>
        <v>7.4185411152736025E-2</v>
      </c>
      <c r="AM139" s="31" t="str">
        <f t="shared" si="96"/>
        <v>1+0.476898241938819i</v>
      </c>
      <c r="AN139" s="31">
        <f t="shared" si="113"/>
        <v>1.1078952717492463</v>
      </c>
      <c r="AO139" s="31">
        <f t="shared" si="114"/>
        <v>0.44499599166240794</v>
      </c>
      <c r="AP139" s="58" t="str">
        <f t="shared" si="115"/>
        <v>-9.087616632883+23.3737413864041i</v>
      </c>
      <c r="AQ139" s="49">
        <f t="shared" si="116"/>
        <v>27.985930319877848</v>
      </c>
      <c r="AR139" s="61">
        <f t="shared" si="117"/>
        <v>111.2458812620002</v>
      </c>
      <c r="AS139" s="58" t="str">
        <f t="shared" si="118"/>
        <v>649.587490433921+263.35440390512i</v>
      </c>
      <c r="AT139" s="64">
        <f t="shared" si="119"/>
        <v>56.913639568213057</v>
      </c>
      <c r="AU139" s="61">
        <f t="shared" si="120"/>
        <v>22.068514977451088</v>
      </c>
    </row>
    <row r="140" spans="14:47" x14ac:dyDescent="0.35">
      <c r="N140" s="10">
        <v>22</v>
      </c>
      <c r="O140" s="50">
        <f t="shared" si="121"/>
        <v>165.95869074375622</v>
      </c>
      <c r="P140" s="48" t="str">
        <f t="shared" si="88"/>
        <v>547.187404092767</v>
      </c>
      <c r="Q140" s="17" t="str">
        <f t="shared" si="89"/>
        <v>1+19.9981895296695i</v>
      </c>
      <c r="R140" s="17">
        <f t="shared" si="98"/>
        <v>20.023176183227847</v>
      </c>
      <c r="S140" s="17">
        <f t="shared" si="99"/>
        <v>1.5208334157766279</v>
      </c>
      <c r="T140" s="17" t="str">
        <f t="shared" si="90"/>
        <v>1+0.000378404490199071i</v>
      </c>
      <c r="U140" s="17">
        <f t="shared" si="100"/>
        <v>1.0000000715949764</v>
      </c>
      <c r="V140" s="17">
        <f t="shared" si="101"/>
        <v>3.7840447213783148E-4</v>
      </c>
      <c r="W140" s="31" t="str">
        <f t="shared" si="91"/>
        <v>1-0.00657108779162904i</v>
      </c>
      <c r="X140" s="17">
        <f t="shared" si="102"/>
        <v>1.0000215893643323</v>
      </c>
      <c r="Y140" s="17">
        <f t="shared" si="103"/>
        <v>-6.5709932159860561E-3</v>
      </c>
      <c r="Z140" s="31" t="str">
        <f t="shared" si="92"/>
        <v>0.999990895111724+0.0314404617568777i</v>
      </c>
      <c r="AA140" s="17">
        <f t="shared" si="104"/>
        <v>1.0004850288444265</v>
      </c>
      <c r="AB140" s="17">
        <f t="shared" si="105"/>
        <v>3.1430394218905804E-2</v>
      </c>
      <c r="AC140" s="66" t="str">
        <f t="shared" si="106"/>
        <v>0.337057147807217-27.3129663147376i</v>
      </c>
      <c r="AD140" s="64">
        <f t="shared" si="107"/>
        <v>28.728038715498169</v>
      </c>
      <c r="AE140" s="61">
        <f t="shared" si="108"/>
        <v>-89.292974202923943</v>
      </c>
      <c r="AF140" s="31" t="str">
        <f t="shared" si="93"/>
        <v>-0.000106860158311346</v>
      </c>
      <c r="AG140" s="31" t="str">
        <f t="shared" si="94"/>
        <v>4.81750133763328E-06i</v>
      </c>
      <c r="AH140" s="31">
        <f t="shared" si="109"/>
        <v>4.8175013376332801E-6</v>
      </c>
      <c r="AI140" s="31">
        <f t="shared" si="110"/>
        <v>1.5707963267948966</v>
      </c>
      <c r="AJ140" s="31" t="str">
        <f t="shared" si="95"/>
        <v>1+0.0760529811439492i</v>
      </c>
      <c r="AK140" s="31">
        <f t="shared" si="111"/>
        <v>1.0028878581082143</v>
      </c>
      <c r="AL140" s="31">
        <f t="shared" si="112"/>
        <v>7.5906856360266367E-2</v>
      </c>
      <c r="AM140" s="31" t="str">
        <f t="shared" si="96"/>
        <v>1+0.488006629007007i</v>
      </c>
      <c r="AN140" s="31">
        <f t="shared" si="113"/>
        <v>1.1127220991580884</v>
      </c>
      <c r="AO140" s="31">
        <f t="shared" si="114"/>
        <v>0.45400695990624262</v>
      </c>
      <c r="AP140" s="58" t="str">
        <f t="shared" si="115"/>
        <v>-9.08526450031251+22.872617628334i</v>
      </c>
      <c r="AQ140" s="49">
        <f t="shared" si="116"/>
        <v>27.822566187540254</v>
      </c>
      <c r="AR140" s="61">
        <f t="shared" si="117"/>
        <v>111.66354016664384</v>
      </c>
      <c r="AS140" s="58" t="str">
        <f t="shared" si="118"/>
        <v>621.656781473011+255.854902518208i</v>
      </c>
      <c r="AT140" s="64">
        <f t="shared" si="119"/>
        <v>56.550604903038426</v>
      </c>
      <c r="AU140" s="61">
        <f t="shared" si="120"/>
        <v>22.370565963719873</v>
      </c>
    </row>
    <row r="141" spans="14:47" x14ac:dyDescent="0.35">
      <c r="N141" s="10">
        <v>23</v>
      </c>
      <c r="O141" s="50">
        <f t="shared" si="121"/>
        <v>169.82436524617444</v>
      </c>
      <c r="P141" s="48" t="str">
        <f t="shared" si="88"/>
        <v>547.187404092767</v>
      </c>
      <c r="Q141" s="17" t="str">
        <f t="shared" si="89"/>
        <v>1+20.4640072040131i</v>
      </c>
      <c r="R141" s="17">
        <f t="shared" si="98"/>
        <v>20.488425777640895</v>
      </c>
      <c r="S141" s="17">
        <f t="shared" si="99"/>
        <v>1.5219688827236206</v>
      </c>
      <c r="T141" s="17" t="str">
        <f t="shared" si="90"/>
        <v>1+0.000387218663068279i</v>
      </c>
      <c r="U141" s="17">
        <f t="shared" si="100"/>
        <v>1.0000000749691438</v>
      </c>
      <c r="V141" s="17">
        <f t="shared" si="101"/>
        <v>3.8721864371531227E-4</v>
      </c>
      <c r="W141" s="31" t="str">
        <f t="shared" si="91"/>
        <v>1-0.00672414808883559i</v>
      </c>
      <c r="X141" s="17">
        <f t="shared" si="102"/>
        <v>1.0000226068282261</v>
      </c>
      <c r="Y141" s="17">
        <f t="shared" si="103"/>
        <v>-6.7240467493320574E-3</v>
      </c>
      <c r="Z141" s="31" t="str">
        <f t="shared" si="92"/>
        <v>0.99999046601156+0.0321728041898839i</v>
      </c>
      <c r="AA141" s="17">
        <f t="shared" si="104"/>
        <v>1.0005078817497928</v>
      </c>
      <c r="AB141" s="17">
        <f t="shared" si="105"/>
        <v>3.216201692429646E-2</v>
      </c>
      <c r="AC141" s="66" t="str">
        <f t="shared" si="106"/>
        <v>0.275708740075999-26.692771662762i</v>
      </c>
      <c r="AD141" s="64">
        <f t="shared" si="107"/>
        <v>28.528336741461228</v>
      </c>
      <c r="AE141" s="61">
        <f t="shared" si="108"/>
        <v>-89.408214866647057</v>
      </c>
      <c r="AF141" s="31" t="str">
        <f t="shared" si="93"/>
        <v>-0.000106860158311346</v>
      </c>
      <c r="AG141" s="31" t="str">
        <f t="shared" si="94"/>
        <v>4.92971535910329E-06i</v>
      </c>
      <c r="AH141" s="31">
        <f t="shared" si="109"/>
        <v>4.9297153591032897E-6</v>
      </c>
      <c r="AI141" s="31">
        <f t="shared" si="110"/>
        <v>1.5707963267948966</v>
      </c>
      <c r="AJ141" s="31" t="str">
        <f t="shared" si="95"/>
        <v>1+0.0778244826466633i</v>
      </c>
      <c r="AK141" s="31">
        <f t="shared" si="111"/>
        <v>1.0030237535069748</v>
      </c>
      <c r="AL141" s="31">
        <f t="shared" si="112"/>
        <v>7.7667932601882636E-2</v>
      </c>
      <c r="AM141" s="31" t="str">
        <f t="shared" si="96"/>
        <v>1+0.499373763649422i</v>
      </c>
      <c r="AN141" s="31">
        <f t="shared" si="113"/>
        <v>1.1177540676827746</v>
      </c>
      <c r="AO141" s="31">
        <f t="shared" si="114"/>
        <v>0.46314649443581657</v>
      </c>
      <c r="AP141" s="58" t="str">
        <f t="shared" si="115"/>
        <v>-9.08280281982013+22.3836044706104i</v>
      </c>
      <c r="AQ141" s="49">
        <f t="shared" si="116"/>
        <v>27.660580205620917</v>
      </c>
      <c r="AR141" s="61">
        <f t="shared" si="117"/>
        <v>112.08629468585713</v>
      </c>
      <c r="AS141" s="58" t="str">
        <f t="shared" si="118"/>
        <v>594.976235001771+248.616537114301i</v>
      </c>
      <c r="AT141" s="64">
        <f t="shared" si="119"/>
        <v>56.188916947082149</v>
      </c>
      <c r="AU141" s="61">
        <f t="shared" si="120"/>
        <v>22.678079819210073</v>
      </c>
    </row>
    <row r="142" spans="14:47" x14ac:dyDescent="0.35">
      <c r="N142" s="10">
        <v>24</v>
      </c>
      <c r="O142" s="50">
        <f t="shared" si="121"/>
        <v>173.78008287493768</v>
      </c>
      <c r="P142" s="48" t="str">
        <f t="shared" si="88"/>
        <v>547.187404092767</v>
      </c>
      <c r="Q142" s="17" t="str">
        <f t="shared" si="89"/>
        <v>1+20.9406751658495i</v>
      </c>
      <c r="R142" s="17">
        <f t="shared" si="98"/>
        <v>20.964538544924519</v>
      </c>
      <c r="S142" s="17">
        <f t="shared" si="99"/>
        <v>1.5230786250576185</v>
      </c>
      <c r="T142" s="17" t="str">
        <f t="shared" si="90"/>
        <v>1+0.000396238144398094i</v>
      </c>
      <c r="U142" s="17">
        <f t="shared" si="100"/>
        <v>1.0000000785023304</v>
      </c>
      <c r="V142" s="17">
        <f t="shared" si="101"/>
        <v>3.9623812366101663E-4</v>
      </c>
      <c r="W142" s="31" t="str">
        <f t="shared" si="91"/>
        <v>1-0.00688077361836351i</v>
      </c>
      <c r="X142" s="17">
        <f t="shared" si="102"/>
        <v>1.0000236722426061</v>
      </c>
      <c r="Y142" s="17">
        <f t="shared" si="103"/>
        <v>-6.8806650312679182E-3</v>
      </c>
      <c r="Z142" s="31" t="str">
        <f t="shared" si="92"/>
        <v>0.999990016688528+0.0329222050695292i</v>
      </c>
      <c r="AA142" s="17">
        <f t="shared" si="104"/>
        <v>1.0005318111201476</v>
      </c>
      <c r="AB142" s="17">
        <f t="shared" si="105"/>
        <v>3.2910646637966612E-2</v>
      </c>
      <c r="AC142" s="66" t="str">
        <f t="shared" si="106"/>
        <v>0.2171129244297-26.0864604963219i</v>
      </c>
      <c r="AD142" s="64">
        <f t="shared" si="107"/>
        <v>28.328603952069695</v>
      </c>
      <c r="AE142" s="61">
        <f t="shared" si="108"/>
        <v>-89.523148530158736</v>
      </c>
      <c r="AF142" s="31" t="str">
        <f t="shared" si="93"/>
        <v>-0.000106860158311346</v>
      </c>
      <c r="AG142" s="31" t="str">
        <f t="shared" si="94"/>
        <v>0.0000050445431809092i</v>
      </c>
      <c r="AH142" s="31">
        <f t="shared" si="109"/>
        <v>5.0445431809092002E-6</v>
      </c>
      <c r="AI142" s="31">
        <f t="shared" si="110"/>
        <v>1.5707963267948966</v>
      </c>
      <c r="AJ142" s="31" t="str">
        <f t="shared" si="95"/>
        <v>1+0.079637247720206i</v>
      </c>
      <c r="AK142" s="31">
        <f t="shared" si="111"/>
        <v>1.0031660337274431</v>
      </c>
      <c r="AL142" s="31">
        <f t="shared" si="112"/>
        <v>7.9469529904828071E-2</v>
      </c>
      <c r="AM142" s="31" t="str">
        <f t="shared" si="96"/>
        <v>1+0.511005672871321i</v>
      </c>
      <c r="AN142" s="31">
        <f t="shared" si="113"/>
        <v>1.1229990194593544</v>
      </c>
      <c r="AO142" s="31">
        <f t="shared" si="114"/>
        <v>0.47241333271419289</v>
      </c>
      <c r="AP142" s="58" t="str">
        <f t="shared" si="115"/>
        <v>-9.08022655328046+21.9064414476226i</v>
      </c>
      <c r="AQ142" s="49">
        <f t="shared" si="116"/>
        <v>27.500010549305895</v>
      </c>
      <c r="AR142" s="61">
        <f t="shared" si="117"/>
        <v>112.51402148679742</v>
      </c>
      <c r="AS142" s="58" t="str">
        <f t="shared" si="118"/>
        <v>569.490084896929+241.627142846345i</v>
      </c>
      <c r="AT142" s="64">
        <f t="shared" si="119"/>
        <v>55.828614501375597</v>
      </c>
      <c r="AU142" s="61">
        <f t="shared" si="120"/>
        <v>22.990872956638665</v>
      </c>
    </row>
    <row r="143" spans="14:47" x14ac:dyDescent="0.35">
      <c r="N143" s="10">
        <v>25</v>
      </c>
      <c r="O143" s="50">
        <f t="shared" si="121"/>
        <v>177.82794100389242</v>
      </c>
      <c r="P143" s="48" t="str">
        <f t="shared" si="88"/>
        <v>547.187404092767</v>
      </c>
      <c r="Q143" s="17" t="str">
        <f t="shared" si="89"/>
        <v>1+21.4284461508415i</v>
      </c>
      <c r="R143" s="17">
        <f t="shared" si="98"/>
        <v>21.451766930477167</v>
      </c>
      <c r="S143" s="17">
        <f t="shared" si="99"/>
        <v>1.524163220239052</v>
      </c>
      <c r="T143" s="17" t="str">
        <f t="shared" si="90"/>
        <v>1+0.000405467716436901i</v>
      </c>
      <c r="U143" s="17">
        <f t="shared" si="100"/>
        <v>1.0000000822020312</v>
      </c>
      <c r="V143" s="17">
        <f t="shared" si="101"/>
        <v>4.0546769421672237E-4</v>
      </c>
      <c r="W143" s="31" t="str">
        <f t="shared" si="91"/>
        <v>1-0.00704104742514169i</v>
      </c>
      <c r="X143" s="17">
        <f t="shared" si="102"/>
        <v>1.0000247878672024</v>
      </c>
      <c r="Y143" s="17">
        <f t="shared" si="103"/>
        <v>-7.0409310721282281E-3</v>
      </c>
      <c r="Z143" s="31" t="str">
        <f t="shared" si="92"/>
        <v>0.999989546189553+0.0336890617380793i</v>
      </c>
      <c r="AA143" s="17">
        <f t="shared" si="104"/>
        <v>1.0005568676338092</v>
      </c>
      <c r="AB143" s="17">
        <f t="shared" si="105"/>
        <v>3.3676677027742241E-2</v>
      </c>
      <c r="AC143" s="66" t="str">
        <f t="shared" si="106"/>
        <v>0.161147145887002-25.4937292593788i</v>
      </c>
      <c r="AD143" s="64">
        <f t="shared" si="107"/>
        <v>28.128840908588721</v>
      </c>
      <c r="AE143" s="61">
        <f t="shared" si="108"/>
        <v>-89.637835317149012</v>
      </c>
      <c r="AF143" s="31" t="str">
        <f t="shared" si="93"/>
        <v>-0.000106860158311346</v>
      </c>
      <c r="AG143" s="31" t="str">
        <f t="shared" si="94"/>
        <v>5.16204568628205E-06i</v>
      </c>
      <c r="AH143" s="31">
        <f t="shared" si="109"/>
        <v>5.1620456862820499E-6</v>
      </c>
      <c r="AI143" s="31">
        <f t="shared" si="110"/>
        <v>1.5707963267948966</v>
      </c>
      <c r="AJ143" s="31" t="str">
        <f t="shared" si="95"/>
        <v>1+0.0814922375166136i</v>
      </c>
      <c r="AK143" s="31">
        <f t="shared" si="111"/>
        <v>1.0033149977825828</v>
      </c>
      <c r="AL143" s="31">
        <f t="shared" si="112"/>
        <v>8.1312556693407131E-2</v>
      </c>
      <c r="AM143" s="31" t="str">
        <f t="shared" si="96"/>
        <v>1+0.522908524064936i</v>
      </c>
      <c r="AN143" s="31">
        <f t="shared" si="113"/>
        <v>1.1284650302688912</v>
      </c>
      <c r="AO143" s="31">
        <f t="shared" si="114"/>
        <v>0.48180602095356961</v>
      </c>
      <c r="AP143" s="58" t="str">
        <f t="shared" si="115"/>
        <v>-9.0775304369892+21.4408742939177i</v>
      </c>
      <c r="AQ143" s="49">
        <f t="shared" si="116"/>
        <v>27.340895409582785</v>
      </c>
      <c r="AR143" s="61">
        <f t="shared" si="117"/>
        <v>112.94658522468079</v>
      </c>
      <c r="AS143" s="58" t="str">
        <f t="shared" si="118"/>
        <v>545.145026211889+234.87523900216i</v>
      </c>
      <c r="AT143" s="64">
        <f t="shared" si="119"/>
        <v>55.469736318171499</v>
      </c>
      <c r="AU143" s="61">
        <f t="shared" si="120"/>
        <v>23.308749907531787</v>
      </c>
    </row>
    <row r="144" spans="14:47" x14ac:dyDescent="0.35">
      <c r="N144" s="10">
        <v>26</v>
      </c>
      <c r="O144" s="50">
        <f t="shared" si="121"/>
        <v>181.9700858609983</v>
      </c>
      <c r="P144" s="48" t="str">
        <f t="shared" si="88"/>
        <v>547.187404092767</v>
      </c>
      <c r="Q144" s="17" t="str">
        <f t="shared" si="89"/>
        <v>1+21.9275787816215i</v>
      </c>
      <c r="R144" s="17">
        <f t="shared" si="98"/>
        <v>21.950369273071864</v>
      </c>
      <c r="S144" s="17">
        <f t="shared" si="99"/>
        <v>1.5252232331219584</v>
      </c>
      <c r="T144" s="17" t="str">
        <f t="shared" si="90"/>
        <v>1+0.000414912272825957i</v>
      </c>
      <c r="U144" s="17">
        <f t="shared" si="100"/>
        <v>1.0000000860760934</v>
      </c>
      <c r="V144" s="17">
        <f t="shared" si="101"/>
        <v>4.1491224901660673E-4</v>
      </c>
      <c r="W144" s="31" t="str">
        <f t="shared" si="91"/>
        <v>1-0.00720505448846389i</v>
      </c>
      <c r="X144" s="17">
        <f t="shared" si="102"/>
        <v>1.0000259560682321</v>
      </c>
      <c r="Y144" s="17">
        <f t="shared" si="103"/>
        <v>-7.2049298141385141E-3</v>
      </c>
      <c r="Z144" s="31" t="str">
        <f t="shared" si="92"/>
        <v>0.999989053516645+0.0344737807930899i</v>
      </c>
      <c r="AA144" s="17">
        <f t="shared" si="104"/>
        <v>1.0005831043522999</v>
      </c>
      <c r="AB144" s="17">
        <f t="shared" si="105"/>
        <v>3.4460510754481671E-2</v>
      </c>
      <c r="AC144" s="66" t="str">
        <f t="shared" si="106"/>
        <v>0.107694276046377-24.9142804103593i</v>
      </c>
      <c r="AD144" s="64">
        <f t="shared" si="107"/>
        <v>27.929048108847574</v>
      </c>
      <c r="AE144" s="61">
        <f t="shared" si="108"/>
        <v>-89.752335248584458</v>
      </c>
      <c r="AF144" s="31" t="str">
        <f t="shared" si="93"/>
        <v>-0.000106860158311346</v>
      </c>
      <c r="AG144" s="31" t="str">
        <f t="shared" si="94"/>
        <v>5.28228517660551E-06i</v>
      </c>
      <c r="AH144" s="31">
        <f t="shared" si="109"/>
        <v>5.2822851766055098E-6</v>
      </c>
      <c r="AI144" s="31">
        <f t="shared" si="110"/>
        <v>1.5707963267948966</v>
      </c>
      <c r="AJ144" s="31" t="str">
        <f t="shared" si="95"/>
        <v>1+0.0833904355760288i</v>
      </c>
      <c r="AK144" s="31">
        <f t="shared" si="111"/>
        <v>1.0034709585959924</v>
      </c>
      <c r="AL144" s="31">
        <f t="shared" si="112"/>
        <v>8.3197940054519665E-2</v>
      </c>
      <c r="AM144" s="31" t="str">
        <f t="shared" si="96"/>
        <v>1+0.535088628279517i</v>
      </c>
      <c r="AN144" s="31">
        <f t="shared" si="113"/>
        <v>1.1341604119850308</v>
      </c>
      <c r="AO144" s="31">
        <f t="shared" si="114"/>
        <v>0.49132290922012273</v>
      </c>
      <c r="AP144" s="58" t="str">
        <f t="shared" si="115"/>
        <v>-9.07470897215144+20.9866548036662i</v>
      </c>
      <c r="AQ144" s="49">
        <f t="shared" si="116"/>
        <v>27.183272906643843</v>
      </c>
      <c r="AR144" s="61">
        <f t="shared" si="117"/>
        <v>113.38383824709592</v>
      </c>
      <c r="AS144" s="58" t="str">
        <f t="shared" si="118"/>
        <v>521.890108440866+228.3499865703i</v>
      </c>
      <c r="AT144" s="64">
        <f t="shared" si="119"/>
        <v>55.11232101549141</v>
      </c>
      <c r="AU144" s="61">
        <f t="shared" si="120"/>
        <v>23.631502998511454</v>
      </c>
    </row>
    <row r="145" spans="14:47" x14ac:dyDescent="0.35">
      <c r="N145" s="10">
        <v>27</v>
      </c>
      <c r="O145" s="50">
        <f t="shared" si="121"/>
        <v>186.20871366628685</v>
      </c>
      <c r="P145" s="48" t="str">
        <f t="shared" si="88"/>
        <v>547.187404092767</v>
      </c>
      <c r="Q145" s="17" t="str">
        <f t="shared" si="89"/>
        <v>1+22.4383377049174i</v>
      </c>
      <c r="R145" s="17">
        <f t="shared" si="98"/>
        <v>22.460609941849704</v>
      </c>
      <c r="S145" s="17">
        <f t="shared" si="99"/>
        <v>1.5262592162053037</v>
      </c>
      <c r="T145" s="17" t="str">
        <f t="shared" si="90"/>
        <v>1+0.000424576821194082i</v>
      </c>
      <c r="U145" s="17">
        <f t="shared" si="100"/>
        <v>1.0000000901327344</v>
      </c>
      <c r="V145" s="17">
        <f t="shared" si="101"/>
        <v>4.2457679568190369E-4</v>
      </c>
      <c r="W145" s="31" t="str">
        <f t="shared" si="91"/>
        <v>1-0.00737288176704609i</v>
      </c>
      <c r="X145" s="17">
        <f t="shared" si="102"/>
        <v>1.0000271793234177</v>
      </c>
      <c r="Y145" s="17">
        <f t="shared" si="103"/>
        <v>-7.3727481762956779E-3</v>
      </c>
      <c r="Z145" s="31" t="str">
        <f t="shared" si="92"/>
        <v>0.999988537624778+0.0352767783029918i</v>
      </c>
      <c r="AA145" s="17">
        <f t="shared" si="104"/>
        <v>1.0006105768321563</v>
      </c>
      <c r="AB145" s="17">
        <f t="shared" si="105"/>
        <v>3.5262559668969448E-2</v>
      </c>
      <c r="AC145" s="66" t="str">
        <f t="shared" si="106"/>
        <v>0.0566423779254965-24.347822342689i</v>
      </c>
      <c r="AD145" s="64">
        <f t="shared" si="107"/>
        <v>27.729225988254896</v>
      </c>
      <c r="AE145" s="61">
        <f t="shared" si="108"/>
        <v>-89.86670827081187</v>
      </c>
      <c r="AF145" s="31" t="str">
        <f t="shared" si="93"/>
        <v>-0.000106860158311346</v>
      </c>
      <c r="AG145" s="31" t="str">
        <f t="shared" si="94"/>
        <v>5.40532540444893E-06i</v>
      </c>
      <c r="AH145" s="31">
        <f t="shared" si="109"/>
        <v>5.40532540444893E-6</v>
      </c>
      <c r="AI145" s="31">
        <f t="shared" si="110"/>
        <v>1.5707963267948966</v>
      </c>
      <c r="AJ145" s="31" t="str">
        <f t="shared" si="95"/>
        <v>1+0.08533284834819i</v>
      </c>
      <c r="AK145" s="31">
        <f t="shared" si="111"/>
        <v>1.0036342436401895</v>
      </c>
      <c r="AL145" s="31">
        <f t="shared" si="112"/>
        <v>8.5126625998201297E-2</v>
      </c>
      <c r="AM145" s="31" t="str">
        <f t="shared" si="96"/>
        <v>1+0.547552443567551i</v>
      </c>
      <c r="AN145" s="31">
        <f t="shared" si="113"/>
        <v>1.1400937147694465</v>
      </c>
      <c r="AO145" s="31">
        <f t="shared" si="114"/>
        <v>0.50096214701140429</v>
      </c>
      <c r="AP145" s="58" t="str">
        <f t="shared" si="115"/>
        <v>-9.07175641502602+20.5435406929561i</v>
      </c>
      <c r="AQ145" s="49">
        <f t="shared" si="116"/>
        <v>27.027180998390889</v>
      </c>
      <c r="AR145" s="61">
        <f t="shared" si="117"/>
        <v>113.82562032568019</v>
      </c>
      <c r="AS145" s="58" t="str">
        <f t="shared" si="118"/>
        <v>499.676633226589+222.041148525061i</v>
      </c>
      <c r="AT145" s="64">
        <f t="shared" si="119"/>
        <v>54.756406986645779</v>
      </c>
      <c r="AU145" s="61">
        <f t="shared" si="120"/>
        <v>23.958912054868346</v>
      </c>
    </row>
    <row r="146" spans="14:47" x14ac:dyDescent="0.35">
      <c r="N146" s="10">
        <v>28</v>
      </c>
      <c r="O146" s="50">
        <f t="shared" si="121"/>
        <v>190.54607179632498</v>
      </c>
      <c r="P146" s="48" t="str">
        <f t="shared" si="88"/>
        <v>547.187404092767</v>
      </c>
      <c r="Q146" s="17" t="str">
        <f t="shared" si="89"/>
        <v>1+22.9609937318712i</v>
      </c>
      <c r="R146" s="17">
        <f t="shared" si="98"/>
        <v>22.982759476508225</v>
      </c>
      <c r="S146" s="17">
        <f t="shared" si="99"/>
        <v>1.5272717098809281</v>
      </c>
      <c r="T146" s="17" t="str">
        <f t="shared" si="90"/>
        <v>1+0.000434466485812747i</v>
      </c>
      <c r="U146" s="17">
        <f t="shared" si="100"/>
        <v>1.0000000943805591</v>
      </c>
      <c r="V146" s="17">
        <f t="shared" si="101"/>
        <v>4.3446645847595555E-4</v>
      </c>
      <c r="W146" s="31" t="str">
        <f t="shared" si="91"/>
        <v>1-0.00754461824513286i</v>
      </c>
      <c r="X146" s="17">
        <f t="shared" si="102"/>
        <v>1.00002846022724</v>
      </c>
      <c r="Y146" s="17">
        <f t="shared" si="103"/>
        <v>-7.5444751002848136E-3</v>
      </c>
      <c r="Z146" s="31" t="str">
        <f t="shared" si="92"/>
        <v>0.999987997419677+0.0360984800276935i</v>
      </c>
      <c r="AA146" s="17">
        <f t="shared" si="104"/>
        <v>1.0006393432419725</v>
      </c>
      <c r="AB146" s="17">
        <f t="shared" si="105"/>
        <v>3.6083245012498842E-2</v>
      </c>
      <c r="AC146" s="66" t="str">
        <f t="shared" si="106"/>
        <v>0.00788448065353337-23.7940693033595i</v>
      </c>
      <c r="AD146" s="64">
        <f t="shared" si="107"/>
        <v>27.529374920688198</v>
      </c>
      <c r="AE146" s="61">
        <f t="shared" si="108"/>
        <v>-89.981014283735732</v>
      </c>
      <c r="AF146" s="31" t="str">
        <f t="shared" si="93"/>
        <v>-0.000106860158311346</v>
      </c>
      <c r="AG146" s="31" t="str">
        <f t="shared" si="94"/>
        <v>5.53123160736973E-06i</v>
      </c>
      <c r="AH146" s="31">
        <f t="shared" si="109"/>
        <v>5.5312316073697304E-6</v>
      </c>
      <c r="AI146" s="31">
        <f t="shared" si="110"/>
        <v>1.5707963267948966</v>
      </c>
      <c r="AJ146" s="31" t="str">
        <f t="shared" si="95"/>
        <v>1+0.0873205057260598i</v>
      </c>
      <c r="AK146" s="31">
        <f t="shared" si="111"/>
        <v>1.0038051956033376</v>
      </c>
      <c r="AL146" s="31">
        <f t="shared" si="112"/>
        <v>8.7099579712300895E-2</v>
      </c>
      <c r="AM146" s="31" t="str">
        <f t="shared" si="96"/>
        <v>1+0.560306578408882i</v>
      </c>
      <c r="AN146" s="31">
        <f t="shared" si="113"/>
        <v>1.1462737290055411</v>
      </c>
      <c r="AO146" s="31">
        <f t="shared" si="114"/>
        <v>0.51072167936165902</v>
      </c>
      <c r="AP146" s="58" t="str">
        <f t="shared" si="115"/>
        <v>-9.06866676671874+20.1112954648193i</v>
      </c>
      <c r="AQ146" s="49">
        <f t="shared" si="116"/>
        <v>26.872657384215973</v>
      </c>
      <c r="AR146" s="61">
        <f t="shared" si="117"/>
        <v>114.27175841837867</v>
      </c>
      <c r="AS146" s="58" t="str">
        <f t="shared" si="118"/>
        <v>478.458056342574+215.939052656389i</v>
      </c>
      <c r="AT146" s="64">
        <f t="shared" si="119"/>
        <v>54.402032304904168</v>
      </c>
      <c r="AU146" s="61">
        <f t="shared" si="120"/>
        <v>24.290744134642992</v>
      </c>
    </row>
    <row r="147" spans="14:47" x14ac:dyDescent="0.35">
      <c r="N147" s="10">
        <v>29</v>
      </c>
      <c r="O147" s="50">
        <f t="shared" si="121"/>
        <v>194.98445997580458</v>
      </c>
      <c r="P147" s="48" t="str">
        <f t="shared" ref="P147:P210" si="122">COMPLEX(Adc,0)</f>
        <v>547.187404092767</v>
      </c>
      <c r="Q147" s="17" t="str">
        <f t="shared" ref="Q147:Q210" si="123">IMSUM(COMPLEX(1,0),IMDIV(COMPLEX(0,2*PI()*O147),COMPLEX(wp_lf,0)))</f>
        <v>1+23.4958239816259i</v>
      </c>
      <c r="R147" s="17">
        <f t="shared" si="98"/>
        <v>23.517094730760149</v>
      </c>
      <c r="S147" s="17">
        <f t="shared" si="99"/>
        <v>1.5282612426780411</v>
      </c>
      <c r="T147" s="17" t="str">
        <f t="shared" ref="T147:T210" si="124">IMSUM(COMPLEX(1,0),IMDIV(COMPLEX(0,2*PI()*O147),COMPLEX(wz_esr,0)))</f>
        <v>1+0.000444586510313027i</v>
      </c>
      <c r="U147" s="17">
        <f t="shared" si="100"/>
        <v>1.0000000988285778</v>
      </c>
      <c r="V147" s="17">
        <f t="shared" si="101"/>
        <v>4.4458648102112735E-4</v>
      </c>
      <c r="W147" s="31" t="str">
        <f t="shared" ref="W147:W210" si="125">IMSUB(COMPLEX(1,0),IMDIV(COMPLEX(0,2*PI()*O147),COMPLEX(wz_rhp,0)))</f>
        <v>1-0.00772035497967794i</v>
      </c>
      <c r="X147" s="17">
        <f t="shared" si="102"/>
        <v>1.0000298014964415</v>
      </c>
      <c r="Y147" s="17">
        <f t="shared" si="103"/>
        <v>-7.7202015974566808E-3</v>
      </c>
      <c r="Z147" s="31" t="str">
        <f t="shared" ref="Z147:Z210" si="126">IMSUM(COMPLEX(1,0),IMDIV(COMPLEX(0,2*PI()*O147),COMPLEX(Q*(wsl/2),0)),IMDIV(IMPOWER(COMPLEX(0,2*PI()*O147),2),IMPOWER(COMPLEX(wsl/2,0),2)))</f>
        <v>0.999987431755494+0.0369393216443253i</v>
      </c>
      <c r="AA147" s="17">
        <f t="shared" si="104"/>
        <v>1.0006694644848975</v>
      </c>
      <c r="AB147" s="17">
        <f t="shared" si="105"/>
        <v>3.6922997621172987E-2</v>
      </c>
      <c r="AC147" s="66" t="str">
        <f t="shared" si="106"/>
        <v>-0.0386816363614297-23.2527413098123i</v>
      </c>
      <c r="AD147" s="64">
        <f t="shared" si="107"/>
        <v>27.329495219258</v>
      </c>
      <c r="AE147" s="61">
        <f t="shared" si="108"/>
        <v>-90.095313169068362</v>
      </c>
      <c r="AF147" s="31" t="str">
        <f t="shared" ref="AF147:AF210" si="127">COMPLEX(Adc_ea,0)</f>
        <v>-0.000106860158311346</v>
      </c>
      <c r="AG147" s="31" t="str">
        <f t="shared" ref="AG147:AG210" si="128">COMPLEX(0,2*PI()*O147*wp0_ea)</f>
        <v>5.66007054250325E-06i</v>
      </c>
      <c r="AH147" s="31">
        <f t="shared" si="109"/>
        <v>5.6600705425032497E-6</v>
      </c>
      <c r="AI147" s="31">
        <f t="shared" si="110"/>
        <v>1.5707963267948966</v>
      </c>
      <c r="AJ147" s="31" t="str">
        <f t="shared" ref="AJ147:AJ210" si="129">IMSUM(COMPLEX(1,0),IMDIV(COMPLEX(0,2*PI()*O147),COMPLEX(wp1_ea,0)))</f>
        <v>1+0.0893544615918879i</v>
      </c>
      <c r="AK147" s="31">
        <f t="shared" si="111"/>
        <v>1.0039841730856001</v>
      </c>
      <c r="AL147" s="31">
        <f t="shared" si="112"/>
        <v>8.9117785810380892E-2</v>
      </c>
      <c r="AM147" s="31" t="str">
        <f t="shared" ref="AM147:AM210" si="130">IMSUM(COMPLEX(1,0),IMDIV(COMPLEX(0,2*PI()*O147),COMPLEX(wz_ea,0)))</f>
        <v>1+0.573357795214613i</v>
      </c>
      <c r="AN147" s="31">
        <f t="shared" si="113"/>
        <v>1.1527094869625052</v>
      </c>
      <c r="AO147" s="31">
        <f t="shared" si="114"/>
        <v>0.52059924353043696</v>
      </c>
      <c r="AP147" s="58" t="str">
        <f t="shared" si="115"/>
        <v>-9.06543376261912+19.6896882768924i</v>
      </c>
      <c r="AQ147" s="49">
        <f t="shared" si="116"/>
        <v>26.719739404280901</v>
      </c>
      <c r="AR147" s="61">
        <f t="shared" si="117"/>
        <v>114.72206646551165</v>
      </c>
      <c r="AS147" s="58" t="str">
        <f t="shared" si="118"/>
        <v>458.189893785687+210.034556781424i</v>
      </c>
      <c r="AT147" s="64">
        <f t="shared" si="119"/>
        <v>54.049234623538894</v>
      </c>
      <c r="AU147" s="61">
        <f t="shared" si="120"/>
        <v>24.626753296443269</v>
      </c>
    </row>
    <row r="148" spans="14:47" x14ac:dyDescent="0.35">
      <c r="N148" s="10">
        <v>30</v>
      </c>
      <c r="O148" s="50">
        <f t="shared" si="121"/>
        <v>199.52623149688802</v>
      </c>
      <c r="P148" s="48" t="str">
        <f t="shared" si="122"/>
        <v>547.187404092767</v>
      </c>
      <c r="Q148" s="17" t="str">
        <f t="shared" si="123"/>
        <v>1+24.04311202826i</v>
      </c>
      <c r="R148" s="17">
        <f t="shared" ref="R148:R211" si="131">IMABS(Q148)</f>
        <v>24.063899019141946</v>
      </c>
      <c r="S148" s="17">
        <f t="shared" ref="S148:S211" si="132">IMARGUMENT(Q148)</f>
        <v>1.5292283315042086</v>
      </c>
      <c r="T148" s="17" t="str">
        <f t="shared" si="124"/>
        <v>1+0.000454942260465876i</v>
      </c>
      <c r="U148" s="17">
        <f t="shared" ref="U148:U211" si="133">IMABS(T148)</f>
        <v>1.0000001034862247</v>
      </c>
      <c r="V148" s="17">
        <f t="shared" ref="V148:V211" si="134">IMARGUMENT(T148)</f>
        <v>4.549422290790402E-4</v>
      </c>
      <c r="W148" s="31" t="str">
        <f t="shared" si="125"/>
        <v>1-0.00790018514862427i</v>
      </c>
      <c r="X148" s="17">
        <f t="shared" ref="X148:X211" si="135">IMABS(W148)</f>
        <v>1.0000312059757848</v>
      </c>
      <c r="Y148" s="17">
        <f t="shared" ref="Y148:Y211" si="136">IMARGUMENT(W148)</f>
        <v>-7.9000207968900997E-3</v>
      </c>
      <c r="Z148" s="31" t="str">
        <f t="shared" si="126"/>
        <v>0.999986839432378+0.037799748978243i</v>
      </c>
      <c r="AA148" s="17">
        <f t="shared" ref="AA148:AA211" si="137">IMABS(Z148)</f>
        <v>1.0007010043268543</v>
      </c>
      <c r="AB148" s="17">
        <f t="shared" ref="AB148:AB211" si="138">IMARGUMENT(Z148)</f>
        <v>3.7782258133942009E-2</v>
      </c>
      <c r="AC148" s="66" t="str">
        <f t="shared" ref="AC148:AC211" si="139">(IMDIV(IMPRODUCT(P148,T148,W148),IMPRODUCT(Q148,Z148)))</f>
        <v>-0.0831536501559245-22.723564065406i</v>
      </c>
      <c r="AD148" s="64">
        <f t="shared" ref="AD148:AD211" si="140">20*LOG(IMABS(AC148))</f>
        <v>27.129587136948018</v>
      </c>
      <c r="AE148" s="61">
        <f t="shared" ref="AE148:AE211" si="141">(180/PI())*IMARGUMENT(AC148)</f>
        <v>-90.209664818651461</v>
      </c>
      <c r="AF148" s="31" t="str">
        <f t="shared" si="127"/>
        <v>-0.000106860158311346</v>
      </c>
      <c r="AG148" s="31" t="str">
        <f t="shared" si="128"/>
        <v>0.0000057919105219583i</v>
      </c>
      <c r="AH148" s="31">
        <f t="shared" ref="AH148:AH211" si="142">IMABS(AG148)</f>
        <v>5.7919105219583E-6</v>
      </c>
      <c r="AI148" s="31">
        <f t="shared" ref="AI148:AI211" si="143">IMARGUMENT(AG148)</f>
        <v>1.5707963267948966</v>
      </c>
      <c r="AJ148" s="31" t="str">
        <f t="shared" si="129"/>
        <v>1+0.0914357943759989i</v>
      </c>
      <c r="AK148" s="31">
        <f t="shared" ref="AK148:AK211" si="144">IMABS(AJ148)</f>
        <v>1.0041715513263509</v>
      </c>
      <c r="AL148" s="31">
        <f t="shared" ref="AL148:AL211" si="145">IMARGUMENT(AJ148)</f>
        <v>9.1182248571845786E-2</v>
      </c>
      <c r="AM148" s="31" t="str">
        <f t="shared" si="130"/>
        <v>1+0.586713013912658i</v>
      </c>
      <c r="AN148" s="31">
        <f t="shared" ref="AN148:AN211" si="146">IMABS(AM148)</f>
        <v>1.1594102641836816</v>
      </c>
      <c r="AO148" s="31">
        <f t="shared" ref="AO148:AO211" si="147">IMARGUMENT(AM148)</f>
        <v>0.53059236632916051</v>
      </c>
      <c r="AP148" s="58" t="str">
        <f t="shared" ref="AP148:AP211" si="148">IMPRODUCT(AF148,IMDIV(AM148,IMPRODUCT(AG148,AJ148)))</f>
        <v>-9.06205086147532+19.2784938116132i</v>
      </c>
      <c r="AQ148" s="49">
        <f t="shared" ref="AQ148:AQ211" si="149">20*LOG(IMABS(AP148))</f>
        <v>26.568463934569539</v>
      </c>
      <c r="AR148" s="61">
        <f t="shared" ref="AR148:AR211" si="150">(180/PI())*IMARGUMENT(AP148)</f>
        <v>115.17634522284064</v>
      </c>
      <c r="AS148" s="58" t="str">
        <f t="shared" ref="AS148:AS211" si="151">IMPRODUCT(AC148,AP148)</f>
        <v>438.829631819756+204.319016184758i</v>
      </c>
      <c r="AT148" s="64">
        <f t="shared" ref="AT148:AT211" si="152">20*LOG(IMABS(AS148))</f>
        <v>53.698051071517561</v>
      </c>
      <c r="AU148" s="61">
        <f t="shared" ref="AU148:AU211" si="153">(180/PI())*IMARGUMENT(AS148)</f>
        <v>24.966680404189169</v>
      </c>
    </row>
    <row r="149" spans="14:47" x14ac:dyDescent="0.35">
      <c r="N149" s="10">
        <v>31</v>
      </c>
      <c r="O149" s="50">
        <f t="shared" si="121"/>
        <v>204.17379446695315</v>
      </c>
      <c r="P149" s="48" t="str">
        <f t="shared" si="122"/>
        <v>547.187404092767</v>
      </c>
      <c r="Q149" s="17" t="str">
        <f t="shared" si="123"/>
        <v>1+24.6031480511394i</v>
      </c>
      <c r="R149" s="17">
        <f t="shared" si="131"/>
        <v>24.623462267241877</v>
      </c>
      <c r="S149" s="17">
        <f t="shared" si="132"/>
        <v>1.5301734818827604</v>
      </c>
      <c r="T149" s="17" t="str">
        <f t="shared" si="124"/>
        <v>1+0.000465539227027095i</v>
      </c>
      <c r="U149" s="17">
        <f t="shared" si="133"/>
        <v>1.00000010836338</v>
      </c>
      <c r="V149" s="17">
        <f t="shared" si="134"/>
        <v>4.6553919339549472E-4</v>
      </c>
      <c r="W149" s="31" t="str">
        <f t="shared" si="125"/>
        <v>1-0.00808420410030767i</v>
      </c>
      <c r="X149" s="17">
        <f t="shared" si="135"/>
        <v>1.0000326766440861</v>
      </c>
      <c r="Y149" s="17">
        <f t="shared" si="136"/>
        <v>-8.0840279945624417E-3</v>
      </c>
      <c r="Z149" s="31" t="str">
        <f t="shared" si="126"/>
        <v>0.999986219193935+0.0386802182394075i</v>
      </c>
      <c r="AA149" s="17">
        <f t="shared" si="137"/>
        <v>1.0007340295307383</v>
      </c>
      <c r="AB149" s="17">
        <f t="shared" si="138"/>
        <v>3.8661477204384447E-2</v>
      </c>
      <c r="AC149" s="66" t="str">
        <f t="shared" si="139"/>
        <v>-0.125624892179685-22.2062688737168i</v>
      </c>
      <c r="AD149" s="64">
        <f t="shared" si="140"/>
        <v>26.92965086713415</v>
      </c>
      <c r="AE149" s="61">
        <f t="shared" si="141"/>
        <v>-90.324129162847115</v>
      </c>
      <c r="AF149" s="31" t="str">
        <f t="shared" si="127"/>
        <v>-0.000106860158311346</v>
      </c>
      <c r="AG149" s="31" t="str">
        <f t="shared" si="128"/>
        <v>5.92682144903709E-06i</v>
      </c>
      <c r="AH149" s="31">
        <f t="shared" si="142"/>
        <v>5.9268214490370898E-6</v>
      </c>
      <c r="AI149" s="31">
        <f t="shared" si="143"/>
        <v>1.5707963267948966</v>
      </c>
      <c r="AJ149" s="31" t="str">
        <f t="shared" si="129"/>
        <v>1+0.0935656076285833i</v>
      </c>
      <c r="AK149" s="31">
        <f t="shared" si="144"/>
        <v>1.00436772296351</v>
      </c>
      <c r="AL149" s="31">
        <f t="shared" si="145"/>
        <v>9.3293992173209356E-2</v>
      </c>
      <c r="AM149" s="31" t="str">
        <f t="shared" si="130"/>
        <v>1+0.600379315616742i</v>
      </c>
      <c r="AN149" s="31">
        <f t="shared" si="146"/>
        <v>1.166385580595211</v>
      </c>
      <c r="AO149" s="31">
        <f t="shared" si="147"/>
        <v>0.54069836213890232</v>
      </c>
      <c r="AP149" s="58" t="str">
        <f t="shared" si="148"/>
        <v>-9.0585112341012+18.8774921488582i</v>
      </c>
      <c r="AQ149" s="49">
        <f t="shared" si="149"/>
        <v>26.418867278040373</v>
      </c>
      <c r="AR149" s="61">
        <f t="shared" si="150"/>
        <v>115.63438213474396</v>
      </c>
      <c r="AS149" s="58" t="str">
        <f t="shared" si="151"/>
        <v>420.336640816116+198.784253144212i</v>
      </c>
      <c r="AT149" s="64">
        <f t="shared" si="152"/>
        <v>53.348518145174531</v>
      </c>
      <c r="AU149" s="61">
        <f t="shared" si="153"/>
        <v>25.310252971896777</v>
      </c>
    </row>
    <row r="150" spans="14:47" x14ac:dyDescent="0.35">
      <c r="N150" s="10">
        <v>32</v>
      </c>
      <c r="O150" s="50">
        <f t="shared" si="121"/>
        <v>208.92961308540396</v>
      </c>
      <c r="P150" s="48" t="str">
        <f t="shared" si="122"/>
        <v>547.187404092767</v>
      </c>
      <c r="Q150" s="17" t="str">
        <f t="shared" si="123"/>
        <v>1+25.176228988777i</v>
      </c>
      <c r="R150" s="17">
        <f t="shared" si="131"/>
        <v>25.196081165437917</v>
      </c>
      <c r="S150" s="17">
        <f t="shared" si="132"/>
        <v>1.5310971881865965</v>
      </c>
      <c r="T150" s="17" t="str">
        <f t="shared" si="124"/>
        <v>1+0.000476383028648628i</v>
      </c>
      <c r="U150" s="17">
        <f t="shared" si="133"/>
        <v>1.0000001134703886</v>
      </c>
      <c r="V150" s="17">
        <f t="shared" si="134"/>
        <v>4.7638299261171929E-4</v>
      </c>
      <c r="W150" s="31" t="str">
        <f t="shared" si="125"/>
        <v>1-0.00827250940401223i</v>
      </c>
      <c r="X150" s="17">
        <f t="shared" si="135"/>
        <v>1.0000342166205312</v>
      </c>
      <c r="Y150" s="17">
        <f t="shared" si="136"/>
        <v>-8.2723207036551616E-3</v>
      </c>
      <c r="Z150" s="31" t="str">
        <f t="shared" si="126"/>
        <v>0.999985569724554+0.0395811962642761i</v>
      </c>
      <c r="AA150" s="17">
        <f t="shared" si="137"/>
        <v>1.0007686099968625</v>
      </c>
      <c r="AB150" s="17">
        <f t="shared" si="138"/>
        <v>3.9561115716254355E-2</v>
      </c>
      <c r="AC150" s="66" t="str">
        <f t="shared" si="139"/>
        <v>-0.16618453785333-21.7005925518908i</v>
      </c>
      <c r="AD150" s="64">
        <f t="shared" si="140"/>
        <v>26.729686543980272</v>
      </c>
      <c r="AE150" s="61">
        <f t="shared" si="141"/>
        <v>-90.438766198999247</v>
      </c>
      <c r="AF150" s="31" t="str">
        <f t="shared" si="127"/>
        <v>-0.000106860158311346</v>
      </c>
      <c r="AG150" s="31" t="str">
        <f t="shared" si="128"/>
        <v>6.06487485529892E-06i</v>
      </c>
      <c r="AH150" s="31">
        <f t="shared" si="142"/>
        <v>6.0648748552989197E-6</v>
      </c>
      <c r="AI150" s="31">
        <f t="shared" si="143"/>
        <v>1.5707963267948966</v>
      </c>
      <c r="AJ150" s="31" t="str">
        <f t="shared" si="129"/>
        <v>1+0.0957450306048205i</v>
      </c>
      <c r="AK150" s="31">
        <f t="shared" si="144"/>
        <v>1.0045730988263213</v>
      </c>
      <c r="AL150" s="31">
        <f t="shared" si="145"/>
        <v>9.5454060909375735E-2</v>
      </c>
      <c r="AM150" s="31" t="str">
        <f t="shared" si="130"/>
        <v>1+0.61436394638093i</v>
      </c>
      <c r="AN150" s="31">
        <f t="shared" si="146"/>
        <v>1.1736452013333289</v>
      </c>
      <c r="AO150" s="31">
        <f t="shared" si="147"/>
        <v>0.55091433167079373</v>
      </c>
      <c r="AP150" s="58" t="str">
        <f t="shared" si="148"/>
        <v>-9.05480775171304+18.4864686409199i</v>
      </c>
      <c r="AQ150" s="49">
        <f t="shared" si="149"/>
        <v>26.270985052258048</v>
      </c>
      <c r="AR150" s="61">
        <f t="shared" si="150"/>
        <v>116.09595125051507</v>
      </c>
      <c r="AS150" s="58" t="str">
        <f t="shared" si="151"/>
        <v>402.672092741478+193.422528407996i</v>
      </c>
      <c r="AT150" s="64">
        <f t="shared" si="152"/>
        <v>53.00067159623832</v>
      </c>
      <c r="AU150" s="61">
        <f t="shared" si="153"/>
        <v>25.657185051515871</v>
      </c>
    </row>
    <row r="151" spans="14:47" x14ac:dyDescent="0.35">
      <c r="N151" s="10">
        <v>33</v>
      </c>
      <c r="O151" s="50">
        <f t="shared" si="121"/>
        <v>213.79620895022339</v>
      </c>
      <c r="P151" s="48" t="str">
        <f t="shared" si="122"/>
        <v>547.187404092767</v>
      </c>
      <c r="Q151" s="17" t="str">
        <f t="shared" si="123"/>
        <v>1+25.762658696271i</v>
      </c>
      <c r="R151" s="17">
        <f t="shared" si="131"/>
        <v>25.782059326216508</v>
      </c>
      <c r="S151" s="17">
        <f t="shared" si="132"/>
        <v>1.531999933868333</v>
      </c>
      <c r="T151" s="17" t="str">
        <f t="shared" si="124"/>
        <v>1+0.000487479414857622i</v>
      </c>
      <c r="U151" s="17">
        <f t="shared" si="133"/>
        <v>1.0000001188180829</v>
      </c>
      <c r="V151" s="17">
        <f t="shared" si="134"/>
        <v>4.8747937624337887E-4</v>
      </c>
      <c r="W151" s="31" t="str">
        <f t="shared" si="125"/>
        <v>1-0.00846520090170233i</v>
      </c>
      <c r="X151" s="17">
        <f t="shared" si="135"/>
        <v>1.0000358291712883</v>
      </c>
      <c r="Y151" s="17">
        <f t="shared" si="136"/>
        <v>-8.4649987060180787E-3</v>
      </c>
      <c r="Z151" s="31" t="str">
        <f t="shared" si="126"/>
        <v>0.999984889646624+0.0405031607633228i</v>
      </c>
      <c r="AA151" s="17">
        <f t="shared" si="137"/>
        <v>1.0008048189099563</v>
      </c>
      <c r="AB151" s="17">
        <f t="shared" si="138"/>
        <v>4.0481645002786559E-2</v>
      </c>
      <c r="AC151" s="66" t="str">
        <f t="shared" si="139"/>
        <v>-0.204917788046522-21.2062773432667i</v>
      </c>
      <c r="AD151" s="64">
        <f t="shared" si="140"/>
        <v>26.529694242715195</v>
      </c>
      <c r="AE151" s="61">
        <f t="shared" si="141"/>
        <v>-90.553636019963349</v>
      </c>
      <c r="AF151" s="31" t="str">
        <f t="shared" si="127"/>
        <v>-0.000106860158311346</v>
      </c>
      <c r="AG151" s="31" t="str">
        <f t="shared" si="128"/>
        <v>6.20614393848714E-06i</v>
      </c>
      <c r="AH151" s="31">
        <f t="shared" si="142"/>
        <v>6.2061439384871402E-6</v>
      </c>
      <c r="AI151" s="31">
        <f t="shared" si="143"/>
        <v>1.5707963267948966</v>
      </c>
      <c r="AJ151" s="31" t="str">
        <f t="shared" si="129"/>
        <v>1+0.0979752188636189i</v>
      </c>
      <c r="AK151" s="31">
        <f t="shared" si="144"/>
        <v>1.0047881087629242</v>
      </c>
      <c r="AL151" s="31">
        <f t="shared" si="145"/>
        <v>9.7663519403675181E-2</v>
      </c>
      <c r="AM151" s="31" t="str">
        <f t="shared" si="130"/>
        <v>1+0.628674321041553i</v>
      </c>
      <c r="AN151" s="31">
        <f t="shared" si="146"/>
        <v>1.1811991372910233</v>
      </c>
      <c r="AO151" s="31">
        <f t="shared" si="147"/>
        <v>0.56123716151756742</v>
      </c>
      <c r="AP151" s="58" t="str">
        <f t="shared" si="148"/>
        <v>-9.0509329738918+18.1052137897274i</v>
      </c>
      <c r="AQ151" s="49">
        <f t="shared" si="149"/>
        <v>26.124852073936765</v>
      </c>
      <c r="AR151" s="61">
        <f t="shared" si="150"/>
        <v>116.56081318663399</v>
      </c>
      <c r="AS151" s="58" t="str">
        <f t="shared" si="151"/>
        <v>385.798882148863+188.226514497767i</v>
      </c>
      <c r="AT151" s="64">
        <f t="shared" si="152"/>
        <v>52.654546316651945</v>
      </c>
      <c r="AU151" s="61">
        <f t="shared" si="153"/>
        <v>26.007177166670676</v>
      </c>
    </row>
    <row r="152" spans="14:47" x14ac:dyDescent="0.35">
      <c r="N152" s="10">
        <v>34</v>
      </c>
      <c r="O152" s="50">
        <f t="shared" si="121"/>
        <v>218.77616239495524</v>
      </c>
      <c r="P152" s="48" t="str">
        <f t="shared" si="122"/>
        <v>547.187404092767</v>
      </c>
      <c r="Q152" s="17" t="str">
        <f t="shared" si="123"/>
        <v>1+26.362748106415i</v>
      </c>
      <c r="R152" s="17">
        <f t="shared" si="131"/>
        <v>26.381707445165251</v>
      </c>
      <c r="S152" s="17">
        <f t="shared" si="132"/>
        <v>1.5328821916867843</v>
      </c>
      <c r="T152" s="17" t="str">
        <f t="shared" si="124"/>
        <v>1+0.000498834269104927i</v>
      </c>
      <c r="U152" s="17">
        <f t="shared" si="133"/>
        <v>1.0000001244178063</v>
      </c>
      <c r="V152" s="17">
        <f t="shared" si="134"/>
        <v>4.9883422772902029E-4</v>
      </c>
      <c r="W152" s="31" t="str">
        <f t="shared" si="125"/>
        <v>1-0.00866238076096072i</v>
      </c>
      <c r="X152" s="17">
        <f t="shared" si="135"/>
        <v>1.0000375177164345</v>
      </c>
      <c r="Y152" s="17">
        <f t="shared" si="136"/>
        <v>-8.6621641048206001E-3</v>
      </c>
      <c r="Z152" s="31" t="str">
        <f t="shared" si="126"/>
        <v>0.999984177517609+0.0414466005743291i</v>
      </c>
      <c r="AA152" s="17">
        <f t="shared" si="137"/>
        <v>1.0008427328930041</v>
      </c>
      <c r="AB152" s="17">
        <f t="shared" si="138"/>
        <v>4.1423547069770889E-2</v>
      </c>
      <c r="AC152" s="66" t="str">
        <f t="shared" si="139"/>
        <v>-0.241906042798246-20.7230708294519i</v>
      </c>
      <c r="AD152" s="64">
        <f t="shared" si="140"/>
        <v>26.329673979787739</v>
      </c>
      <c r="AE152" s="61">
        <f t="shared" si="141"/>
        <v>-90.668798842706167</v>
      </c>
      <c r="AF152" s="31" t="str">
        <f t="shared" si="127"/>
        <v>-0.000106860158311346</v>
      </c>
      <c r="AG152" s="31" t="str">
        <f t="shared" si="128"/>
        <v>6.35070360133957E-06i</v>
      </c>
      <c r="AH152" s="31">
        <f t="shared" si="142"/>
        <v>6.3507036013395703E-6</v>
      </c>
      <c r="AI152" s="31">
        <f t="shared" si="143"/>
        <v>1.5707963267948966</v>
      </c>
      <c r="AJ152" s="31" t="str">
        <f t="shared" si="129"/>
        <v>1+0.100257354880314i</v>
      </c>
      <c r="AK152" s="31">
        <f t="shared" si="144"/>
        <v>1.005013202504125</v>
      </c>
      <c r="AL152" s="31">
        <f t="shared" si="145"/>
        <v>9.9923452805354224E-2</v>
      </c>
      <c r="AM152" s="31" t="str">
        <f t="shared" si="130"/>
        <v>1+0.643318027148683i</v>
      </c>
      <c r="AN152" s="31">
        <f t="shared" si="146"/>
        <v>1.1890576453875032</v>
      </c>
      <c r="AO152" s="31">
        <f t="shared" si="147"/>
        <v>0.5716635245414301</v>
      </c>
      <c r="AP152" s="58" t="str">
        <f t="shared" si="148"/>
        <v>-9.04687913617019+17.7335231262108i</v>
      </c>
      <c r="AQ152" s="49">
        <f t="shared" si="149"/>
        <v>25.980502240879787</v>
      </c>
      <c r="AR152" s="61">
        <f t="shared" si="150"/>
        <v>117.02871513767589</v>
      </c>
      <c r="AS152" s="58" t="str">
        <f t="shared" si="151"/>
        <v>369.681550531695+183.189270720013i</v>
      </c>
      <c r="AT152" s="64">
        <f t="shared" si="152"/>
        <v>52.310176220667529</v>
      </c>
      <c r="AU152" s="61">
        <f t="shared" si="153"/>
        <v>26.359916294969747</v>
      </c>
    </row>
    <row r="153" spans="14:47" x14ac:dyDescent="0.35">
      <c r="N153" s="10">
        <v>35</v>
      </c>
      <c r="O153" s="50">
        <f t="shared" si="121"/>
        <v>223.87211385683412</v>
      </c>
      <c r="P153" s="48" t="str">
        <f t="shared" si="122"/>
        <v>547.187404092767</v>
      </c>
      <c r="Q153" s="17" t="str">
        <f t="shared" si="123"/>
        <v>1+26.9768153945573i</v>
      </c>
      <c r="R153" s="17">
        <f t="shared" si="131"/>
        <v>26.995343465716893</v>
      </c>
      <c r="S153" s="17">
        <f t="shared" si="132"/>
        <v>1.5337444239297422</v>
      </c>
      <c r="T153" s="17" t="str">
        <f t="shared" si="124"/>
        <v>1+0.000510453611884565i</v>
      </c>
      <c r="U153" s="17">
        <f t="shared" si="133"/>
        <v>1.0000001302814365</v>
      </c>
      <c r="V153" s="17">
        <f t="shared" si="134"/>
        <v>5.1045356754948247E-4</v>
      </c>
      <c r="W153" s="31" t="str">
        <f t="shared" si="125"/>
        <v>1-0.00886415352915876i</v>
      </c>
      <c r="X153" s="17">
        <f t="shared" si="135"/>
        <v>1.0000392858372058</v>
      </c>
      <c r="Y153" s="17">
        <f t="shared" si="136"/>
        <v>-8.8639213784145743E-3</v>
      </c>
      <c r="Z153" s="31" t="str">
        <f t="shared" si="126"/>
        <v>0.999983431826988+0.0424120159215705i</v>
      </c>
      <c r="AA153" s="17">
        <f t="shared" si="137"/>
        <v>1.0008824321682404</v>
      </c>
      <c r="AB153" s="17">
        <f t="shared" si="138"/>
        <v>4.2387314822378487E-2</v>
      </c>
      <c r="AC153" s="66" t="str">
        <f t="shared" si="139"/>
        <v>-0.277227067588845-20.2507258420359i</v>
      </c>
      <c r="AD153" s="64">
        <f t="shared" si="140"/>
        <v>26.129625712903088</v>
      </c>
      <c r="AE153" s="61">
        <f t="shared" si="141"/>
        <v>-90.784315036973524</v>
      </c>
      <c r="AF153" s="31" t="str">
        <f t="shared" si="127"/>
        <v>-0.000106860158311346</v>
      </c>
      <c r="AG153" s="31" t="str">
        <f t="shared" si="128"/>
        <v>6.49863049130293E-06i</v>
      </c>
      <c r="AH153" s="31">
        <f t="shared" si="142"/>
        <v>6.49863049130293E-6</v>
      </c>
      <c r="AI153" s="31">
        <f t="shared" si="143"/>
        <v>1.5707963267948966</v>
      </c>
      <c r="AJ153" s="31" t="str">
        <f t="shared" si="129"/>
        <v>1+0.102592648673631i</v>
      </c>
      <c r="AK153" s="31">
        <f t="shared" si="144"/>
        <v>1.0052488505648096</v>
      </c>
      <c r="AL153" s="31">
        <f t="shared" si="145"/>
        <v>0.10223496697308539</v>
      </c>
      <c r="AM153" s="31" t="str">
        <f t="shared" si="130"/>
        <v>1+0.658302828989129i</v>
      </c>
      <c r="AN153" s="31">
        <f t="shared" si="146"/>
        <v>1.1972312285666</v>
      </c>
      <c r="AO153" s="31">
        <f t="shared" si="147"/>
        <v>0.58218988113906744</v>
      </c>
      <c r="AP153" s="58" t="str">
        <f t="shared" si="148"/>
        <v>-9.0426381372426+17.3711970917118i</v>
      </c>
      <c r="AQ153" s="49">
        <f t="shared" si="149"/>
        <v>25.837968411850149</v>
      </c>
      <c r="AR153" s="61">
        <f t="shared" si="150"/>
        <v>117.49939093827447</v>
      </c>
      <c r="AS153" s="58" t="str">
        <f t="shared" si="151"/>
        <v>354.286213906282+178.304219775795i</v>
      </c>
      <c r="AT153" s="64">
        <f t="shared" si="152"/>
        <v>51.967594124753241</v>
      </c>
      <c r="AU153" s="61">
        <f t="shared" si="153"/>
        <v>26.715075901300931</v>
      </c>
    </row>
    <row r="154" spans="14:47" x14ac:dyDescent="0.35">
      <c r="N154" s="10">
        <v>36</v>
      </c>
      <c r="O154" s="50">
        <f t="shared" si="121"/>
        <v>229.08676527677744</v>
      </c>
      <c r="P154" s="48" t="str">
        <f t="shared" si="122"/>
        <v>547.187404092767</v>
      </c>
      <c r="Q154" s="17" t="str">
        <f t="shared" si="123"/>
        <v>1+27.605186147302i</v>
      </c>
      <c r="R154" s="17">
        <f t="shared" si="131"/>
        <v>27.623292747737263</v>
      </c>
      <c r="S154" s="17">
        <f t="shared" si="132"/>
        <v>1.534587082633053</v>
      </c>
      <c r="T154" s="17" t="str">
        <f t="shared" si="124"/>
        <v>1+0.000522343603925875i</v>
      </c>
      <c r="U154" s="17">
        <f t="shared" si="133"/>
        <v>1.0000001364214111</v>
      </c>
      <c r="V154" s="17">
        <f t="shared" si="134"/>
        <v>5.2234355641997854E-4</v>
      </c>
      <c r="W154" s="31" t="str">
        <f t="shared" si="125"/>
        <v>1-0.00907062618888886i</v>
      </c>
      <c r="X154" s="17">
        <f t="shared" si="135"/>
        <v>1.0000411372835911</v>
      </c>
      <c r="Y154" s="17">
        <f t="shared" si="136"/>
        <v>-9.0703774354373903E-3</v>
      </c>
      <c r="Z154" s="31" t="str">
        <f t="shared" si="126"/>
        <v>0.99998265099305+0.0433999186810428i</v>
      </c>
      <c r="AA154" s="17">
        <f t="shared" si="137"/>
        <v>1.0009240007256339</v>
      </c>
      <c r="AB154" s="17">
        <f t="shared" si="138"/>
        <v>4.3373452295733597E-2</v>
      </c>
      <c r="AC154" s="66" t="str">
        <f t="shared" si="139"/>
        <v>-0.310955152463536-19.789000374099i</v>
      </c>
      <c r="AD154" s="64">
        <f t="shared" si="140"/>
        <v>25.929549340938674</v>
      </c>
      <c r="AE154" s="61">
        <f t="shared" si="141"/>
        <v>-90.900245154027729</v>
      </c>
      <c r="AF154" s="31" t="str">
        <f t="shared" si="127"/>
        <v>-0.000106860158311346</v>
      </c>
      <c r="AG154" s="31" t="str">
        <f t="shared" si="128"/>
        <v>6.65000304117232E-06i</v>
      </c>
      <c r="AH154" s="31">
        <f t="shared" si="142"/>
        <v>6.6500030411723197E-6</v>
      </c>
      <c r="AI154" s="31">
        <f t="shared" si="143"/>
        <v>1.5707963267948966</v>
      </c>
      <c r="AJ154" s="31" t="str">
        <f t="shared" si="129"/>
        <v>1+0.104982338447248i</v>
      </c>
      <c r="AK154" s="31">
        <f t="shared" si="144"/>
        <v>1.0054955451844889</v>
      </c>
      <c r="AL154" s="31">
        <f t="shared" si="145"/>
        <v>0.10459918864298354</v>
      </c>
      <c r="AM154" s="31" t="str">
        <f t="shared" si="130"/>
        <v>1+0.673636671703171i</v>
      </c>
      <c r="AN154" s="31">
        <f t="shared" si="146"/>
        <v>1.2057306355332131</v>
      </c>
      <c r="AO154" s="31">
        <f t="shared" si="147"/>
        <v>0.59281248141973641</v>
      </c>
      <c r="AP154" s="58" t="str">
        <f t="shared" si="148"/>
        <v>-9.03820152580014+17.0180409213363i</v>
      </c>
      <c r="AQ154" s="49">
        <f t="shared" si="149"/>
        <v>25.697282284953285</v>
      </c>
      <c r="AR154" s="61">
        <f t="shared" si="150"/>
        <v>117.97256117829269</v>
      </c>
      <c r="AS154" s="58" t="str">
        <f t="shared" si="151"/>
        <v>339.580493492207+173.565125865916i</v>
      </c>
      <c r="AT154" s="64">
        <f t="shared" si="152"/>
        <v>51.626831625891938</v>
      </c>
      <c r="AU154" s="61">
        <f t="shared" si="153"/>
        <v>27.072316024264971</v>
      </c>
    </row>
    <row r="155" spans="14:47" x14ac:dyDescent="0.35">
      <c r="N155" s="10">
        <v>37</v>
      </c>
      <c r="O155" s="50">
        <f t="shared" si="121"/>
        <v>234.42288153199232</v>
      </c>
      <c r="P155" s="48" t="str">
        <f t="shared" si="122"/>
        <v>547.187404092767</v>
      </c>
      <c r="Q155" s="17" t="str">
        <f t="shared" si="123"/>
        <v>1+28.2481935351397i</v>
      </c>
      <c r="R155" s="17">
        <f t="shared" si="131"/>
        <v>28.265888240044895</v>
      </c>
      <c r="S155" s="17">
        <f t="shared" si="132"/>
        <v>1.5354106097959843</v>
      </c>
      <c r="T155" s="17" t="str">
        <f t="shared" si="124"/>
        <v>1+0.000534510549460019i</v>
      </c>
      <c r="U155" s="17">
        <f t="shared" si="133"/>
        <v>1.0000001428507537</v>
      </c>
      <c r="V155" s="17">
        <f t="shared" si="134"/>
        <v>5.3451049855653425E-4</v>
      </c>
      <c r="W155" s="31" t="str">
        <f t="shared" si="125"/>
        <v>1-0.0092819082146882i</v>
      </c>
      <c r="X155" s="17">
        <f t="shared" si="135"/>
        <v>1.0000430759822827</v>
      </c>
      <c r="Y155" s="17">
        <f t="shared" si="136"/>
        <v>-9.2816416711827866E-3</v>
      </c>
      <c r="Z155" s="31" t="str">
        <f t="shared" si="126"/>
        <v>0.999981833359542+0.0444108326518655i</v>
      </c>
      <c r="AA155" s="17">
        <f t="shared" si="137"/>
        <v>1.0009675264992082</v>
      </c>
      <c r="AB155" s="17">
        <f t="shared" si="138"/>
        <v>4.4382474889205971E-2</v>
      </c>
      <c r="AC155" s="66" t="str">
        <f t="shared" si="139"/>
        <v>-0.34316126429611-19.3376574916669i</v>
      </c>
      <c r="AD155" s="64">
        <f t="shared" si="140"/>
        <v>25.729444703740274</v>
      </c>
      <c r="AE155" s="61">
        <f t="shared" si="141"/>
        <v>-91.016649955453644</v>
      </c>
      <c r="AF155" s="31" t="str">
        <f t="shared" si="127"/>
        <v>-0.000106860158311346</v>
      </c>
      <c r="AG155" s="31" t="str">
        <f t="shared" si="128"/>
        <v>6.80490151067734E-06i</v>
      </c>
      <c r="AH155" s="31">
        <f t="shared" si="142"/>
        <v>6.8049015106773397E-6</v>
      </c>
      <c r="AI155" s="31">
        <f t="shared" si="143"/>
        <v>1.5707963267948966</v>
      </c>
      <c r="AJ155" s="31" t="str">
        <f t="shared" si="129"/>
        <v>1+0.107427691246314i</v>
      </c>
      <c r="AK155" s="31">
        <f t="shared" si="144"/>
        <v>1.0057538013085079</v>
      </c>
      <c r="AL155" s="31">
        <f t="shared" si="145"/>
        <v>0.10701726557952289</v>
      </c>
      <c r="AM155" s="31" t="str">
        <f t="shared" si="130"/>
        <v>1+0.689327685497182i</v>
      </c>
      <c r="AN155" s="31">
        <f t="shared" si="146"/>
        <v>1.214566860239856</v>
      </c>
      <c r="AO155" s="31">
        <f t="shared" si="147"/>
        <v>0.60352736832658416</v>
      </c>
      <c r="AP155" s="58" t="str">
        <f t="shared" si="148"/>
        <v>-9.03356048699226+16.6738645291526i</v>
      </c>
      <c r="AQ155" s="49">
        <f t="shared" si="149"/>
        <v>25.558474275159515</v>
      </c>
      <c r="AR155" s="61">
        <f t="shared" si="150"/>
        <v>118.44793337301343</v>
      </c>
      <c r="AS155" s="58" t="str">
        <f t="shared" si="151"/>
        <v>325.533449365018+168.966074195186i</v>
      </c>
      <c r="AT155" s="64">
        <f t="shared" si="152"/>
        <v>51.287918978899782</v>
      </c>
      <c r="AU155" s="61">
        <f t="shared" si="153"/>
        <v>27.431283417559801</v>
      </c>
    </row>
    <row r="156" spans="14:47" x14ac:dyDescent="0.35">
      <c r="N156" s="10">
        <v>38</v>
      </c>
      <c r="O156" s="50">
        <f t="shared" si="121"/>
        <v>239.88329190194912</v>
      </c>
      <c r="P156" s="48" t="str">
        <f t="shared" si="122"/>
        <v>547.187404092767</v>
      </c>
      <c r="Q156" s="17" t="str">
        <f t="shared" si="123"/>
        <v>1+28.9061784890991i</v>
      </c>
      <c r="R156" s="17">
        <f t="shared" si="131"/>
        <v>28.923470656953594</v>
      </c>
      <c r="S156" s="17">
        <f t="shared" si="132"/>
        <v>1.536215437592878</v>
      </c>
      <c r="T156" s="17" t="str">
        <f t="shared" si="124"/>
        <v>1+0.000546960899562575i</v>
      </c>
      <c r="U156" s="17">
        <f t="shared" si="133"/>
        <v>1.0000001495831017</v>
      </c>
      <c r="V156" s="17">
        <f t="shared" si="134"/>
        <v>5.4696084501850881E-4</v>
      </c>
      <c r="W156" s="31" t="str">
        <f t="shared" si="125"/>
        <v>1-0.00949811163108364i</v>
      </c>
      <c r="X156" s="17">
        <f t="shared" si="135"/>
        <v>1.0000451060450006</v>
      </c>
      <c r="Y156" s="17">
        <f t="shared" si="136"/>
        <v>-9.4978260252676413E-3</v>
      </c>
      <c r="Z156" s="31" t="str">
        <f t="shared" si="126"/>
        <v>0.999980977192154+0.0454452938340074i</v>
      </c>
      <c r="AA156" s="17">
        <f t="shared" si="137"/>
        <v>1.0010131015515404</v>
      </c>
      <c r="AB156" s="17">
        <f t="shared" si="138"/>
        <v>4.5414909604396606E-2</v>
      </c>
      <c r="AC156" s="66" t="str">
        <f t="shared" si="139"/>
        <v>-0.373913192471462-18.8964652452467i</v>
      </c>
      <c r="AD156" s="64">
        <f t="shared" si="140"/>
        <v>25.529311581797604</v>
      </c>
      <c r="AE156" s="61">
        <f t="shared" si="141"/>
        <v>-91.133590442033778</v>
      </c>
      <c r="AF156" s="31" t="str">
        <f t="shared" si="127"/>
        <v>-0.000106860158311346</v>
      </c>
      <c r="AG156" s="31" t="str">
        <f t="shared" si="128"/>
        <v>6.96340802903684E-06i</v>
      </c>
      <c r="AH156" s="31">
        <f t="shared" si="142"/>
        <v>6.9634080290368403E-6</v>
      </c>
      <c r="AI156" s="31">
        <f t="shared" si="143"/>
        <v>1.5707963267948966</v>
      </c>
      <c r="AJ156" s="31" t="str">
        <f t="shared" si="129"/>
        <v>1+0.109930003629254i</v>
      </c>
      <c r="AK156" s="31">
        <f t="shared" si="144"/>
        <v>1.0060241576114999</v>
      </c>
      <c r="AL156" s="31">
        <f t="shared" si="145"/>
        <v>0.10949036670760771</v>
      </c>
      <c r="AM156" s="31" t="str">
        <f t="shared" si="130"/>
        <v>1+0.70538418995438i</v>
      </c>
      <c r="AN156" s="31">
        <f t="shared" si="146"/>
        <v>1.2237511411384248</v>
      </c>
      <c r="AO156" s="31">
        <f t="shared" si="147"/>
        <v>0.61433038172492394</v>
      </c>
      <c r="AP156" s="58" t="str">
        <f t="shared" si="148"/>
        <v>-9.02870582851979+16.3384823951303i</v>
      </c>
      <c r="AQ156" s="49">
        <f t="shared" si="149"/>
        <v>25.421573391631359</v>
      </c>
      <c r="AR156" s="61">
        <f t="shared" si="150"/>
        <v>118.92520218981326</v>
      </c>
      <c r="AS156" s="58" t="str">
        <f t="shared" si="151"/>
        <v>312.115516959882+164.501451785679i</v>
      </c>
      <c r="AT156" s="64">
        <f t="shared" si="152"/>
        <v>50.950884973428963</v>
      </c>
      <c r="AU156" s="61">
        <f t="shared" si="153"/>
        <v>27.791611747779587</v>
      </c>
    </row>
    <row r="157" spans="14:47" x14ac:dyDescent="0.35">
      <c r="N157" s="10">
        <v>39</v>
      </c>
      <c r="O157" s="50">
        <f t="shared" si="121"/>
        <v>245.4708915685033</v>
      </c>
      <c r="P157" s="48" t="str">
        <f t="shared" si="122"/>
        <v>547.187404092767</v>
      </c>
      <c r="Q157" s="17" t="str">
        <f t="shared" si="123"/>
        <v>1+29.5794898815117i</v>
      </c>
      <c r="R157" s="17">
        <f t="shared" si="131"/>
        <v>29.596388658930216</v>
      </c>
      <c r="S157" s="17">
        <f t="shared" si="132"/>
        <v>1.5370019885810988</v>
      </c>
      <c r="T157" s="17" t="str">
        <f t="shared" si="124"/>
        <v>1+0.000559701255573959i</v>
      </c>
      <c r="U157" s="17">
        <f t="shared" si="133"/>
        <v>1.0000001566327354</v>
      </c>
      <c r="V157" s="17">
        <f t="shared" si="134"/>
        <v>5.597011971289396E-4</v>
      </c>
      <c r="W157" s="31" t="str">
        <f t="shared" si="125"/>
        <v>1-0.00971935107198819i</v>
      </c>
      <c r="X157" s="17">
        <f t="shared" si="135"/>
        <v>1.00004723177721</v>
      </c>
      <c r="Y157" s="17">
        <f t="shared" si="136"/>
        <v>-9.7190450406232868E-3</v>
      </c>
      <c r="Z157" s="31" t="str">
        <f t="shared" si="126"/>
        <v>0.999980080674841+0.0465038507124794i</v>
      </c>
      <c r="AA157" s="17">
        <f t="shared" si="137"/>
        <v>1.001060822266834</v>
      </c>
      <c r="AB157" s="17">
        <f t="shared" si="138"/>
        <v>4.6471295286776348E-2</v>
      </c>
      <c r="AC157" s="66" t="str">
        <f t="shared" si="139"/>
        <v>-0.40327568825531-18.4651965815712i</v>
      </c>
      <c r="AD157" s="64">
        <f t="shared" si="140"/>
        <v>25.329149695799845</v>
      </c>
      <c r="AE157" s="61">
        <f t="shared" si="141"/>
        <v>-91.251127882691549</v>
      </c>
      <c r="AF157" s="31" t="str">
        <f t="shared" si="127"/>
        <v>-0.000106860158311346</v>
      </c>
      <c r="AG157" s="31" t="str">
        <f t="shared" si="128"/>
        <v>7.12560663850494E-06i</v>
      </c>
      <c r="AH157" s="31">
        <f t="shared" si="142"/>
        <v>7.1256066385049398E-6</v>
      </c>
      <c r="AI157" s="31">
        <f t="shared" si="143"/>
        <v>1.5707963267948966</v>
      </c>
      <c r="AJ157" s="31" t="str">
        <f t="shared" si="129"/>
        <v>1+0.112490602355214i</v>
      </c>
      <c r="AK157" s="31">
        <f t="shared" si="144"/>
        <v>1.006307177564703</v>
      </c>
      <c r="AL157" s="31">
        <f t="shared" si="145"/>
        <v>0.11201968222394787</v>
      </c>
      <c r="AM157" s="31" t="str">
        <f t="shared" si="130"/>
        <v>1+0.721814698445952i</v>
      </c>
      <c r="AN157" s="31">
        <f t="shared" si="146"/>
        <v>1.2332949602153658</v>
      </c>
      <c r="AO157" s="31">
        <f t="shared" si="147"/>
        <v>0.62521716347405132</v>
      </c>
      <c r="AP157" s="58" t="str">
        <f t="shared" si="148"/>
        <v>-9.02362796636508+16.0117134537182i</v>
      </c>
      <c r="AQ157" s="49">
        <f t="shared" si="149"/>
        <v>25.286607115556446</v>
      </c>
      <c r="AR157" s="61">
        <f t="shared" si="150"/>
        <v>119.40404973237524</v>
      </c>
      <c r="AS157" s="58" t="str">
        <f t="shared" si="151"/>
        <v>299.298446309391+160.1659295147i</v>
      </c>
      <c r="AT157" s="64">
        <f t="shared" si="152"/>
        <v>50.615756811356299</v>
      </c>
      <c r="AU157" s="61">
        <f t="shared" si="153"/>
        <v>28.152921849683686</v>
      </c>
    </row>
    <row r="158" spans="14:47" x14ac:dyDescent="0.35">
      <c r="N158" s="10">
        <v>40</v>
      </c>
      <c r="O158" s="50">
        <f t="shared" si="121"/>
        <v>251.18864315095806</v>
      </c>
      <c r="P158" s="48" t="str">
        <f t="shared" si="122"/>
        <v>547.187404092767</v>
      </c>
      <c r="Q158" s="17" t="str">
        <f t="shared" si="123"/>
        <v>1+30.2684847109905i</v>
      </c>
      <c r="R158" s="17">
        <f t="shared" si="131"/>
        <v>30.284999037468459</v>
      </c>
      <c r="S158" s="17">
        <f t="shared" si="132"/>
        <v>1.5377706759052914</v>
      </c>
      <c r="T158" s="17" t="str">
        <f t="shared" si="124"/>
        <v>1+0.000572738372599574i</v>
      </c>
      <c r="U158" s="17">
        <f t="shared" si="133"/>
        <v>1.0000001640146083</v>
      </c>
      <c r="V158" s="17">
        <f t="shared" si="134"/>
        <v>5.7273830997460798E-4</v>
      </c>
      <c r="W158" s="31" t="str">
        <f t="shared" si="125"/>
        <v>1-0.00994574384148199i</v>
      </c>
      <c r="X158" s="17">
        <f t="shared" si="135"/>
        <v>1.0000494576872487</v>
      </c>
      <c r="Y158" s="17">
        <f t="shared" si="136"/>
        <v>-9.9454159238423576E-3</v>
      </c>
      <c r="Z158" s="31" t="str">
        <f t="shared" si="126"/>
        <v>0.999979141905968+0.0475870645481508i</v>
      </c>
      <c r="AA158" s="17">
        <f t="shared" si="137"/>
        <v>1.0011107895529374</v>
      </c>
      <c r="AB158" s="17">
        <f t="shared" si="138"/>
        <v>4.755218287093621E-2</v>
      </c>
      <c r="AC158" s="66" t="str">
        <f t="shared" si="139"/>
        <v>-0.431310598109983-18.0436292556604i</v>
      </c>
      <c r="AD158" s="64">
        <f t="shared" si="140"/>
        <v>25.128958706068264</v>
      </c>
      <c r="AE158" s="61">
        <f t="shared" si="141"/>
        <v>-91.369323843503452</v>
      </c>
      <c r="AF158" s="31" t="str">
        <f t="shared" si="127"/>
        <v>-0.000106860158311346</v>
      </c>
      <c r="AG158" s="31" t="str">
        <f t="shared" si="128"/>
        <v>7.29158333893132E-06i</v>
      </c>
      <c r="AH158" s="31">
        <f t="shared" si="142"/>
        <v>7.2915833389313196E-6</v>
      </c>
      <c r="AI158" s="31">
        <f t="shared" si="143"/>
        <v>1.5707963267948966</v>
      </c>
      <c r="AJ158" s="31" t="str">
        <f t="shared" si="129"/>
        <v>1+0.115110845087531i</v>
      </c>
      <c r="AK158" s="31">
        <f t="shared" si="144"/>
        <v>1.0066034505488075</v>
      </c>
      <c r="AL158" s="31">
        <f t="shared" si="145"/>
        <v>0.11460642368579115</v>
      </c>
      <c r="AM158" s="31" t="str">
        <f t="shared" si="130"/>
        <v>1+0.738627922644992i</v>
      </c>
      <c r="AN158" s="31">
        <f t="shared" si="146"/>
        <v>1.243210041831571</v>
      </c>
      <c r="AO158" s="31">
        <f t="shared" si="147"/>
        <v>0.63618316349156712</v>
      </c>
      <c r="AP158" s="58" t="str">
        <f t="shared" si="148"/>
        <v>-9.01831691016904+15.6933809839576i</v>
      </c>
      <c r="AQ158" s="49">
        <f t="shared" si="149"/>
        <v>25.153601279215341</v>
      </c>
      <c r="AR158" s="61">
        <f t="shared" si="150"/>
        <v>119.88414588306401</v>
      </c>
      <c r="AS158" s="58" t="str">
        <f t="shared" si="151"/>
        <v>287.055243902832+155.954445298584i</v>
      </c>
      <c r="AT158" s="64">
        <f t="shared" si="152"/>
        <v>50.282559985283591</v>
      </c>
      <c r="AU158" s="61">
        <f t="shared" si="153"/>
        <v>28.514822039560531</v>
      </c>
    </row>
    <row r="159" spans="14:47" x14ac:dyDescent="0.35">
      <c r="N159" s="10">
        <v>41</v>
      </c>
      <c r="O159" s="50">
        <f t="shared" si="121"/>
        <v>257.03957827688663</v>
      </c>
      <c r="P159" s="48" t="str">
        <f t="shared" si="122"/>
        <v>547.187404092767</v>
      </c>
      <c r="Q159" s="17" t="str">
        <f t="shared" si="123"/>
        <v>1+30.9735282917137i</v>
      </c>
      <c r="R159" s="17">
        <f t="shared" si="131"/>
        <v>30.989666904269704</v>
      </c>
      <c r="S159" s="17">
        <f t="shared" si="132"/>
        <v>1.5385219034979556</v>
      </c>
      <c r="T159" s="17" t="str">
        <f t="shared" si="124"/>
        <v>1+0.000586079163091426i</v>
      </c>
      <c r="U159" s="17">
        <f t="shared" si="133"/>
        <v>1.0000001717443781</v>
      </c>
      <c r="V159" s="17">
        <f t="shared" si="134"/>
        <v>5.8607909598756651E-4</v>
      </c>
      <c r="W159" s="31" t="str">
        <f t="shared" si="125"/>
        <v>1-0.010177409976008i</v>
      </c>
      <c r="X159" s="17">
        <f t="shared" si="135"/>
        <v>1.0000517884958857</v>
      </c>
      <c r="Y159" s="17">
        <f t="shared" si="136"/>
        <v>-1.0177058606909345E-2</v>
      </c>
      <c r="Z159" s="31" t="str">
        <f t="shared" si="126"/>
        <v>0.999978158894281+0.0486955096753345i</v>
      </c>
      <c r="AA159" s="17">
        <f t="shared" si="137"/>
        <v>1.001163109052734</v>
      </c>
      <c r="AB159" s="17">
        <f t="shared" si="138"/>
        <v>4.8658135629382558E-2</v>
      </c>
      <c r="AC159" s="66" t="str">
        <f t="shared" si="139"/>
        <v>-0.458076991204977-17.6315457433093i</v>
      </c>
      <c r="AD159" s="64">
        <f t="shared" si="140"/>
        <v>24.928738211867369</v>
      </c>
      <c r="AE159" s="61">
        <f t="shared" si="141"/>
        <v>-91.488240216777612</v>
      </c>
      <c r="AF159" s="31" t="str">
        <f t="shared" si="127"/>
        <v>-0.000106860158311346</v>
      </c>
      <c r="AG159" s="31" t="str">
        <f t="shared" si="128"/>
        <v>7.46142613335953E-06i</v>
      </c>
      <c r="AH159" s="31">
        <f t="shared" si="142"/>
        <v>7.46142613335953E-6</v>
      </c>
      <c r="AI159" s="31">
        <f t="shared" si="143"/>
        <v>1.5707963267948966</v>
      </c>
      <c r="AJ159" s="31" t="str">
        <f t="shared" si="129"/>
        <v>1+0.117792121113586i</v>
      </c>
      <c r="AK159" s="31">
        <f t="shared" si="144"/>
        <v>1.0069135930140369</v>
      </c>
      <c r="AL159" s="31">
        <f t="shared" si="145"/>
        <v>0.11725182407490277</v>
      </c>
      <c r="AM159" s="31" t="str">
        <f t="shared" si="130"/>
        <v>1+0.755832777145509i</v>
      </c>
      <c r="AN159" s="31">
        <f t="shared" si="146"/>
        <v>1.2535083513912035</v>
      </c>
      <c r="AO159" s="31">
        <f t="shared" si="147"/>
        <v>0.64722364681076938</v>
      </c>
      <c r="AP159" s="58" t="str">
        <f t="shared" si="148"/>
        <v>-9.0127622482642+15.3833125010238i</v>
      </c>
      <c r="AQ159" s="49">
        <f t="shared" si="149"/>
        <v>25.022579947033186</v>
      </c>
      <c r="AR159" s="61">
        <f t="shared" si="150"/>
        <v>120.36514870362059</v>
      </c>
      <c r="AS159" s="58" t="str">
        <f t="shared" si="151"/>
        <v>275.360117058554+151.862188348607i</v>
      </c>
      <c r="AT159" s="64">
        <f t="shared" si="152"/>
        <v>49.951318158900563</v>
      </c>
      <c r="AU159" s="61">
        <f t="shared" si="153"/>
        <v>28.876908486843032</v>
      </c>
    </row>
    <row r="160" spans="14:47" x14ac:dyDescent="0.35">
      <c r="N160" s="10">
        <v>42</v>
      </c>
      <c r="O160" s="50">
        <f t="shared" si="121"/>
        <v>263.02679918953817</v>
      </c>
      <c r="P160" s="48" t="str">
        <f t="shared" si="122"/>
        <v>547.187404092767</v>
      </c>
      <c r="Q160" s="17" t="str">
        <f t="shared" si="123"/>
        <v>1+31.6949944471202i</v>
      </c>
      <c r="R160" s="17">
        <f t="shared" si="131"/>
        <v>31.710765884837606</v>
      </c>
      <c r="S160" s="17">
        <f t="shared" si="132"/>
        <v>1.5392560662763664</v>
      </c>
      <c r="T160" s="17" t="str">
        <f t="shared" si="124"/>
        <v>1+0.000599730700513224i</v>
      </c>
      <c r="U160" s="17">
        <f t="shared" si="133"/>
        <v>1.0000001798384404</v>
      </c>
      <c r="V160" s="17">
        <f t="shared" si="134"/>
        <v>5.9973062861014379E-4</v>
      </c>
      <c r="W160" s="31" t="str">
        <f t="shared" si="125"/>
        <v>1-0.0104144723080172i</v>
      </c>
      <c r="X160" s="17">
        <f t="shared" si="135"/>
        <v>1.000054229146327</v>
      </c>
      <c r="Y160" s="17">
        <f t="shared" si="136"/>
        <v>-1.0414095810347369E-2</v>
      </c>
      <c r="Z160" s="31" t="str">
        <f t="shared" si="126"/>
        <v>0.99997712955468+0.0498297738063093i</v>
      </c>
      <c r="AA160" s="17">
        <f t="shared" si="137"/>
        <v>1.0012178913653138</v>
      </c>
      <c r="AB160" s="17">
        <f t="shared" si="138"/>
        <v>4.9789729424819823E-2</v>
      </c>
      <c r="AC160" s="66" t="str">
        <f t="shared" si="139"/>
        <v>-0.483631281362313-17.2287331540919i</v>
      </c>
      <c r="AD160" s="64">
        <f t="shared" si="140"/>
        <v>24.728487750591455</v>
      </c>
      <c r="AE160" s="61">
        <f t="shared" si="141"/>
        <v>-91.607939250199294</v>
      </c>
      <c r="AF160" s="31" t="str">
        <f t="shared" si="127"/>
        <v>-0.000106860158311346</v>
      </c>
      <c r="AG160" s="31" t="str">
        <f t="shared" si="128"/>
        <v>7.63522507468728E-06i</v>
      </c>
      <c r="AH160" s="31">
        <f t="shared" si="142"/>
        <v>7.6352250746872803E-6</v>
      </c>
      <c r="AI160" s="31">
        <f t="shared" si="143"/>
        <v>1.5707963267948966</v>
      </c>
      <c r="AJ160" s="31" t="str">
        <f t="shared" si="129"/>
        <v>1+0.120535852081418i</v>
      </c>
      <c r="AK160" s="31">
        <f t="shared" si="144"/>
        <v>1.0072382496892149</v>
      </c>
      <c r="AL160" s="31">
        <f t="shared" si="145"/>
        <v>0.11995713783455911</v>
      </c>
      <c r="AM160" s="31" t="str">
        <f t="shared" si="130"/>
        <v>1+0.773438384189099i</v>
      </c>
      <c r="AN160" s="31">
        <f t="shared" si="146"/>
        <v>1.264202093866738</v>
      </c>
      <c r="AO160" s="31">
        <f t="shared" si="147"/>
        <v>0.65833370162317495</v>
      </c>
      <c r="AP160" s="58" t="str">
        <f t="shared" si="148"/>
        <v>-9.00695313238019+15.0813396490935i</v>
      </c>
      <c r="AQ160" s="49">
        <f t="shared" si="149"/>
        <v>24.893565299381287</v>
      </c>
      <c r="AR160" s="61">
        <f t="shared" si="150"/>
        <v>120.84670489384341</v>
      </c>
      <c r="AS160" s="58" t="str">
        <f t="shared" si="151"/>
        <v>264.188420705041+147.884584430039i</v>
      </c>
      <c r="AT160" s="64">
        <f t="shared" si="152"/>
        <v>49.622053049972735</v>
      </c>
      <c r="AU160" s="61">
        <f t="shared" si="153"/>
        <v>29.238765643644108</v>
      </c>
    </row>
    <row r="161" spans="14:47" x14ac:dyDescent="0.35">
      <c r="N161" s="10">
        <v>43</v>
      </c>
      <c r="O161" s="50">
        <f t="shared" si="121"/>
        <v>269.15348039269179</v>
      </c>
      <c r="P161" s="48" t="str">
        <f t="shared" si="122"/>
        <v>547.187404092767</v>
      </c>
      <c r="Q161" s="17" t="str">
        <f t="shared" si="123"/>
        <v>1+32.4332657081156i</v>
      </c>
      <c r="R161" s="17">
        <f t="shared" si="131"/>
        <v>32.448678316585209</v>
      </c>
      <c r="S161" s="17">
        <f t="shared" si="132"/>
        <v>1.5399735503358563</v>
      </c>
      <c r="T161" s="17" t="str">
        <f t="shared" si="124"/>
        <v>1+0.000613700223090811i</v>
      </c>
      <c r="U161" s="17">
        <f t="shared" si="133"/>
        <v>1.0000001883139642</v>
      </c>
      <c r="V161" s="17">
        <f t="shared" si="134"/>
        <v>6.1370014604527332E-4</v>
      </c>
      <c r="W161" s="31" t="str">
        <f t="shared" si="125"/>
        <v>1-0.010657056531096i</v>
      </c>
      <c r="X161" s="17">
        <f t="shared" si="135"/>
        <v>1.000056784814696</v>
      </c>
      <c r="Y161" s="17">
        <f t="shared" si="136"/>
        <v>-1.0656653107811576E-2</v>
      </c>
      <c r="Z161" s="31" t="str">
        <f t="shared" si="126"/>
        <v>0.999976051703799+0.0509904583429315i</v>
      </c>
      <c r="AA161" s="17">
        <f t="shared" si="137"/>
        <v>1.0012752522773851</v>
      </c>
      <c r="AB161" s="17">
        <f t="shared" si="138"/>
        <v>5.0947552965830409E-2</v>
      </c>
      <c r="AC161" s="66" t="str">
        <f t="shared" si="139"/>
        <v>-0.508027343667028-16.834983144969i</v>
      </c>
      <c r="AD161" s="64">
        <f t="shared" si="140"/>
        <v>24.52820679682624</v>
      </c>
      <c r="AE161" s="61">
        <f t="shared" si="141"/>
        <v>-91.728483576040716</v>
      </c>
      <c r="AF161" s="31" t="str">
        <f t="shared" si="127"/>
        <v>-0.000106860158311346</v>
      </c>
      <c r="AG161" s="31" t="str">
        <f t="shared" si="128"/>
        <v>0.0000078130723134138i</v>
      </c>
      <c r="AH161" s="31">
        <f t="shared" si="142"/>
        <v>7.8130723134137998E-6</v>
      </c>
      <c r="AI161" s="31">
        <f t="shared" si="143"/>
        <v>1.5707963267948966</v>
      </c>
      <c r="AJ161" s="31" t="str">
        <f t="shared" si="129"/>
        <v>1+0.123343492753505i</v>
      </c>
      <c r="AK161" s="31">
        <f t="shared" si="144"/>
        <v>1.0075780948416029</v>
      </c>
      <c r="AL161" s="31">
        <f t="shared" si="145"/>
        <v>0.12272364087720239</v>
      </c>
      <c r="AM161" s="31" t="str">
        <f t="shared" si="130"/>
        <v>1+0.791454078501656i</v>
      </c>
      <c r="AN161" s="31">
        <f t="shared" si="146"/>
        <v>1.2753037122101172</v>
      </c>
      <c r="AO161" s="31">
        <f t="shared" si="147"/>
        <v>0.66950824828903865</v>
      </c>
      <c r="AP161" s="58" t="str">
        <f t="shared" si="148"/>
        <v>-9.00087826203589+14.7872980954256i</v>
      </c>
      <c r="AQ161" s="49">
        <f t="shared" si="149"/>
        <v>24.766577519895371</v>
      </c>
      <c r="AR161" s="61">
        <f t="shared" si="150"/>
        <v>121.32845030741593</v>
      </c>
      <c r="AS161" s="58" t="str">
        <f t="shared" si="151"/>
        <v>253.516606470255+144.017282059861i</v>
      </c>
      <c r="AT161" s="64">
        <f t="shared" si="152"/>
        <v>49.294784316721625</v>
      </c>
      <c r="AU161" s="61">
        <f t="shared" si="153"/>
        <v>29.599966731375282</v>
      </c>
    </row>
    <row r="162" spans="14:47" x14ac:dyDescent="0.35">
      <c r="N162" s="10">
        <v>44</v>
      </c>
      <c r="O162" s="50">
        <f t="shared" si="121"/>
        <v>275.42287033381683</v>
      </c>
      <c r="P162" s="48" t="str">
        <f t="shared" si="122"/>
        <v>547.187404092767</v>
      </c>
      <c r="Q162" s="17" t="str">
        <f t="shared" si="123"/>
        <v>1+33.1887335158945i</v>
      </c>
      <c r="R162" s="17">
        <f t="shared" si="131"/>
        <v>33.203795451560332</v>
      </c>
      <c r="S162" s="17">
        <f t="shared" si="132"/>
        <v>1.5406747331394894</v>
      </c>
      <c r="T162" s="17" t="str">
        <f t="shared" si="124"/>
        <v>1+0.000627995137649964i</v>
      </c>
      <c r="U162" s="17">
        <f t="shared" si="133"/>
        <v>1.000000197188927</v>
      </c>
      <c r="V162" s="17">
        <f t="shared" si="134"/>
        <v>6.2799505509418389E-4</v>
      </c>
      <c r="W162" s="31" t="str">
        <f t="shared" si="125"/>
        <v>1-0.0109052912666104i</v>
      </c>
      <c r="X162" s="17">
        <f t="shared" si="135"/>
        <v>1.0000594609210043</v>
      </c>
      <c r="Y162" s="17">
        <f t="shared" si="136"/>
        <v>-1.0904858992161081E-2</v>
      </c>
      <c r="Z162" s="31" t="str">
        <f t="shared" si="126"/>
        <v>0.999974923055371+0.0521781786955057i</v>
      </c>
      <c r="AA162" s="17">
        <f t="shared" si="137"/>
        <v>1.0013353130053764</v>
      </c>
      <c r="AB162" s="17">
        <f t="shared" si="138"/>
        <v>5.2132208065863522E-2</v>
      </c>
      <c r="AC162" s="66" t="str">
        <f t="shared" si="139"/>
        <v>-0.53131662596467-16.4500918345772i</v>
      </c>
      <c r="AD162" s="64">
        <f t="shared" si="140"/>
        <v>24.327894761283829</v>
      </c>
      <c r="AE162" s="61">
        <f t="shared" si="141"/>
        <v>-91.849936240433109</v>
      </c>
      <c r="AF162" s="31" t="str">
        <f t="shared" si="127"/>
        <v>-0.000106860158311346</v>
      </c>
      <c r="AG162" s="31" t="str">
        <f t="shared" si="128"/>
        <v>7.99506214649912E-06i</v>
      </c>
      <c r="AH162" s="31">
        <f t="shared" si="142"/>
        <v>7.9950621464991205E-6</v>
      </c>
      <c r="AI162" s="31">
        <f t="shared" si="143"/>
        <v>1.5707963267948966</v>
      </c>
      <c r="AJ162" s="31" t="str">
        <f t="shared" si="129"/>
        <v>1+0.126216531778094i</v>
      </c>
      <c r="AK162" s="31">
        <f t="shared" si="144"/>
        <v>1.0079338335893337</v>
      </c>
      <c r="AL162" s="31">
        <f t="shared" si="145"/>
        <v>0.12555263056022456</v>
      </c>
      <c r="AM162" s="31" t="str">
        <f t="shared" si="130"/>
        <v>1+0.809889412242768i</v>
      </c>
      <c r="AN162" s="31">
        <f t="shared" si="146"/>
        <v>1.2868258856826498</v>
      </c>
      <c r="AO162" s="31">
        <f t="shared" si="147"/>
        <v>0.68074204928964255</v>
      </c>
      <c r="AP162" s="58" t="str">
        <f t="shared" si="148"/>
        <v>-8.99452586864084+14.5010274255515i</v>
      </c>
      <c r="AQ162" s="49">
        <f t="shared" si="149"/>
        <v>24.641634687078721</v>
      </c>
      <c r="AR162" s="61">
        <f t="shared" si="150"/>
        <v>121.81001052351711</v>
      </c>
      <c r="AS162" s="58" t="str">
        <f t="shared" si="151"/>
        <v>243.322173982723+140.256139582857i</v>
      </c>
      <c r="AT162" s="64">
        <f t="shared" si="152"/>
        <v>48.96952944836255</v>
      </c>
      <c r="AU162" s="61">
        <f t="shared" si="153"/>
        <v>29.960074283084023</v>
      </c>
    </row>
    <row r="163" spans="14:47" x14ac:dyDescent="0.35">
      <c r="N163" s="10">
        <v>45</v>
      </c>
      <c r="O163" s="50">
        <f t="shared" si="121"/>
        <v>281.83829312644554</v>
      </c>
      <c r="P163" s="48" t="str">
        <f t="shared" si="122"/>
        <v>547.187404092767</v>
      </c>
      <c r="Q163" s="17" t="str">
        <f t="shared" si="123"/>
        <v>1+33.9617984294882i</v>
      </c>
      <c r="R163" s="17">
        <f t="shared" si="131"/>
        <v>33.976517663898207</v>
      </c>
      <c r="S163" s="17">
        <f t="shared" si="132"/>
        <v>1.5413599837041587</v>
      </c>
      <c r="T163" s="17" t="str">
        <f t="shared" si="124"/>
        <v>1+0.000642623023543596i</v>
      </c>
      <c r="U163" s="17">
        <f t="shared" si="133"/>
        <v>1.0000002064821538</v>
      </c>
      <c r="V163" s="17">
        <f t="shared" si="134"/>
        <v>6.4262293508348485E-4</v>
      </c>
      <c r="W163" s="31" t="str">
        <f t="shared" si="125"/>
        <v>1-0.0111593081319029i</v>
      </c>
      <c r="X163" s="17">
        <f t="shared" si="135"/>
        <v>1.0000622631406422</v>
      </c>
      <c r="Y163" s="17">
        <f t="shared" si="136"/>
        <v>-1.1158844943042782E-2</v>
      </c>
      <c r="Z163" s="31" t="str">
        <f t="shared" si="126"/>
        <v>0.999973741215381+0.0533935646090839i</v>
      </c>
      <c r="AA163" s="17">
        <f t="shared" si="137"/>
        <v>1.0013982004487276</v>
      </c>
      <c r="AB163" s="17">
        <f t="shared" si="138"/>
        <v>5.334430990542495E-2</v>
      </c>
      <c r="AC163" s="66" t="str">
        <f t="shared" si="139"/>
        <v>-0.553548255458986-16.0738597182668i</v>
      </c>
      <c r="AD163" s="64">
        <f t="shared" si="140"/>
        <v>24.127550989608487</v>
      </c>
      <c r="AE163" s="61">
        <f t="shared" si="141"/>
        <v>-91.972360732699059</v>
      </c>
      <c r="AF163" s="31" t="str">
        <f t="shared" si="127"/>
        <v>-0.000106860158311346</v>
      </c>
      <c r="AG163" s="31" t="str">
        <f t="shared" si="128"/>
        <v>8.18129106736167E-06i</v>
      </c>
      <c r="AH163" s="31">
        <f t="shared" si="142"/>
        <v>8.1812910673616702E-6</v>
      </c>
      <c r="AI163" s="31">
        <f t="shared" si="143"/>
        <v>1.5707963267948966</v>
      </c>
      <c r="AJ163" s="31" t="str">
        <f t="shared" si="129"/>
        <v>1+0.129156492478505i</v>
      </c>
      <c r="AK163" s="31">
        <f t="shared" si="144"/>
        <v>1.0083062032683079</v>
      </c>
      <c r="AL163" s="31">
        <f t="shared" si="145"/>
        <v>0.12844542562722933</v>
      </c>
      <c r="AM163" s="31" t="str">
        <f t="shared" si="130"/>
        <v>1+0.828754160070404i</v>
      </c>
      <c r="AN163" s="31">
        <f t="shared" si="146"/>
        <v>1.2987815281385862</v>
      </c>
      <c r="AO163" s="31">
        <f t="shared" si="147"/>
        <v>0.69202972008575181</v>
      </c>
      <c r="AP163" s="58" t="str">
        <f t="shared" si="148"/>
        <v>-8.98788369932845+14.2223710394601i</v>
      </c>
      <c r="AQ163" s="49">
        <f t="shared" si="149"/>
        <v>24.518752670941105</v>
      </c>
      <c r="AR163" s="61">
        <f t="shared" si="150"/>
        <v>122.29100147233144</v>
      </c>
      <c r="AS163" s="58" t="str">
        <f t="shared" si="151"/>
        <v>233.583624291454+136.597213069719i</v>
      </c>
      <c r="AT163" s="64">
        <f t="shared" si="152"/>
        <v>48.646303660549613</v>
      </c>
      <c r="AU163" s="61">
        <f t="shared" si="153"/>
        <v>30.318640739632361</v>
      </c>
    </row>
    <row r="164" spans="14:47" x14ac:dyDescent="0.35">
      <c r="N164" s="10">
        <v>46</v>
      </c>
      <c r="O164" s="50">
        <f t="shared" si="121"/>
        <v>288.40315031266073</v>
      </c>
      <c r="P164" s="48" t="str">
        <f t="shared" si="122"/>
        <v>547.187404092767</v>
      </c>
      <c r="Q164" s="17" t="str">
        <f t="shared" si="123"/>
        <v>1+34.7528703381468i</v>
      </c>
      <c r="R164" s="17">
        <f t="shared" si="131"/>
        <v>34.767254662110489</v>
      </c>
      <c r="S164" s="17">
        <f t="shared" si="132"/>
        <v>1.5420296627831356</v>
      </c>
      <c r="T164" s="17" t="str">
        <f t="shared" si="124"/>
        <v>1+0.000657591636670432i</v>
      </c>
      <c r="U164" s="17">
        <f t="shared" si="133"/>
        <v>1.000000216213357</v>
      </c>
      <c r="V164" s="17">
        <f t="shared" si="134"/>
        <v>6.5759154188371619E-4</v>
      </c>
      <c r="W164" s="31" t="str">
        <f t="shared" si="125"/>
        <v>1-0.0114192418100779i</v>
      </c>
      <c r="X164" s="17">
        <f t="shared" si="135"/>
        <v>1.000065197416407</v>
      </c>
      <c r="Y164" s="17">
        <f t="shared" si="136"/>
        <v>-1.141874549601983E-2</v>
      </c>
      <c r="Z164" s="31" t="str">
        <f t="shared" si="126"/>
        <v>0.999972503676988+0.0546372604973652i</v>
      </c>
      <c r="AA164" s="17">
        <f t="shared" si="137"/>
        <v>1.0014640474548653</v>
      </c>
      <c r="AB164" s="17">
        <f t="shared" si="138"/>
        <v>5.4584487297344879E-2</v>
      </c>
      <c r="AC164" s="66" t="str">
        <f t="shared" si="139"/>
        <v>-0.574769140614629-15.7060915839534i</v>
      </c>
      <c r="AD164" s="64">
        <f t="shared" si="140"/>
        <v>23.927174761051823</v>
      </c>
      <c r="AE164" s="61">
        <f t="shared" si="141"/>
        <v>-92.095821014741048</v>
      </c>
      <c r="AF164" s="31" t="str">
        <f t="shared" si="127"/>
        <v>-0.000106860158311346</v>
      </c>
      <c r="AG164" s="31" t="str">
        <f t="shared" si="128"/>
        <v>8.37185781704033E-06i</v>
      </c>
      <c r="AH164" s="31">
        <f t="shared" si="142"/>
        <v>8.3718578170403298E-6</v>
      </c>
      <c r="AI164" s="31">
        <f t="shared" si="143"/>
        <v>1.5707963267948966</v>
      </c>
      <c r="AJ164" s="31" t="str">
        <f t="shared" si="129"/>
        <v>1+0.132164933660816i</v>
      </c>
      <c r="AK164" s="31">
        <f t="shared" si="144"/>
        <v>1.0086959748554407</v>
      </c>
      <c r="AL164" s="31">
        <f t="shared" si="145"/>
        <v>0.13140336611193654</v>
      </c>
      <c r="AM164" s="31" t="str">
        <f t="shared" si="130"/>
        <v>1+0.848058324323567i</v>
      </c>
      <c r="AN164" s="31">
        <f t="shared" si="146"/>
        <v>1.3111837862994251</v>
      </c>
      <c r="AO164" s="31">
        <f t="shared" si="147"/>
        <v>0.70336574083737857</v>
      </c>
      <c r="AP164" s="58" t="str">
        <f t="shared" si="148"/>
        <v>-8.98093900055017+13.9511760486698i</v>
      </c>
      <c r="AQ164" s="49">
        <f t="shared" si="149"/>
        <v>24.397945035406217</v>
      </c>
      <c r="AR164" s="61">
        <f t="shared" si="150"/>
        <v>122.77103011204781</v>
      </c>
      <c r="AS164" s="58" t="str">
        <f t="shared" si="151"/>
        <v>224.280415315524+133.036744984483i</v>
      </c>
      <c r="AT164" s="64">
        <f t="shared" si="152"/>
        <v>48.325119796458054</v>
      </c>
      <c r="AU164" s="61">
        <f t="shared" si="153"/>
        <v>30.675209097306826</v>
      </c>
    </row>
    <row r="165" spans="14:47" x14ac:dyDescent="0.35">
      <c r="N165" s="10">
        <v>47</v>
      </c>
      <c r="O165" s="50">
        <f t="shared" si="121"/>
        <v>295.12092266663871</v>
      </c>
      <c r="P165" s="48" t="str">
        <f t="shared" si="122"/>
        <v>547.187404092767</v>
      </c>
      <c r="Q165" s="17" t="str">
        <f t="shared" si="123"/>
        <v>1+35.5623686786673i</v>
      </c>
      <c r="R165" s="17">
        <f t="shared" si="131"/>
        <v>35.576425706322119</v>
      </c>
      <c r="S165" s="17">
        <f t="shared" si="132"/>
        <v>1.5426841230451085</v>
      </c>
      <c r="T165" s="17" t="str">
        <f t="shared" si="124"/>
        <v>1+0.000672908913587284i</v>
      </c>
      <c r="U165" s="17">
        <f t="shared" si="133"/>
        <v>1.0000002264031773</v>
      </c>
      <c r="V165" s="17">
        <f t="shared" si="134"/>
        <v>6.7290881202148939E-4</v>
      </c>
      <c r="W165" s="31" t="str">
        <f t="shared" si="125"/>
        <v>1-0.0116852301214121i</v>
      </c>
      <c r="X165" s="17">
        <f t="shared" si="135"/>
        <v>1.0000682699711008</v>
      </c>
      <c r="Y165" s="17">
        <f t="shared" si="136"/>
        <v>-1.1684698313278145E-2</v>
      </c>
      <c r="Z165" s="31" t="str">
        <f t="shared" si="126"/>
        <v>0.999971207815208+0.0559099257843718i</v>
      </c>
      <c r="AA165" s="17">
        <f t="shared" si="137"/>
        <v>1.001532993096393</v>
      </c>
      <c r="AB165" s="17">
        <f t="shared" si="138"/>
        <v>5.5853382954983398E-2</v>
      </c>
      <c r="AC165" s="66" t="str">
        <f t="shared" si="139"/>
        <v>-0.595024068561693-15.3465964288388i</v>
      </c>
      <c r="AD165" s="64">
        <f t="shared" si="140"/>
        <v>23.72676528701507</v>
      </c>
      <c r="AE165" s="61">
        <f t="shared" si="141"/>
        <v>-92.220381550482244</v>
      </c>
      <c r="AF165" s="31" t="str">
        <f t="shared" si="127"/>
        <v>-0.000106860158311346</v>
      </c>
      <c r="AG165" s="31" t="str">
        <f t="shared" si="128"/>
        <v>8.56686343654822E-06i</v>
      </c>
      <c r="AH165" s="31">
        <f t="shared" si="142"/>
        <v>8.5668634365482192E-6</v>
      </c>
      <c r="AI165" s="31">
        <f t="shared" si="143"/>
        <v>1.5707963267948966</v>
      </c>
      <c r="AJ165" s="31" t="str">
        <f t="shared" si="129"/>
        <v>1+0.135243450440363i</v>
      </c>
      <c r="AK165" s="31">
        <f t="shared" si="144"/>
        <v>1.0091039544501919</v>
      </c>
      <c r="AL165" s="31">
        <f t="shared" si="145"/>
        <v>0.13442781320174566</v>
      </c>
      <c r="AM165" s="31" t="str">
        <f t="shared" si="130"/>
        <v>1+0.867812140325664i</v>
      </c>
      <c r="AN165" s="31">
        <f t="shared" si="146"/>
        <v>1.3240460380578201</v>
      </c>
      <c r="AO165" s="31">
        <f t="shared" si="147"/>
        <v>0.7147444689309459</v>
      </c>
      <c r="AP165" s="58" t="str">
        <f t="shared" si="148"/>
        <v>-8.97367850146249+13.6872931740731i</v>
      </c>
      <c r="AQ165" s="49">
        <f t="shared" si="149"/>
        <v>24.279222947185879</v>
      </c>
      <c r="AR165" s="61">
        <f t="shared" si="150"/>
        <v>123.24969515442963</v>
      </c>
      <c r="AS165" s="58" t="str">
        <f t="shared" si="151"/>
        <v>215.392919237605+129.571153572058i</v>
      </c>
      <c r="AT165" s="64">
        <f t="shared" si="152"/>
        <v>48.005988234200956</v>
      </c>
      <c r="AU165" s="61">
        <f t="shared" si="153"/>
        <v>31.029313603947333</v>
      </c>
    </row>
    <row r="166" spans="14:47" x14ac:dyDescent="0.35">
      <c r="N166" s="10">
        <v>48</v>
      </c>
      <c r="O166" s="50">
        <f t="shared" si="121"/>
        <v>301.99517204020168</v>
      </c>
      <c r="P166" s="48" t="str">
        <f t="shared" si="122"/>
        <v>547.187404092767</v>
      </c>
      <c r="Q166" s="17" t="str">
        <f t="shared" si="123"/>
        <v>1+36.3907226577848i</v>
      </c>
      <c r="R166" s="17">
        <f t="shared" si="131"/>
        <v>36.404459830573124</v>
      </c>
      <c r="S166" s="17">
        <f t="shared" si="132"/>
        <v>1.5433237092497496</v>
      </c>
      <c r="T166" s="17" t="str">
        <f t="shared" si="124"/>
        <v>1+0.000688582975717123i</v>
      </c>
      <c r="U166" s="17">
        <f t="shared" si="133"/>
        <v>1.000000237073229</v>
      </c>
      <c r="V166" s="17">
        <f t="shared" si="134"/>
        <v>6.8858286688741458E-4</v>
      </c>
      <c r="W166" s="31" t="str">
        <f t="shared" si="125"/>
        <v>1-0.011957414096429i</v>
      </c>
      <c r="X166" s="17">
        <f t="shared" si="135"/>
        <v>1.0000714873207182</v>
      </c>
      <c r="Y166" s="17">
        <f t="shared" si="136"/>
        <v>-1.1956844255946739E-2</v>
      </c>
      <c r="Z166" s="31" t="str">
        <f t="shared" si="126"/>
        <v>0.999969850881344+0.0572122352540848i</v>
      </c>
      <c r="AA166" s="17">
        <f t="shared" si="137"/>
        <v>1.0016051829610437</v>
      </c>
      <c r="AB166" s="17">
        <f t="shared" si="138"/>
        <v>5.7151653763219831E-2</v>
      </c>
      <c r="AC166" s="66" t="str">
        <f t="shared" si="139"/>
        <v>-0.614355798191063-14.9951873770507i</v>
      </c>
      <c r="AD166" s="64">
        <f t="shared" si="140"/>
        <v>23.526321709455431</v>
      </c>
      <c r="AE166" s="61">
        <f t="shared" si="141"/>
        <v>-92.346107335354802</v>
      </c>
      <c r="AF166" s="31" t="str">
        <f t="shared" si="127"/>
        <v>-0.000106860158311346</v>
      </c>
      <c r="AG166" s="31" t="str">
        <f t="shared" si="128"/>
        <v>8.76641132044601E-06i</v>
      </c>
      <c r="AH166" s="31">
        <f t="shared" si="142"/>
        <v>8.7664113204460095E-6</v>
      </c>
      <c r="AI166" s="31">
        <f t="shared" si="143"/>
        <v>1.5707963267948966</v>
      </c>
      <c r="AJ166" s="31" t="str">
        <f t="shared" si="129"/>
        <v>1+0.138393675087493i</v>
      </c>
      <c r="AK166" s="31">
        <f t="shared" si="144"/>
        <v>1.0095309848163267</v>
      </c>
      <c r="AL166" s="31">
        <f t="shared" si="145"/>
        <v>0.13752014905779913</v>
      </c>
      <c r="AM166" s="31" t="str">
        <f t="shared" si="130"/>
        <v>1+0.888026081811414i</v>
      </c>
      <c r="AN166" s="31">
        <f t="shared" si="146"/>
        <v>1.3373818908514248</v>
      </c>
      <c r="AO166" s="31">
        <f t="shared" si="147"/>
        <v>0.72616015225123198</v>
      </c>
      <c r="AP166" s="58" t="str">
        <f t="shared" si="148"/>
        <v>-8.96608839714472+13.4305766444396i</v>
      </c>
      <c r="AQ166" s="49">
        <f t="shared" si="149"/>
        <v>24.162595091779306</v>
      </c>
      <c r="AR166" s="61">
        <f t="shared" si="150"/>
        <v>123.72658783555096</v>
      </c>
      <c r="AS166" s="58" t="str">
        <f t="shared" si="151"/>
        <v>206.902381759092+126.197022919824i</v>
      </c>
      <c r="AT166" s="64">
        <f t="shared" si="152"/>
        <v>47.688916801234733</v>
      </c>
      <c r="AU166" s="61">
        <f t="shared" si="153"/>
        <v>31.380480500196118</v>
      </c>
    </row>
    <row r="167" spans="14:47" x14ac:dyDescent="0.35">
      <c r="N167" s="10">
        <v>49</v>
      </c>
      <c r="O167" s="50">
        <f t="shared" si="121"/>
        <v>309.02954325135937</v>
      </c>
      <c r="P167" s="48" t="str">
        <f t="shared" si="122"/>
        <v>547.187404092767</v>
      </c>
      <c r="Q167" s="17" t="str">
        <f t="shared" si="123"/>
        <v>1+37.2383714797436i</v>
      </c>
      <c r="R167" s="17">
        <f t="shared" si="131"/>
        <v>37.251796070302184</v>
      </c>
      <c r="S167" s="17">
        <f t="shared" si="132"/>
        <v>1.5439487584198455</v>
      </c>
      <c r="T167" s="17" t="str">
        <f t="shared" si="124"/>
        <v>1+0.00070462213365516i</v>
      </c>
      <c r="U167" s="17">
        <f t="shared" si="133"/>
        <v>1.0000002482461448</v>
      </c>
      <c r="V167" s="17">
        <f t="shared" si="134"/>
        <v>7.0462201704202807E-4</v>
      </c>
      <c r="W167" s="31" t="str">
        <f t="shared" si="125"/>
        <v>1-0.0122359380506748i</v>
      </c>
      <c r="X167" s="17">
        <f t="shared" si="135"/>
        <v>1.000074856288258</v>
      </c>
      <c r="Y167" s="17">
        <f t="shared" si="136"/>
        <v>-1.2235327458065519E-2</v>
      </c>
      <c r="Z167" s="31" t="str">
        <f t="shared" si="126"/>
        <v>0.999968429997156+0.0585448794082228i</v>
      </c>
      <c r="AA167" s="17">
        <f t="shared" si="137"/>
        <v>1.0016807694549699</v>
      </c>
      <c r="AB167" s="17">
        <f t="shared" si="138"/>
        <v>5.8479971052047781E-2</v>
      </c>
      <c r="AC167" s="66" t="str">
        <f t="shared" si="139"/>
        <v>-0.632805149122072-14.6516815982472i</v>
      </c>
      <c r="AD167" s="64">
        <f t="shared" si="140"/>
        <v>23.325843099154532</v>
      </c>
      <c r="AE167" s="61">
        <f t="shared" si="141"/>
        <v>-92.473063925829422</v>
      </c>
      <c r="AF167" s="31" t="str">
        <f t="shared" si="127"/>
        <v>-0.000106860158311346</v>
      </c>
      <c r="AG167" s="31" t="str">
        <f t="shared" si="128"/>
        <v>8.97060727166308E-06i</v>
      </c>
      <c r="AH167" s="31">
        <f t="shared" si="142"/>
        <v>8.9706072716630794E-6</v>
      </c>
      <c r="AI167" s="31">
        <f t="shared" si="143"/>
        <v>1.5707963267948966</v>
      </c>
      <c r="AJ167" s="31" t="str">
        <f t="shared" si="129"/>
        <v>1+0.141617277893012i</v>
      </c>
      <c r="AK167" s="31">
        <f t="shared" si="144"/>
        <v>1.0099779469858867</v>
      </c>
      <c r="AL167" s="31">
        <f t="shared" si="145"/>
        <v>0.1406817765882051</v>
      </c>
      <c r="AM167" s="31" t="str">
        <f t="shared" si="130"/>
        <v>1+0.908710866480155i</v>
      </c>
      <c r="AN167" s="31">
        <f t="shared" si="146"/>
        <v>1.3512051801481202</v>
      </c>
      <c r="AO167" s="31">
        <f t="shared" si="147"/>
        <v>0.73760694312723807</v>
      </c>
      <c r="AP167" s="58" t="str">
        <f t="shared" si="148"/>
        <v>-8.95815433169027+13.1808840954625i</v>
      </c>
      <c r="AQ167" s="49">
        <f t="shared" si="149"/>
        <v>24.04806759720546</v>
      </c>
      <c r="AR167" s="61">
        <f t="shared" si="150"/>
        <v>124.20129272783032</v>
      </c>
      <c r="AS167" s="58" t="str">
        <f t="shared" si="151"/>
        <v>198.790883137841+122.911093650295i</v>
      </c>
      <c r="AT167" s="64">
        <f t="shared" si="152"/>
        <v>47.373910696359999</v>
      </c>
      <c r="AU167" s="61">
        <f t="shared" si="153"/>
        <v>31.728228802000924</v>
      </c>
    </row>
    <row r="168" spans="14:47" x14ac:dyDescent="0.35">
      <c r="N168" s="10">
        <v>50</v>
      </c>
      <c r="O168" s="50">
        <f t="shared" si="121"/>
        <v>316.22776601683825</v>
      </c>
      <c r="P168" s="48" t="str">
        <f t="shared" si="122"/>
        <v>547.187404092767</v>
      </c>
      <c r="Q168" s="17" t="str">
        <f t="shared" si="123"/>
        <v>1+38.1057645791691i</v>
      </c>
      <c r="R168" s="17">
        <f t="shared" si="131"/>
        <v>38.118883695132759</v>
      </c>
      <c r="S168" s="17">
        <f t="shared" si="132"/>
        <v>1.5445596000100354</v>
      </c>
      <c r="T168" s="17" t="str">
        <f t="shared" si="124"/>
        <v>1+0.000721034891575238i</v>
      </c>
      <c r="U168" s="17">
        <f t="shared" si="133"/>
        <v>1.0000002599456237</v>
      </c>
      <c r="V168" s="17">
        <f t="shared" si="134"/>
        <v>7.2103476662201767E-4</v>
      </c>
      <c r="W168" s="31" t="str">
        <f t="shared" si="125"/>
        <v>1-0.012520949661237i</v>
      </c>
      <c r="X168" s="17">
        <f t="shared" si="135"/>
        <v>1.0000783840181824</v>
      </c>
      <c r="Y168" s="17">
        <f t="shared" si="136"/>
        <v>-1.2520295402238044E-2</v>
      </c>
      <c r="Z168" s="31" t="str">
        <f t="shared" si="126"/>
        <v>0.99996694214876+0.0599085648323561i</v>
      </c>
      <c r="AA168" s="17">
        <f t="shared" si="137"/>
        <v>1.0017599121199723</v>
      </c>
      <c r="AB168" s="17">
        <f t="shared" si="138"/>
        <v>5.9839020872583297E-2</v>
      </c>
      <c r="AC168" s="66" t="str">
        <f t="shared" si="139"/>
        <v>-0.650411086716553-14.3159002272239i</v>
      </c>
      <c r="AD168" s="64">
        <f t="shared" si="140"/>
        <v>23.125328453845064</v>
      </c>
      <c r="AE168" s="61">
        <f t="shared" si="141"/>
        <v>-92.601317468979516</v>
      </c>
      <c r="AF168" s="31" t="str">
        <f t="shared" si="127"/>
        <v>-0.000106860158311346</v>
      </c>
      <c r="AG168" s="31" t="str">
        <f t="shared" si="128"/>
        <v>9.17955955759561E-06i</v>
      </c>
      <c r="AH168" s="31">
        <f t="shared" si="142"/>
        <v>9.1795595575956097E-6</v>
      </c>
      <c r="AI168" s="31">
        <f t="shared" si="143"/>
        <v>1.5707963267948966</v>
      </c>
      <c r="AJ168" s="31" t="str">
        <f t="shared" si="129"/>
        <v>1+0.144915968053795i</v>
      </c>
      <c r="AK168" s="31">
        <f t="shared" si="144"/>
        <v>1.0104457619273626</v>
      </c>
      <c r="AL168" s="31">
        <f t="shared" si="145"/>
        <v>0.14391411917091165</v>
      </c>
      <c r="AM168" s="31" t="str">
        <f t="shared" si="130"/>
        <v>1+0.929877461678514i</v>
      </c>
      <c r="AN168" s="31">
        <f t="shared" si="146"/>
        <v>1.3655299680848005</v>
      </c>
      <c r="AO168" s="31">
        <f t="shared" si="147"/>
        <v>0.74907891287355943</v>
      </c>
      <c r="AP168" s="58" t="str">
        <f t="shared" si="148"/>
        <v>-8.94986138121994+12.9380764692336i</v>
      </c>
      <c r="AQ168" s="49">
        <f t="shared" si="149"/>
        <v>23.935643966018411</v>
      </c>
      <c r="AR168" s="61">
        <f t="shared" si="150"/>
        <v>124.6733885890668</v>
      </c>
      <c r="AS168" s="58" t="str">
        <f t="shared" si="151"/>
        <v>191.041300932663+119.710254204653i</v>
      </c>
      <c r="AT168" s="64">
        <f t="shared" si="152"/>
        <v>47.060972419863475</v>
      </c>
      <c r="AU168" s="61">
        <f t="shared" si="153"/>
        <v>32.072071120087372</v>
      </c>
    </row>
    <row r="169" spans="14:47" x14ac:dyDescent="0.35">
      <c r="N169" s="10">
        <v>51</v>
      </c>
      <c r="O169" s="50">
        <f t="shared" si="121"/>
        <v>323.59365692962825</v>
      </c>
      <c r="P169" s="48" t="str">
        <f t="shared" si="122"/>
        <v>547.187404092767</v>
      </c>
      <c r="Q169" s="17" t="str">
        <f t="shared" si="123"/>
        <v>1+38.9933618593639i</v>
      </c>
      <c r="R169" s="17">
        <f t="shared" si="131"/>
        <v>39.006182447085173</v>
      </c>
      <c r="S169" s="17">
        <f t="shared" si="132"/>
        <v>1.5451565560721972</v>
      </c>
      <c r="T169" s="17" t="str">
        <f t="shared" si="124"/>
        <v>1+0.000737829951738853i</v>
      </c>
      <c r="U169" s="17">
        <f t="shared" si="133"/>
        <v>1.0000002721964818</v>
      </c>
      <c r="V169" s="17">
        <f t="shared" si="134"/>
        <v>7.3782981784906718E-4</v>
      </c>
      <c r="W169" s="31" t="str">
        <f t="shared" si="125"/>
        <v>1-0.0128126000450439i</v>
      </c>
      <c r="X169" s="17">
        <f t="shared" si="135"/>
        <v>1.0000820779915587</v>
      </c>
      <c r="Y169" s="17">
        <f t="shared" si="136"/>
        <v>-1.2811898997003321E-2</v>
      </c>
      <c r="Z169" s="31" t="str">
        <f t="shared" si="126"/>
        <v>0.99996538418023+0.0613040145705472i</v>
      </c>
      <c r="AA169" s="17">
        <f t="shared" si="137"/>
        <v>1.0018427779652759</v>
      </c>
      <c r="AB169" s="17">
        <f t="shared" si="138"/>
        <v>6.1229504275266015E-2</v>
      </c>
      <c r="AC169" s="66" t="str">
        <f t="shared" si="139"/>
        <v>-0.66721080330647-13.9876682845604i</v>
      </c>
      <c r="AD169" s="64">
        <f t="shared" si="140"/>
        <v>22.924776696193618</v>
      </c>
      <c r="AE169" s="61">
        <f t="shared" si="141"/>
        <v>-92.730934732071731</v>
      </c>
      <c r="AF169" s="31" t="str">
        <f t="shared" si="127"/>
        <v>-0.000106860158311346</v>
      </c>
      <c r="AG169" s="31" t="str">
        <f t="shared" si="128"/>
        <v>9.39337896751139E-06i</v>
      </c>
      <c r="AH169" s="31">
        <f t="shared" si="142"/>
        <v>9.3933789675113904E-6</v>
      </c>
      <c r="AI169" s="31">
        <f t="shared" si="143"/>
        <v>1.5707963267948966</v>
      </c>
      <c r="AJ169" s="31" t="str">
        <f t="shared" si="129"/>
        <v>1+0.14829149457903i</v>
      </c>
      <c r="AK169" s="31">
        <f t="shared" si="144"/>
        <v>1.0109353922800817</v>
      </c>
      <c r="AL169" s="31">
        <f t="shared" si="145"/>
        <v>0.14721862032253399</v>
      </c>
      <c r="AM169" s="31" t="str">
        <f t="shared" si="130"/>
        <v>1+0.951537090215438i</v>
      </c>
      <c r="AN169" s="31">
        <f t="shared" si="146"/>
        <v>1.3803705423021975</v>
      </c>
      <c r="AO169" s="31">
        <f t="shared" si="147"/>
        <v>0.76057006684199735</v>
      </c>
      <c r="AP169" s="58" t="str">
        <f t="shared" si="148"/>
        <v>-8.94119403687208+12.7020179140284i</v>
      </c>
      <c r="AQ169" s="49">
        <f t="shared" si="149"/>
        <v>23.825325016088037</v>
      </c>
      <c r="AR169" s="61">
        <f t="shared" si="150"/>
        <v>125.1424492438091</v>
      </c>
      <c r="AS169" s="58" t="str">
        <f t="shared" si="151"/>
        <v>183.637274381834+116.591532679624i</v>
      </c>
      <c r="AT169" s="64">
        <f t="shared" si="152"/>
        <v>46.750101712281669</v>
      </c>
      <c r="AU169" s="61">
        <f t="shared" si="153"/>
        <v>32.411514511737295</v>
      </c>
    </row>
    <row r="170" spans="14:47" x14ac:dyDescent="0.35">
      <c r="N170" s="10">
        <v>52</v>
      </c>
      <c r="O170" s="50">
        <f t="shared" si="121"/>
        <v>331.13112148259137</v>
      </c>
      <c r="P170" s="48" t="str">
        <f t="shared" si="122"/>
        <v>547.187404092767</v>
      </c>
      <c r="Q170" s="17" t="str">
        <f t="shared" si="123"/>
        <v>1+39.9016339361548i</v>
      </c>
      <c r="R170" s="17">
        <f t="shared" si="131"/>
        <v>39.914162784341357</v>
      </c>
      <c r="S170" s="17">
        <f t="shared" si="132"/>
        <v>1.5457399414175288</v>
      </c>
      <c r="T170" s="17" t="str">
        <f t="shared" si="124"/>
        <v>1+0.000755016219109218i</v>
      </c>
      <c r="U170" s="17">
        <f t="shared" si="133"/>
        <v>1.0000002850247049</v>
      </c>
      <c r="V170" s="17">
        <f t="shared" si="134"/>
        <v>7.5501607564372995E-4</v>
      </c>
      <c r="W170" s="31" t="str">
        <f t="shared" si="125"/>
        <v>1-0.0131110438389895i</v>
      </c>
      <c r="X170" s="17">
        <f t="shared" si="135"/>
        <v>1.0000859460419129</v>
      </c>
      <c r="Y170" s="17">
        <f t="shared" si="136"/>
        <v>-1.3110292655966672E-2</v>
      </c>
      <c r="Z170" s="31" t="str">
        <f t="shared" si="126"/>
        <v>0.999963752786904+0.0627319685087184i</v>
      </c>
      <c r="AA170" s="17">
        <f t="shared" si="137"/>
        <v>1.0019295418145167</v>
      </c>
      <c r="AB170" s="17">
        <f t="shared" si="138"/>
        <v>6.265213759001341E-2</v>
      </c>
      <c r="AC170" s="66" t="str">
        <f t="shared" si="139"/>
        <v>-0.683239795795358-13.6668145983352i</v>
      </c>
      <c r="AD170" s="64">
        <f t="shared" si="140"/>
        <v>22.724186671635497</v>
      </c>
      <c r="AE170" s="61">
        <f t="shared" si="141"/>
        <v>-92.861983132173549</v>
      </c>
      <c r="AF170" s="31" t="str">
        <f t="shared" si="127"/>
        <v>-0.000106860158311346</v>
      </c>
      <c r="AG170" s="31" t="str">
        <f t="shared" si="128"/>
        <v>9.61217887129184E-06i</v>
      </c>
      <c r="AH170" s="31">
        <f t="shared" si="142"/>
        <v>9.6121788712918394E-6</v>
      </c>
      <c r="AI170" s="31">
        <f t="shared" si="143"/>
        <v>1.5707963267948966</v>
      </c>
      <c r="AJ170" s="31" t="str">
        <f t="shared" si="129"/>
        <v>1+0.151745647217561i</v>
      </c>
      <c r="AK170" s="31">
        <f t="shared" si="144"/>
        <v>1.0114478441568189</v>
      </c>
      <c r="AL170" s="31">
        <f t="shared" si="145"/>
        <v>0.15059674330922773</v>
      </c>
      <c r="AM170" s="31" t="str">
        <f t="shared" si="130"/>
        <v>1+0.97370123631268i</v>
      </c>
      <c r="AN170" s="31">
        <f t="shared" si="146"/>
        <v>1.3957414150181406</v>
      </c>
      <c r="AO170" s="31">
        <f t="shared" si="147"/>
        <v>0.77207435989224471</v>
      </c>
      <c r="AP170" s="58" t="str">
        <f t="shared" si="148"/>
        <v>-8.93213618783132+12.4725756842837i</v>
      </c>
      <c r="AQ170" s="49">
        <f t="shared" si="149"/>
        <v>23.717108830555421</v>
      </c>
      <c r="AR170" s="61">
        <f t="shared" si="150"/>
        <v>125.60804449205637</v>
      </c>
      <c r="AS170" s="58" t="str">
        <f t="shared" si="151"/>
        <v>176.563170345799+113.552089182599i</v>
      </c>
      <c r="AT170" s="64">
        <f t="shared" si="152"/>
        <v>46.441295502190911</v>
      </c>
      <c r="AU170" s="61">
        <f t="shared" si="153"/>
        <v>32.746061359882852</v>
      </c>
    </row>
    <row r="171" spans="14:47" x14ac:dyDescent="0.35">
      <c r="N171" s="10">
        <v>53</v>
      </c>
      <c r="O171" s="50">
        <f t="shared" si="121"/>
        <v>338.84415613920277</v>
      </c>
      <c r="P171" s="48" t="str">
        <f t="shared" si="122"/>
        <v>547.187404092767</v>
      </c>
      <c r="Q171" s="17" t="str">
        <f t="shared" si="123"/>
        <v>1+40.831062387419i</v>
      </c>
      <c r="R171" s="17">
        <f t="shared" si="131"/>
        <v>40.843306130690529</v>
      </c>
      <c r="S171" s="17">
        <f t="shared" si="132"/>
        <v>1.5463100637753646</v>
      </c>
      <c r="T171" s="17" t="str">
        <f t="shared" si="124"/>
        <v>1+0.00077260280607277i</v>
      </c>
      <c r="U171" s="17">
        <f t="shared" si="133"/>
        <v>1.0000002984575034</v>
      </c>
      <c r="V171" s="17">
        <f t="shared" si="134"/>
        <v>7.7260265234673235E-4</v>
      </c>
      <c r="W171" s="31" t="str">
        <f t="shared" si="125"/>
        <v>1-0.0134164392819237i</v>
      </c>
      <c r="X171" s="17">
        <f t="shared" si="135"/>
        <v>1.0000899963718293</v>
      </c>
      <c r="Y171" s="17">
        <f t="shared" si="136"/>
        <v>-1.3415634378724905E-2</v>
      </c>
      <c r="Z171" s="31" t="str">
        <f t="shared" si="126"/>
        <v>0.99996204450838+0.0641931837669483i</v>
      </c>
      <c r="AA171" s="17">
        <f t="shared" si="137"/>
        <v>1.0020203866686128</v>
      </c>
      <c r="AB171" s="17">
        <f t="shared" si="138"/>
        <v>6.41076527080605E-2</v>
      </c>
      <c r="AC171" s="66" t="str">
        <f t="shared" si="139"/>
        <v>-0.698531939787322-13.3531717269353i</v>
      </c>
      <c r="AD171" s="64">
        <f t="shared" si="140"/>
        <v>22.523557146057904</v>
      </c>
      <c r="AE171" s="61">
        <f t="shared" si="141"/>
        <v>-92.994530765767323</v>
      </c>
      <c r="AF171" s="31" t="str">
        <f t="shared" si="127"/>
        <v>-0.000106860158311346</v>
      </c>
      <c r="AG171" s="31" t="str">
        <f t="shared" si="128"/>
        <v>9.83607527954207E-06i</v>
      </c>
      <c r="AH171" s="31">
        <f t="shared" si="142"/>
        <v>9.8360752795420693E-6</v>
      </c>
      <c r="AI171" s="31">
        <f t="shared" si="143"/>
        <v>1.5707963267948966</v>
      </c>
      <c r="AJ171" s="31" t="str">
        <f t="shared" si="129"/>
        <v>1+0.155280257406837i</v>
      </c>
      <c r="AK171" s="31">
        <f t="shared" si="144"/>
        <v>1.0119841690166569</v>
      </c>
      <c r="AL171" s="31">
        <f t="shared" si="145"/>
        <v>0.15404997069553739</v>
      </c>
      <c r="AM171" s="31" t="str">
        <f t="shared" si="130"/>
        <v>1+0.996381651693868i</v>
      </c>
      <c r="AN171" s="31">
        <f t="shared" si="146"/>
        <v>1.4116573223811084</v>
      </c>
      <c r="AO171" s="31">
        <f t="shared" si="147"/>
        <v>0.78358571218552975</v>
      </c>
      <c r="AP171" s="58" t="str">
        <f t="shared" si="148"/>
        <v>-8.92267110446465+12.2496200406512i</v>
      </c>
      <c r="AQ171" s="49">
        <f t="shared" si="149"/>
        <v>23.610990717293632</v>
      </c>
      <c r="AR171" s="61">
        <f t="shared" si="150"/>
        <v>126.06974104001554</v>
      </c>
      <c r="AS171" s="58" t="str">
        <f t="shared" si="151"/>
        <v>169.80405074721+110.589208672226i</v>
      </c>
      <c r="AT171" s="64">
        <f t="shared" si="152"/>
        <v>46.134547863351543</v>
      </c>
      <c r="AU171" s="61">
        <f t="shared" si="153"/>
        <v>33.075210274248121</v>
      </c>
    </row>
    <row r="172" spans="14:47" x14ac:dyDescent="0.35">
      <c r="N172" s="10">
        <v>54</v>
      </c>
      <c r="O172" s="50">
        <f t="shared" si="121"/>
        <v>346.73685045253183</v>
      </c>
      <c r="P172" s="48" t="str">
        <f t="shared" si="122"/>
        <v>547.187404092767</v>
      </c>
      <c r="Q172" s="17" t="str">
        <f t="shared" si="123"/>
        <v>1+41.7821400084242i</v>
      </c>
      <c r="R172" s="17">
        <f t="shared" si="131"/>
        <v>41.79410513079042</v>
      </c>
      <c r="S172" s="17">
        <f t="shared" si="132"/>
        <v>1.5468672239487775</v>
      </c>
      <c r="T172" s="17" t="str">
        <f t="shared" si="124"/>
        <v>1+0.000790599037270713i</v>
      </c>
      <c r="U172" s="17">
        <f t="shared" si="133"/>
        <v>1.0000003125233701</v>
      </c>
      <c r="V172" s="17">
        <f t="shared" si="134"/>
        <v>7.9059887255029872E-4</v>
      </c>
      <c r="W172" s="31" t="str">
        <f t="shared" si="125"/>
        <v>1-0.0137289482985527i</v>
      </c>
      <c r="X172" s="17">
        <f t="shared" si="135"/>
        <v>1.0000942375703323</v>
      </c>
      <c r="Y172" s="17">
        <f t="shared" si="136"/>
        <v>-1.372808583362555E-2</v>
      </c>
      <c r="Z172" s="31" t="str">
        <f t="shared" si="126"/>
        <v>0.99996025572117+0.0656884351009088i</v>
      </c>
      <c r="AA172" s="17">
        <f t="shared" si="137"/>
        <v>1.0021155040852097</v>
      </c>
      <c r="AB172" s="17">
        <f t="shared" si="138"/>
        <v>6.5596797365196399E-2</v>
      </c>
      <c r="AC172" s="66" t="str">
        <f t="shared" si="139"/>
        <v>-0.713119560391073-13.0465758829841i</v>
      </c>
      <c r="AD172" s="64">
        <f t="shared" si="140"/>
        <v>22.322886803328153</v>
      </c>
      <c r="AE172" s="61">
        <f t="shared" si="141"/>
        <v>-93.128646438358658</v>
      </c>
      <c r="AF172" s="31" t="str">
        <f t="shared" si="127"/>
        <v>-0.000106860158311346</v>
      </c>
      <c r="AG172" s="31" t="str">
        <f t="shared" si="128"/>
        <v>0.0000100651869051014i</v>
      </c>
      <c r="AH172" s="31">
        <f t="shared" si="142"/>
        <v>1.0065186905101399E-5</v>
      </c>
      <c r="AI172" s="31">
        <f t="shared" si="143"/>
        <v>1.5707963267948966</v>
      </c>
      <c r="AJ172" s="31" t="str">
        <f t="shared" si="129"/>
        <v>1+0.158897199243968i</v>
      </c>
      <c r="AK172" s="31">
        <f t="shared" si="144"/>
        <v>1.0125454656101016</v>
      </c>
      <c r="AL172" s="31">
        <f t="shared" si="145"/>
        <v>0.15757980382693546</v>
      </c>
      <c r="AM172" s="31" t="str">
        <f t="shared" si="130"/>
        <v>1+1.01959036181546i</v>
      </c>
      <c r="AN172" s="31">
        <f t="shared" si="146"/>
        <v>1.4281332241450657</v>
      </c>
      <c r="AO172" s="31">
        <f t="shared" si="147"/>
        <v>0.7950980252013321</v>
      </c>
      <c r="AP172" s="58" t="str">
        <f t="shared" si="148"/>
        <v>-8.91278142164181+12.0330241500067i</v>
      </c>
      <c r="AQ172" s="49">
        <f t="shared" si="149"/>
        <v>23.50696317811866</v>
      </c>
      <c r="AR172" s="61">
        <f t="shared" si="150"/>
        <v>126.52710344743996</v>
      </c>
      <c r="AS172" s="58" t="str">
        <f t="shared" si="151"/>
        <v>163.345641444106+107.700294253873i</v>
      </c>
      <c r="AT172" s="64">
        <f t="shared" si="152"/>
        <v>45.829849981446827</v>
      </c>
      <c r="AU172" s="61">
        <f t="shared" si="153"/>
        <v>33.398457009081284</v>
      </c>
    </row>
    <row r="173" spans="14:47" x14ac:dyDescent="0.35">
      <c r="N173" s="10">
        <v>55</v>
      </c>
      <c r="O173" s="50">
        <f t="shared" si="121"/>
        <v>354.81338923357566</v>
      </c>
      <c r="P173" s="48" t="str">
        <f t="shared" si="122"/>
        <v>547.187404092767</v>
      </c>
      <c r="Q173" s="17" t="str">
        <f t="shared" si="123"/>
        <v>1+42.7553710731138i</v>
      </c>
      <c r="R173" s="17">
        <f t="shared" si="131"/>
        <v>42.76706391137526</v>
      </c>
      <c r="S173" s="17">
        <f t="shared" si="132"/>
        <v>1.5474117159670111</v>
      </c>
      <c r="T173" s="17" t="str">
        <f t="shared" si="124"/>
        <v>1+0.000809014454543031i</v>
      </c>
      <c r="U173" s="17">
        <f t="shared" si="133"/>
        <v>1.0000003272521403</v>
      </c>
      <c r="V173" s="17">
        <f t="shared" si="134"/>
        <v>8.0901427804193024E-4</v>
      </c>
      <c r="W173" s="31" t="str">
        <f t="shared" si="125"/>
        <v>1-0.0140487365852938i</v>
      </c>
      <c r="X173" s="17">
        <f t="shared" si="135"/>
        <v>1.0000986786310853</v>
      </c>
      <c r="Y173" s="17">
        <f t="shared" si="136"/>
        <v>-1.404781244239898E-2</v>
      </c>
      <c r="Z173" s="31" t="str">
        <f t="shared" si="126"/>
        <v>0.999958382631015+0.0672185153126491i</v>
      </c>
      <c r="AA173" s="17">
        <f t="shared" si="137"/>
        <v>1.0022150945754469</v>
      </c>
      <c r="AB173" s="17">
        <f t="shared" si="138"/>
        <v>6.7120335426067726E-2</v>
      </c>
      <c r="AC173" s="66" t="str">
        <f t="shared" si="139"/>
        <v>-0.727033499840207-12.7468668584061i</v>
      </c>
      <c r="AD173" s="64">
        <f t="shared" si="140"/>
        <v>22.122174242662538</v>
      </c>
      <c r="AE173" s="61">
        <f t="shared" si="141"/>
        <v>-93.264399694065531</v>
      </c>
      <c r="AF173" s="31" t="str">
        <f t="shared" si="127"/>
        <v>-0.000106860158311346</v>
      </c>
      <c r="AG173" s="31" t="str">
        <f t="shared" si="128"/>
        <v>0.0000102996352259862i</v>
      </c>
      <c r="AH173" s="31">
        <f t="shared" si="142"/>
        <v>1.0299635225986199E-5</v>
      </c>
      <c r="AI173" s="31">
        <f t="shared" si="143"/>
        <v>1.5707963267948966</v>
      </c>
      <c r="AJ173" s="31" t="str">
        <f t="shared" si="129"/>
        <v>1+0.162598390479391i</v>
      </c>
      <c r="AK173" s="31">
        <f t="shared" si="144"/>
        <v>1.0131328819984518</v>
      </c>
      <c r="AL173" s="31">
        <f t="shared" si="145"/>
        <v>0.16118776224155809</v>
      </c>
      <c r="AM173" s="31" t="str">
        <f t="shared" si="130"/>
        <v>1+1.04333967224276i</v>
      </c>
      <c r="AN173" s="31">
        <f t="shared" si="146"/>
        <v>1.445184303705112</v>
      </c>
      <c r="AO173" s="31">
        <f t="shared" si="147"/>
        <v>0.80660519787451679</v>
      </c>
      <c r="AP173" s="58" t="str">
        <f t="shared" si="148"/>
        <v>-8.90244912232487+11.8226639852982i</v>
      </c>
      <c r="AQ173" s="49">
        <f t="shared" si="149"/>
        <v>23.405015887908796</v>
      </c>
      <c r="AR173" s="61">
        <f t="shared" si="150"/>
        <v>126.9796950859248</v>
      </c>
      <c r="AS173" s="58" t="str">
        <f t="shared" si="151"/>
        <v>157.174302474822+104.882860901343i</v>
      </c>
      <c r="AT173" s="64">
        <f t="shared" si="152"/>
        <v>45.527190130571327</v>
      </c>
      <c r="AU173" s="61">
        <f t="shared" si="153"/>
        <v>33.71529539185925</v>
      </c>
    </row>
    <row r="174" spans="14:47" x14ac:dyDescent="0.35">
      <c r="N174" s="10">
        <v>56</v>
      </c>
      <c r="O174" s="50">
        <f t="shared" si="121"/>
        <v>363.07805477010152</v>
      </c>
      <c r="P174" s="48" t="str">
        <f t="shared" si="122"/>
        <v>547.187404092767</v>
      </c>
      <c r="Q174" s="17" t="str">
        <f t="shared" si="123"/>
        <v>1+43.7512716014807i</v>
      </c>
      <c r="R174" s="17">
        <f t="shared" si="131"/>
        <v>43.762698348554011</v>
      </c>
      <c r="S174" s="17">
        <f t="shared" si="132"/>
        <v>1.5479438272347896</v>
      </c>
      <c r="T174" s="17" t="str">
        <f t="shared" si="124"/>
        <v>1+0.000827858821987723i</v>
      </c>
      <c r="U174" s="17">
        <f t="shared" si="133"/>
        <v>1.0000003426750559</v>
      </c>
      <c r="V174" s="17">
        <f t="shared" si="134"/>
        <v>8.2785863286338962E-4</v>
      </c>
      <c r="W174" s="31" t="str">
        <f t="shared" si="125"/>
        <v>1-0.0143759736981294i</v>
      </c>
      <c r="X174" s="17">
        <f t="shared" si="135"/>
        <v>1.0001033289714465</v>
      </c>
      <c r="Y174" s="17">
        <f t="shared" si="136"/>
        <v>-1.4374983466702346E-2</v>
      </c>
      <c r="Z174" s="31" t="str">
        <f t="shared" si="126"/>
        <v>0.999956421264841+0.0687842356709506i</v>
      </c>
      <c r="AA174" s="17">
        <f t="shared" si="137"/>
        <v>1.0023193680188092</v>
      </c>
      <c r="AB174" s="17">
        <f t="shared" si="138"/>
        <v>6.8679047169202145E-2</v>
      </c>
      <c r="AC174" s="66" t="str">
        <f t="shared" si="139"/>
        <v>-0.74030318206522-12.453887950645i</v>
      </c>
      <c r="AD174" s="64">
        <f t="shared" si="140"/>
        <v>21.921417975831808</v>
      </c>
      <c r="AE174" s="61">
        <f t="shared" si="141"/>
        <v>-93.401860845172337</v>
      </c>
      <c r="AF174" s="31" t="str">
        <f t="shared" si="127"/>
        <v>-0.000106860158311346</v>
      </c>
      <c r="AG174" s="31" t="str">
        <f t="shared" si="128"/>
        <v>0.0000105395445497997i</v>
      </c>
      <c r="AH174" s="31">
        <f t="shared" si="142"/>
        <v>1.0539544549799699E-5</v>
      </c>
      <c r="AI174" s="31">
        <f t="shared" si="143"/>
        <v>1.5707963267948966</v>
      </c>
      <c r="AJ174" s="31" t="str">
        <f t="shared" si="129"/>
        <v>1+0.166385793533691i</v>
      </c>
      <c r="AK174" s="31">
        <f t="shared" si="144"/>
        <v>1.0137476176494009</v>
      </c>
      <c r="AL174" s="31">
        <f t="shared" si="145"/>
        <v>0.16487538300647217</v>
      </c>
      <c r="AM174" s="31" t="str">
        <f t="shared" si="130"/>
        <v>1+1.06764217517452i</v>
      </c>
      <c r="AN174" s="31">
        <f t="shared" si="146"/>
        <v>1.4628259685319307</v>
      </c>
      <c r="AO174" s="31">
        <f t="shared" si="147"/>
        <v>0.81810114274893087</v>
      </c>
      <c r="AP174" s="58" t="str">
        <f t="shared" si="148"/>
        <v>-8.8916555215211+11.6184182251143i</v>
      </c>
      <c r="AQ174" s="49">
        <f t="shared" si="149"/>
        <v>23.305135683699966</v>
      </c>
      <c r="AR174" s="61">
        <f t="shared" si="150"/>
        <v>127.42707910246942</v>
      </c>
      <c r="AS174" s="58" t="str">
        <f t="shared" si="151"/>
        <v>151.276999615715+102.134529578141i</v>
      </c>
      <c r="AT174" s="64">
        <f t="shared" si="152"/>
        <v>45.226553659531774</v>
      </c>
      <c r="AU174" s="61">
        <f t="shared" si="153"/>
        <v>34.025218257297091</v>
      </c>
    </row>
    <row r="175" spans="14:47" x14ac:dyDescent="0.35">
      <c r="N175" s="10">
        <v>57</v>
      </c>
      <c r="O175" s="50">
        <f t="shared" si="121"/>
        <v>371.53522909717265</v>
      </c>
      <c r="P175" s="48" t="str">
        <f t="shared" si="122"/>
        <v>547.187404092767</v>
      </c>
      <c r="Q175" s="17" t="str">
        <f t="shared" si="123"/>
        <v>1+44.7703696331672i</v>
      </c>
      <c r="R175" s="17">
        <f t="shared" si="131"/>
        <v>44.781536341336249</v>
      </c>
      <c r="S175" s="17">
        <f t="shared" si="132"/>
        <v>1.5484638386785536</v>
      </c>
      <c r="T175" s="17" t="str">
        <f t="shared" si="124"/>
        <v>1+0.000847142131137837i</v>
      </c>
      <c r="U175" s="17">
        <f t="shared" si="133"/>
        <v>1.0000003588248307</v>
      </c>
      <c r="V175" s="17">
        <f t="shared" si="134"/>
        <v>8.4714192848746664E-4</v>
      </c>
      <c r="W175" s="31" t="str">
        <f t="shared" si="125"/>
        <v>1-0.0147108331425083i</v>
      </c>
      <c r="X175" s="17">
        <f t="shared" si="135"/>
        <v>1.0001081984524207</v>
      </c>
      <c r="Y175" s="17">
        <f t="shared" si="136"/>
        <v>-1.4709772096617238E-2</v>
      </c>
      <c r="Z175" s="31" t="str">
        <f t="shared" si="126"/>
        <v>0.999954367462327+0.0703864263414716i</v>
      </c>
      <c r="AA175" s="17">
        <f t="shared" si="137"/>
        <v>1.0024285440968377</v>
      </c>
      <c r="AB175" s="17">
        <f t="shared" si="138"/>
        <v>7.0273729572361637E-2</v>
      </c>
      <c r="AC175" s="66" t="str">
        <f t="shared" si="139"/>
        <v>-0.752956674347037-12.1674858900483i</v>
      </c>
      <c r="AD175" s="64">
        <f t="shared" si="140"/>
        <v>21.720616424198738</v>
      </c>
      <c r="AE175" s="61">
        <f t="shared" si="141"/>
        <v>-93.541101001632029</v>
      </c>
      <c r="AF175" s="31" t="str">
        <f t="shared" si="127"/>
        <v>-0.000106860158311346</v>
      </c>
      <c r="AG175" s="31" t="str">
        <f t="shared" si="128"/>
        <v>0.0000107850420796409i</v>
      </c>
      <c r="AH175" s="31">
        <f t="shared" si="142"/>
        <v>1.07850420796409E-5</v>
      </c>
      <c r="AI175" s="31">
        <f t="shared" si="143"/>
        <v>1.5707963267948966</v>
      </c>
      <c r="AJ175" s="31" t="str">
        <f t="shared" si="129"/>
        <v>1+0.170261416538099i</v>
      </c>
      <c r="AK175" s="31">
        <f t="shared" si="144"/>
        <v>1.0143909256108121</v>
      </c>
      <c r="AL175" s="31">
        <f t="shared" si="145"/>
        <v>0.16864421997357346</v>
      </c>
      <c r="AM175" s="31" t="str">
        <f t="shared" si="130"/>
        <v>1+1.09251075611946i</v>
      </c>
      <c r="AN175" s="31">
        <f t="shared" si="146"/>
        <v>1.4810738510407624</v>
      </c>
      <c r="AO175" s="31">
        <f t="shared" si="147"/>
        <v>0.82957980204317006</v>
      </c>
      <c r="AP175" s="58" t="str">
        <f t="shared" si="148"/>
        <v>-8.88038125070374+11.4201681528596i</v>
      </c>
      <c r="AQ175" s="49">
        <f t="shared" si="149"/>
        <v>23.207306563735756</v>
      </c>
      <c r="AR175" s="61">
        <f t="shared" si="150"/>
        <v>127.86881938261031</v>
      </c>
      <c r="AS175" s="58" t="str">
        <f t="shared" si="151"/>
        <v>145.641277195362+99.4530217333261i</v>
      </c>
      <c r="AT175" s="64">
        <f t="shared" si="152"/>
        <v>44.927922987934501</v>
      </c>
      <c r="AU175" s="61">
        <f t="shared" si="153"/>
        <v>34.327718380978233</v>
      </c>
    </row>
    <row r="176" spans="14:47" x14ac:dyDescent="0.35">
      <c r="N176" s="10">
        <v>58</v>
      </c>
      <c r="O176" s="50">
        <f t="shared" si="121"/>
        <v>380.18939632056163</v>
      </c>
      <c r="P176" s="48" t="str">
        <f t="shared" si="122"/>
        <v>547.187404092767</v>
      </c>
      <c r="Q176" s="17" t="str">
        <f t="shared" si="123"/>
        <v>1+45.813205507439i</v>
      </c>
      <c r="R176" s="17">
        <f t="shared" si="131"/>
        <v>45.82411809153384</v>
      </c>
      <c r="S176" s="17">
        <f t="shared" si="132"/>
        <v>1.5489720248896706</v>
      </c>
      <c r="T176" s="17" t="str">
        <f t="shared" si="124"/>
        <v>1+0.000866874606259132i</v>
      </c>
      <c r="U176" s="17">
        <f t="shared" si="133"/>
        <v>1.000000375735721</v>
      </c>
      <c r="V176" s="17">
        <f t="shared" si="134"/>
        <v>8.6687438911535236E-4</v>
      </c>
      <c r="W176" s="31" t="str">
        <f t="shared" si="125"/>
        <v>1-0.0150534924653402i</v>
      </c>
      <c r="X176" s="17">
        <f t="shared" si="135"/>
        <v>1.0001132973995517</v>
      </c>
      <c r="Y176" s="17">
        <f t="shared" si="136"/>
        <v>-1.5052355541140238E-2</v>
      </c>
      <c r="Z176" s="31" t="str">
        <f t="shared" si="126"/>
        <v>0.999952216867083+0.0720259368269134i</v>
      </c>
      <c r="AA176" s="17">
        <f t="shared" si="137"/>
        <v>1.002542852746549</v>
      </c>
      <c r="AB176" s="17">
        <f t="shared" si="138"/>
        <v>7.1905196597806517E-2</v>
      </c>
      <c r="AC176" s="66" t="str">
        <f t="shared" si="139"/>
        <v>-0.765020746176415-11.8875107684278i</v>
      </c>
      <c r="AD176" s="64">
        <f t="shared" si="140"/>
        <v>21.519767915582271</v>
      </c>
      <c r="AE176" s="61">
        <f t="shared" si="141"/>
        <v>-93.682192100497403</v>
      </c>
      <c r="AF176" s="31" t="str">
        <f t="shared" si="127"/>
        <v>-0.000106860158311346</v>
      </c>
      <c r="AG176" s="31" t="str">
        <f t="shared" si="128"/>
        <v>0.0000110362579815496i</v>
      </c>
      <c r="AH176" s="31">
        <f t="shared" si="142"/>
        <v>1.1036257981549599E-5</v>
      </c>
      <c r="AI176" s="31">
        <f t="shared" si="143"/>
        <v>1.5707963267948966</v>
      </c>
      <c r="AJ176" s="31" t="str">
        <f t="shared" si="129"/>
        <v>1+0.174227314399231i</v>
      </c>
      <c r="AK176" s="31">
        <f t="shared" si="144"/>
        <v>1.0150641147645643</v>
      </c>
      <c r="AL176" s="31">
        <f t="shared" si="145"/>
        <v>0.17249584295004577</v>
      </c>
      <c r="AM176" s="31" t="str">
        <f t="shared" si="130"/>
        <v>1+1.11795860072839i</v>
      </c>
      <c r="AN176" s="31">
        <f t="shared" si="146"/>
        <v>1.4999438099284186</v>
      </c>
      <c r="AO176" s="31">
        <f t="shared" si="147"/>
        <v>0.84103516352541308</v>
      </c>
      <c r="AP176" s="58" t="str">
        <f t="shared" si="148"/>
        <v>-8.8686062428141+11.2277975554183i</v>
      </c>
      <c r="AQ176" s="49">
        <f t="shared" si="149"/>
        <v>23.111509696357434</v>
      </c>
      <c r="AR176" s="61">
        <f t="shared" si="150"/>
        <v>128.30448150751198</v>
      </c>
      <c r="AS176" s="58" t="str">
        <f t="shared" si="151"/>
        <v>140.255232111185+96.8361541486348i</v>
      </c>
      <c r="AT176" s="64">
        <f t="shared" si="152"/>
        <v>44.631277611939709</v>
      </c>
      <c r="AU176" s="61">
        <f t="shared" si="153"/>
        <v>34.622289407014541</v>
      </c>
    </row>
    <row r="177" spans="14:47" x14ac:dyDescent="0.35">
      <c r="N177" s="10">
        <v>59</v>
      </c>
      <c r="O177" s="50">
        <f t="shared" si="121"/>
        <v>389.04514499428063</v>
      </c>
      <c r="P177" s="48" t="str">
        <f t="shared" si="122"/>
        <v>547.187404092767</v>
      </c>
      <c r="Q177" s="17" t="str">
        <f t="shared" si="123"/>
        <v>1+46.8803321496804i</v>
      </c>
      <c r="R177" s="17">
        <f t="shared" si="131"/>
        <v>46.890996390185158</v>
      </c>
      <c r="S177" s="17">
        <f t="shared" si="132"/>
        <v>1.5494686542646687</v>
      </c>
      <c r="T177" s="17" t="str">
        <f t="shared" si="124"/>
        <v>1+0.000887066709771108i</v>
      </c>
      <c r="U177" s="17">
        <f t="shared" si="133"/>
        <v>1.0000003934435964</v>
      </c>
      <c r="V177" s="17">
        <f t="shared" si="134"/>
        <v>8.8706647709736112E-4</v>
      </c>
      <c r="W177" s="31" t="str">
        <f t="shared" si="125"/>
        <v>1-0.0154041333491338i</v>
      </c>
      <c r="X177" s="17">
        <f t="shared" si="135"/>
        <v>1.0001186366247947</v>
      </c>
      <c r="Y177" s="17">
        <f t="shared" si="136"/>
        <v>-1.5402915120709655E-2</v>
      </c>
      <c r="Z177" s="31" t="str">
        <f t="shared" si="126"/>
        <v>0.999949964917407+0.0737036364174368i</v>
      </c>
      <c r="AA177" s="17">
        <f t="shared" si="137"/>
        <v>1.0026625346343987</v>
      </c>
      <c r="AB177" s="17">
        <f t="shared" si="138"/>
        <v>7.3574279477005483E-2</v>
      </c>
      <c r="AC177" s="66" t="str">
        <f t="shared" si="139"/>
        <v>-0.776520925438259-11.6138159688072i</v>
      </c>
      <c r="AD177" s="64">
        <f t="shared" si="140"/>
        <v>21.318870680945381</v>
      </c>
      <c r="AE177" s="61">
        <f t="shared" si="141"/>
        <v>-93.825206935258933</v>
      </c>
      <c r="AF177" s="31" t="str">
        <f t="shared" si="127"/>
        <v>-0.000106860158311346</v>
      </c>
      <c r="AG177" s="31" t="str">
        <f t="shared" si="128"/>
        <v>0.0000112933254535222i</v>
      </c>
      <c r="AH177" s="31">
        <f t="shared" si="142"/>
        <v>1.12933254535222E-5</v>
      </c>
      <c r="AI177" s="31">
        <f t="shared" si="143"/>
        <v>1.5707963267948966</v>
      </c>
      <c r="AJ177" s="31" t="str">
        <f t="shared" si="129"/>
        <v>1+0.178285589888629i</v>
      </c>
      <c r="AK177" s="31">
        <f t="shared" si="144"/>
        <v>1.0157685521623203</v>
      </c>
      <c r="AL177" s="31">
        <f t="shared" si="145"/>
        <v>0.17643183677809768</v>
      </c>
      <c r="AM177" s="31" t="str">
        <f t="shared" si="130"/>
        <v>1+1.14399920178536i</v>
      </c>
      <c r="AN177" s="31">
        <f t="shared" si="146"/>
        <v>1.5194519320088873</v>
      </c>
      <c r="AO177" s="31">
        <f t="shared" si="147"/>
        <v>0.85246127609633515</v>
      </c>
      <c r="AP177" s="58" t="str">
        <f t="shared" si="148"/>
        <v>-8.85630971796906+11.0411926211958i</v>
      </c>
      <c r="AQ177" s="49">
        <f t="shared" si="149"/>
        <v>23.017723438533974</v>
      </c>
      <c r="AR177" s="61">
        <f t="shared" si="150"/>
        <v>128.73363369953032</v>
      </c>
      <c r="AS177" s="58" t="str">
        <f t="shared" si="151"/>
        <v>135.107488996885+94.2818341150984i</v>
      </c>
      <c r="AT177" s="64">
        <f t="shared" si="152"/>
        <v>44.336594119479344</v>
      </c>
      <c r="AU177" s="61">
        <f t="shared" si="153"/>
        <v>34.908426764271425</v>
      </c>
    </row>
    <row r="178" spans="14:47" x14ac:dyDescent="0.35">
      <c r="N178" s="10">
        <v>60</v>
      </c>
      <c r="O178" s="50">
        <f t="shared" si="121"/>
        <v>398.10717055349761</v>
      </c>
      <c r="P178" s="48" t="str">
        <f t="shared" si="122"/>
        <v>547.187404092767</v>
      </c>
      <c r="Q178" s="17" t="str">
        <f t="shared" si="123"/>
        <v>1+47.972315364562i</v>
      </c>
      <c r="R178" s="17">
        <f t="shared" si="131"/>
        <v>47.982736910653507</v>
      </c>
      <c r="S178" s="17">
        <f t="shared" si="132"/>
        <v>1.5499539891425425</v>
      </c>
      <c r="T178" s="17" t="str">
        <f t="shared" si="124"/>
        <v>1+0.000907729147794318i</v>
      </c>
      <c r="U178" s="17">
        <f t="shared" si="133"/>
        <v>1.000000411986018</v>
      </c>
      <c r="V178" s="17">
        <f t="shared" si="134"/>
        <v>9.077288984799119E-4</v>
      </c>
      <c r="W178" s="31" t="str">
        <f t="shared" si="125"/>
        <v>1-0.0157629417083268i</v>
      </c>
      <c r="X178" s="17">
        <f t="shared" si="135"/>
        <v>1.0001242274494204</v>
      </c>
      <c r="Y178" s="17">
        <f t="shared" si="136"/>
        <v>-1.5761636361809026E-2</v>
      </c>
      <c r="Z178" s="31" t="str">
        <f t="shared" si="126"/>
        <v>0.999947606836613+0.0754204146515715i</v>
      </c>
      <c r="AA178" s="17">
        <f t="shared" si="137"/>
        <v>1.0027878416517046</v>
      </c>
      <c r="AB178" s="17">
        <f t="shared" si="138"/>
        <v>7.5281826994294421E-2</v>
      </c>
      <c r="AC178" s="66" t="str">
        <f t="shared" si="139"/>
        <v>-0.787481552035038-11.346258096359i</v>
      </c>
      <c r="AD178" s="64">
        <f t="shared" si="140"/>
        <v>21.117922850898832</v>
      </c>
      <c r="AE178" s="61">
        <f t="shared" si="141"/>
        <v>-93.970219185067222</v>
      </c>
      <c r="AF178" s="31" t="str">
        <f t="shared" si="127"/>
        <v>-0.000106860158311346</v>
      </c>
      <c r="AG178" s="31" t="str">
        <f t="shared" si="128"/>
        <v>0.0000115563807961351i</v>
      </c>
      <c r="AH178" s="31">
        <f t="shared" si="142"/>
        <v>1.15563807961351E-5</v>
      </c>
      <c r="AI178" s="31">
        <f t="shared" si="143"/>
        <v>1.5707963267948966</v>
      </c>
      <c r="AJ178" s="31" t="str">
        <f t="shared" si="129"/>
        <v>1+0.182438394757674i</v>
      </c>
      <c r="AK178" s="31">
        <f t="shared" si="144"/>
        <v>1.0165056654449875</v>
      </c>
      <c r="AL178" s="31">
        <f t="shared" si="145"/>
        <v>0.1804538003184995</v>
      </c>
      <c r="AM178" s="31" t="str">
        <f t="shared" si="130"/>
        <v>1+1.17064636636174i</v>
      </c>
      <c r="AN178" s="31">
        <f t="shared" si="146"/>
        <v>1.5396145345754388</v>
      </c>
      <c r="AO178" s="31">
        <f t="shared" si="147"/>
        <v>0.86385226498276868</v>
      </c>
      <c r="AP178" s="58" t="str">
        <f t="shared" si="148"/>
        <v>-8.84347017001213+10.86024183743i</v>
      </c>
      <c r="AQ178" s="49">
        <f t="shared" si="149"/>
        <v>22.92592336374835</v>
      </c>
      <c r="AR178" s="61">
        <f t="shared" si="150"/>
        <v>129.15584775098296</v>
      </c>
      <c r="AS178" s="58" t="str">
        <f t="shared" si="151"/>
        <v>130.187176491214+91.7880549187942i</v>
      </c>
      <c r="AT178" s="64">
        <f t="shared" si="152"/>
        <v>44.043846214647203</v>
      </c>
      <c r="AU178" s="61">
        <f t="shared" si="153"/>
        <v>35.185628565915636</v>
      </c>
    </row>
    <row r="179" spans="14:47" x14ac:dyDescent="0.35">
      <c r="N179" s="10">
        <v>61</v>
      </c>
      <c r="O179" s="50">
        <f t="shared" si="121"/>
        <v>407.38027780411272</v>
      </c>
      <c r="P179" s="48" t="str">
        <f t="shared" si="122"/>
        <v>547.187404092767</v>
      </c>
      <c r="Q179" s="17" t="str">
        <f t="shared" si="123"/>
        <v>1+49.0897341360387i</v>
      </c>
      <c r="R179" s="17">
        <f t="shared" si="131"/>
        <v>49.099918508557259</v>
      </c>
      <c r="S179" s="17">
        <f t="shared" si="132"/>
        <v>1.5504282859391787</v>
      </c>
      <c r="T179" s="17" t="str">
        <f t="shared" si="124"/>
        <v>1+0.000928872875826907i</v>
      </c>
      <c r="U179" s="17">
        <f t="shared" si="133"/>
        <v>1.0000004314023165</v>
      </c>
      <c r="V179" s="17">
        <f t="shared" si="134"/>
        <v>9.2887260868171394E-4</v>
      </c>
      <c r="W179" s="31" t="str">
        <f t="shared" si="125"/>
        <v>1-0.0161301077878608i</v>
      </c>
      <c r="X179" s="17">
        <f t="shared" si="135"/>
        <v>1.0001300817279959</v>
      </c>
      <c r="Y179" s="17">
        <f t="shared" si="136"/>
        <v>-1.6128709093692208E-2</v>
      </c>
      <c r="Z179" s="31" t="str">
        <f t="shared" si="126"/>
        <v>0.999945137622895+0.0771771817878619i</v>
      </c>
      <c r="AA179" s="17">
        <f t="shared" si="137"/>
        <v>1.0029190374324277</v>
      </c>
      <c r="AB179" s="17">
        <f t="shared" si="138"/>
        <v>7.7028705768939096E-2</v>
      </c>
      <c r="AC179" s="66" t="str">
        <f t="shared" si="139"/>
        <v>-0.797925829058503-11.0846969105381i</v>
      </c>
      <c r="AD179" s="64">
        <f t="shared" si="140"/>
        <v>20.916922452017989</v>
      </c>
      <c r="AE179" s="61">
        <f t="shared" si="141"/>
        <v>-94.117303443812617</v>
      </c>
      <c r="AF179" s="31" t="str">
        <f t="shared" si="127"/>
        <v>-0.000106860158311346</v>
      </c>
      <c r="AG179" s="31" t="str">
        <f t="shared" si="128"/>
        <v>0.000011825563484813i</v>
      </c>
      <c r="AH179" s="31">
        <f t="shared" si="142"/>
        <v>1.1825563484813E-5</v>
      </c>
      <c r="AI179" s="31">
        <f t="shared" si="143"/>
        <v>1.5707963267948966</v>
      </c>
      <c r="AJ179" s="31" t="str">
        <f t="shared" si="129"/>
        <v>1+0.186687930878478i</v>
      </c>
      <c r="AK179" s="31">
        <f t="shared" si="144"/>
        <v>1.0172769453475721</v>
      </c>
      <c r="AL179" s="31">
        <f t="shared" si="145"/>
        <v>0.18456334533228003</v>
      </c>
      <c r="AM179" s="31" t="str">
        <f t="shared" si="130"/>
        <v>1+1.19791422313689i</v>
      </c>
      <c r="AN179" s="31">
        <f t="shared" si="146"/>
        <v>1.5604481683137248</v>
      </c>
      <c r="AO179" s="31">
        <f t="shared" si="147"/>
        <v>0.87520234644921002</v>
      </c>
      <c r="AP179" s="58" t="str">
        <f t="shared" si="148"/>
        <v>-8.83006535405523+10.6848358866653i</v>
      </c>
      <c r="AQ179" s="49">
        <f t="shared" si="149"/>
        <v>22.83608229887443</v>
      </c>
      <c r="AR179" s="61">
        <f t="shared" si="150"/>
        <v>129.57069993113097</v>
      </c>
      <c r="AS179" s="58" t="str">
        <f t="shared" si="151"/>
        <v>125.483904560801+89.3528916167241i</v>
      </c>
      <c r="AT179" s="64">
        <f t="shared" si="152"/>
        <v>43.753004750892437</v>
      </c>
      <c r="AU179" s="61">
        <f t="shared" si="153"/>
        <v>35.453396487318315</v>
      </c>
    </row>
    <row r="180" spans="14:47" x14ac:dyDescent="0.35">
      <c r="N180" s="10">
        <v>62</v>
      </c>
      <c r="O180" s="50">
        <f t="shared" si="121"/>
        <v>416.86938347033572</v>
      </c>
      <c r="P180" s="48" t="str">
        <f t="shared" si="122"/>
        <v>547.187404092767</v>
      </c>
      <c r="Q180" s="17" t="str">
        <f t="shared" si="123"/>
        <v>1+50.2331809343338i</v>
      </c>
      <c r="R180" s="17">
        <f t="shared" si="131"/>
        <v>50.243133528687444</v>
      </c>
      <c r="S180" s="17">
        <f t="shared" si="132"/>
        <v>1.5508917952789554</v>
      </c>
      <c r="T180" s="17" t="str">
        <f t="shared" si="124"/>
        <v>1+0.000950509104553347i</v>
      </c>
      <c r="U180" s="17">
        <f t="shared" si="133"/>
        <v>1.0000004517336769</v>
      </c>
      <c r="V180" s="17">
        <f t="shared" si="134"/>
        <v>9.5050881830212233E-4</v>
      </c>
      <c r="W180" s="31" t="str">
        <f t="shared" si="125"/>
        <v>1-0.0165058262640513i</v>
      </c>
      <c r="X180" s="17">
        <f t="shared" si="135"/>
        <v>1.0001362118734922</v>
      </c>
      <c r="Y180" s="17">
        <f t="shared" si="136"/>
        <v>-1.6504327547271429E-2</v>
      </c>
      <c r="Z180" s="31" t="str">
        <f t="shared" si="126"/>
        <v>0.999942552038719+0.0789748692874971i</v>
      </c>
      <c r="AA180" s="17">
        <f t="shared" si="137"/>
        <v>1.0030563978942977</v>
      </c>
      <c r="AB180" s="17">
        <f t="shared" si="138"/>
        <v>7.8815800535008251E-2</v>
      </c>
      <c r="AC180" s="66" t="str">
        <f t="shared" si="139"/>
        <v>-0.807875871614347-10.8289952584126i</v>
      </c>
      <c r="AD180" s="64">
        <f t="shared" si="140"/>
        <v>20.71586740296582</v>
      </c>
      <c r="AE180" s="61">
        <f t="shared" si="141"/>
        <v>-94.26653524903378</v>
      </c>
      <c r="AF180" s="31" t="str">
        <f t="shared" si="127"/>
        <v>-0.000106860158311346</v>
      </c>
      <c r="AG180" s="31" t="str">
        <f t="shared" si="128"/>
        <v>0.0000121010162437803i</v>
      </c>
      <c r="AH180" s="31">
        <f t="shared" si="142"/>
        <v>1.2101016243780301E-5</v>
      </c>
      <c r="AI180" s="31">
        <f t="shared" si="143"/>
        <v>1.5707963267948966</v>
      </c>
      <c r="AJ180" s="31" t="str">
        <f t="shared" si="129"/>
        <v>1+0.19103645141134i</v>
      </c>
      <c r="AK180" s="31">
        <f t="shared" si="144"/>
        <v>1.0180839482910224</v>
      </c>
      <c r="AL180" s="31">
        <f t="shared" si="145"/>
        <v>0.18876209525473259</v>
      </c>
      <c r="AM180" s="31" t="str">
        <f t="shared" si="130"/>
        <v>1+1.22581722988943i</v>
      </c>
      <c r="AN180" s="31">
        <f t="shared" si="146"/>
        <v>1.5819696207872629</v>
      </c>
      <c r="AO180" s="31">
        <f t="shared" si="147"/>
        <v>0.88650584194000859</v>
      </c>
      <c r="AP180" s="58" t="str">
        <f t="shared" si="148"/>
        <v>-8.81607227517367+10.5148675422896i</v>
      </c>
      <c r="AQ180" s="49">
        <f t="shared" si="149"/>
        <v>22.748170369607713</v>
      </c>
      <c r="AR180" s="61">
        <f t="shared" si="150"/>
        <v>129.97777186671149</v>
      </c>
      <c r="AS180" s="58" t="str">
        <f t="shared" si="151"/>
        <v>120.987742831812+86.9744970850418i</v>
      </c>
      <c r="AT180" s="64">
        <f t="shared" si="152"/>
        <v>43.464037772573548</v>
      </c>
      <c r="AU180" s="61">
        <f t="shared" si="153"/>
        <v>35.711236617677628</v>
      </c>
    </row>
    <row r="181" spans="14:47" x14ac:dyDescent="0.35">
      <c r="N181" s="10">
        <v>63</v>
      </c>
      <c r="O181" s="50">
        <f t="shared" si="121"/>
        <v>426.57951880159294</v>
      </c>
      <c r="P181" s="48" t="str">
        <f t="shared" si="122"/>
        <v>547.187404092767</v>
      </c>
      <c r="Q181" s="17" t="str">
        <f t="shared" si="123"/>
        <v>1+51.403262030075i</v>
      </c>
      <c r="R181" s="17">
        <f t="shared" si="131"/>
        <v>51.412988119078918</v>
      </c>
      <c r="S181" s="17">
        <f t="shared" si="132"/>
        <v>1.5513447621235563</v>
      </c>
      <c r="T181" s="17" t="str">
        <f t="shared" si="124"/>
        <v>1+0.000972649305788495i</v>
      </c>
      <c r="U181" s="17">
        <f t="shared" si="133"/>
        <v>1.0000004730232241</v>
      </c>
      <c r="V181" s="17">
        <f t="shared" si="134"/>
        <v>9.7264899906478956E-4</v>
      </c>
      <c r="W181" s="31" t="str">
        <f t="shared" si="125"/>
        <v>1-0.0168902963478073i</v>
      </c>
      <c r="X181" s="17">
        <f t="shared" si="135"/>
        <v>1.0001426308835739</v>
      </c>
      <c r="Y181" s="17">
        <f t="shared" si="136"/>
        <v>-1.6888690456213381E-2</v>
      </c>
      <c r="Z181" s="31" t="str">
        <f t="shared" si="126"/>
        <v>0.999939844599715+0.0808144303081843i</v>
      </c>
      <c r="AA181" s="17">
        <f t="shared" si="137"/>
        <v>1.0032002118042731</v>
      </c>
      <c r="AB181" s="17">
        <f t="shared" si="138"/>
        <v>8.0644014418420423E-2</v>
      </c>
      <c r="AC181" s="66" t="str">
        <f t="shared" si="139"/>
        <v>-0.81735275339997-10.5790190091921i</v>
      </c>
      <c r="AD181" s="64">
        <f t="shared" si="140"/>
        <v>20.514755510416126</v>
      </c>
      <c r="AE181" s="61">
        <f t="shared" si="141"/>
        <v>-94.417991110623944</v>
      </c>
      <c r="AF181" s="31" t="str">
        <f t="shared" si="127"/>
        <v>-0.000106860158311346</v>
      </c>
      <c r="AG181" s="31" t="str">
        <f t="shared" si="128"/>
        <v>0.0000123828851217359i</v>
      </c>
      <c r="AH181" s="31">
        <f t="shared" si="142"/>
        <v>1.2382885121735901E-5</v>
      </c>
      <c r="AI181" s="31">
        <f t="shared" si="143"/>
        <v>1.5707963267948966</v>
      </c>
      <c r="AJ181" s="31" t="str">
        <f t="shared" si="129"/>
        <v>1+0.195486261999407i</v>
      </c>
      <c r="AK181" s="31">
        <f t="shared" si="144"/>
        <v>1.0189282990625497</v>
      </c>
      <c r="AL181" s="31">
        <f t="shared" si="145"/>
        <v>0.19305168385575616</v>
      </c>
      <c r="AM181" s="31" t="str">
        <f t="shared" si="130"/>
        <v>1+1.25437018116286i</v>
      </c>
      <c r="AN181" s="31">
        <f t="shared" si="146"/>
        <v>1.6041959205129985</v>
      </c>
      <c r="AO181" s="31">
        <f t="shared" si="147"/>
        <v>0.8977571915714786</v>
      </c>
      <c r="AP181" s="58" t="str">
        <f t="shared" si="148"/>
        <v>-8.80146717842617+10.3502315630393i</v>
      </c>
      <c r="AQ181" s="49">
        <f t="shared" si="149"/>
        <v>22.662155053944414</v>
      </c>
      <c r="AR181" s="61">
        <f t="shared" si="150"/>
        <v>130.37665139173473</v>
      </c>
      <c r="AS181" s="58" t="str">
        <f t="shared" si="151"/>
        <v>116.689199887179+84.6510983229734i</v>
      </c>
      <c r="AT181" s="64">
        <f t="shared" si="152"/>
        <v>43.176910564360547</v>
      </c>
      <c r="AU181" s="61">
        <f t="shared" si="153"/>
        <v>35.958660281110767</v>
      </c>
    </row>
    <row r="182" spans="14:47" x14ac:dyDescent="0.35">
      <c r="N182" s="10">
        <v>64</v>
      </c>
      <c r="O182" s="50">
        <f t="shared" si="121"/>
        <v>436.51583224016622</v>
      </c>
      <c r="P182" s="48" t="str">
        <f t="shared" si="122"/>
        <v>547.187404092767</v>
      </c>
      <c r="Q182" s="17" t="str">
        <f t="shared" si="123"/>
        <v>1+52.600597815747i</v>
      </c>
      <c r="R182" s="17">
        <f t="shared" si="131"/>
        <v>52.610102552399276</v>
      </c>
      <c r="S182" s="17">
        <f t="shared" si="132"/>
        <v>1.5517874258980577</v>
      </c>
      <c r="T182" s="17" t="str">
        <f t="shared" si="124"/>
        <v>1+0.000995305218560105i</v>
      </c>
      <c r="U182" s="17">
        <f t="shared" si="133"/>
        <v>1.0000004953161163</v>
      </c>
      <c r="V182" s="17">
        <f t="shared" si="134"/>
        <v>9.9530488989974203E-4</v>
      </c>
      <c r="W182" s="31" t="str">
        <f t="shared" si="125"/>
        <v>1-0.0172837218902564i</v>
      </c>
      <c r="X182" s="17">
        <f t="shared" si="135"/>
        <v>1.0001493523681249</v>
      </c>
      <c r="Y182" s="17">
        <f t="shared" si="136"/>
        <v>-1.7282001160289152E-2</v>
      </c>
      <c r="Z182" s="31" t="str">
        <f t="shared" si="126"/>
        <v>0.999937009563043+0.0826968402095262i</v>
      </c>
      <c r="AA182" s="17">
        <f t="shared" si="137"/>
        <v>1.0033507813693678</v>
      </c>
      <c r="AB182" s="17">
        <f t="shared" si="138"/>
        <v>8.251426921047085E-2</v>
      </c>
      <c r="AC182" s="66" t="str">
        <f t="shared" si="139"/>
        <v>-0.826376551131311-10.3346369899544i</v>
      </c>
      <c r="AD182" s="64">
        <f t="shared" si="140"/>
        <v>20.313584464772497</v>
      </c>
      <c r="AE182" s="61">
        <f t="shared" si="141"/>
        <v>-94.571748539299705</v>
      </c>
      <c r="AF182" s="31" t="str">
        <f t="shared" si="127"/>
        <v>-0.000106860158311346</v>
      </c>
      <c r="AG182" s="31" t="str">
        <f t="shared" si="128"/>
        <v>0.00001267131956929i</v>
      </c>
      <c r="AH182" s="31">
        <f t="shared" si="142"/>
        <v>1.2671319569290001E-5</v>
      </c>
      <c r="AI182" s="31">
        <f t="shared" si="143"/>
        <v>1.5707963267948966</v>
      </c>
      <c r="AJ182" s="31" t="str">
        <f t="shared" si="129"/>
        <v>1+0.200039721991152i</v>
      </c>
      <c r="AK182" s="31">
        <f t="shared" si="144"/>
        <v>1.0198116935857802</v>
      </c>
      <c r="AL182" s="31">
        <f t="shared" si="145"/>
        <v>0.19743375378036623</v>
      </c>
      <c r="AM182" s="31" t="str">
        <f t="shared" si="130"/>
        <v>1+1.28358821610989i</v>
      </c>
      <c r="AN182" s="31">
        <f t="shared" si="146"/>
        <v>1.6271443416415672</v>
      </c>
      <c r="AO182" s="31">
        <f t="shared" si="147"/>
        <v>0.9089509669007434</v>
      </c>
      <c r="AP182" s="58" t="str">
        <f t="shared" si="148"/>
        <v>-8.78622554039182+10.1908245863852i</v>
      </c>
      <c r="AQ182" s="49">
        <f t="shared" si="149"/>
        <v>22.578001243148282</v>
      </c>
      <c r="AR182" s="61">
        <f t="shared" si="150"/>
        <v>130.76693336270799</v>
      </c>
      <c r="AS182" s="58" t="str">
        <f t="shared" si="151"/>
        <v>112.579203488124+82.3809929969342i</v>
      </c>
      <c r="AT182" s="64">
        <f t="shared" si="152"/>
        <v>42.891585707920768</v>
      </c>
      <c r="AU182" s="61">
        <f t="shared" si="153"/>
        <v>36.195184823408276</v>
      </c>
    </row>
    <row r="183" spans="14:47" x14ac:dyDescent="0.35">
      <c r="N183" s="10">
        <v>65</v>
      </c>
      <c r="O183" s="50">
        <f t="shared" si="121"/>
        <v>446.68359215096331</v>
      </c>
      <c r="P183" s="48" t="str">
        <f t="shared" si="122"/>
        <v>547.187404092767</v>
      </c>
      <c r="Q183" s="17" t="str">
        <f t="shared" si="123"/>
        <v>1+53.8258231346322i</v>
      </c>
      <c r="R183" s="17">
        <f t="shared" si="131"/>
        <v>53.835111554827371</v>
      </c>
      <c r="S183" s="17">
        <f t="shared" si="132"/>
        <v>1.5522200206143304</v>
      </c>
      <c r="T183" s="17" t="str">
        <f t="shared" si="124"/>
        <v>1+0.00101848885533302i</v>
      </c>
      <c r="U183" s="17">
        <f t="shared" si="133"/>
        <v>1.0000005186596397</v>
      </c>
      <c r="V183" s="17">
        <f t="shared" si="134"/>
        <v>1.018488503167106E-3</v>
      </c>
      <c r="W183" s="31" t="str">
        <f t="shared" si="125"/>
        <v>1-0.0176863114908288i</v>
      </c>
      <c r="X183" s="17">
        <f t="shared" si="135"/>
        <v>1.0001563905780688</v>
      </c>
      <c r="Y183" s="17">
        <f t="shared" si="136"/>
        <v>-1.7684467711020588E-2</v>
      </c>
      <c r="Z183" s="31" t="str">
        <f t="shared" si="126"/>
        <v>0.999934040915208+0.0846230970701694i</v>
      </c>
      <c r="AA183" s="17">
        <f t="shared" si="137"/>
        <v>1.0035084228539211</v>
      </c>
      <c r="AB183" s="17">
        <f t="shared" si="138"/>
        <v>8.4427505637088798E-2</v>
      </c>
      <c r="AC183" s="66" t="str">
        <f t="shared" si="139"/>
        <v>-0.834966386910573-10.0957209225665i</v>
      </c>
      <c r="AD183" s="64">
        <f t="shared" si="140"/>
        <v>20.112351835675323</v>
      </c>
      <c r="AE183" s="61">
        <f t="shared" si="141"/>
        <v>-94.727886074795705</v>
      </c>
      <c r="AF183" s="31" t="str">
        <f t="shared" si="127"/>
        <v>-0.000106860158311346</v>
      </c>
      <c r="AG183" s="31" t="str">
        <f t="shared" si="128"/>
        <v>0.0000129664725182044i</v>
      </c>
      <c r="AH183" s="31">
        <f t="shared" si="142"/>
        <v>1.29664725182044E-5</v>
      </c>
      <c r="AI183" s="31">
        <f t="shared" si="143"/>
        <v>1.5707963267948966</v>
      </c>
      <c r="AJ183" s="31" t="str">
        <f t="shared" si="129"/>
        <v>1+0.204699245691337i</v>
      </c>
      <c r="AK183" s="31">
        <f t="shared" si="144"/>
        <v>1.020735901781946</v>
      </c>
      <c r="AL183" s="31">
        <f t="shared" si="145"/>
        <v>0.20190995496311645</v>
      </c>
      <c r="AM183" s="31" t="str">
        <f t="shared" si="130"/>
        <v>1+1.31348682651941i</v>
      </c>
      <c r="AN183" s="31">
        <f t="shared" si="146"/>
        <v>1.6508324092529898</v>
      </c>
      <c r="AO183" s="31">
        <f t="shared" si="147"/>
        <v>0.92008188290594561</v>
      </c>
      <c r="AP183" s="58" t="str">
        <f t="shared" si="148"/>
        <v>-8.77032206242433+10.0365450207207i</v>
      </c>
      <c r="AQ183" s="49">
        <f t="shared" si="149"/>
        <v>22.495671309592552</v>
      </c>
      <c r="AR183" s="61">
        <f t="shared" si="150"/>
        <v>131.14822043589763</v>
      </c>
      <c r="AS183" s="58" t="str">
        <f t="shared" si="151"/>
        <v>108.649081680475+80.1625462102474i</v>
      </c>
      <c r="AT183" s="64">
        <f t="shared" si="152"/>
        <v>42.608023145267879</v>
      </c>
      <c r="AU183" s="61">
        <f t="shared" si="153"/>
        <v>36.420334361101929</v>
      </c>
    </row>
    <row r="184" spans="14:47" x14ac:dyDescent="0.35">
      <c r="N184" s="10">
        <v>66</v>
      </c>
      <c r="O184" s="50">
        <f t="shared" ref="O184:O218" si="154">10^(2+(N184/100))</f>
        <v>457.0881896148756</v>
      </c>
      <c r="P184" s="48" t="str">
        <f t="shared" si="122"/>
        <v>547.187404092767</v>
      </c>
      <c r="Q184" s="17" t="str">
        <f t="shared" si="123"/>
        <v>1+55.0795876174125i</v>
      </c>
      <c r="R184" s="17">
        <f t="shared" si="131"/>
        <v>55.088664642594317</v>
      </c>
      <c r="S184" s="17">
        <f t="shared" si="132"/>
        <v>1.5526427749918077</v>
      </c>
      <c r="T184" s="17" t="str">
        <f t="shared" si="124"/>
        <v>1+0.00104221250837833i</v>
      </c>
      <c r="U184" s="17">
        <f t="shared" si="133"/>
        <v>1.0000005431033088</v>
      </c>
      <c r="V184" s="17">
        <f t="shared" si="134"/>
        <v>1.0422121310257656E-3</v>
      </c>
      <c r="W184" s="31" t="str">
        <f t="shared" si="125"/>
        <v>1-0.0180982786078597i</v>
      </c>
      <c r="X184" s="17">
        <f t="shared" si="135"/>
        <v>1.0001637604355438</v>
      </c>
      <c r="Y184" s="17">
        <f t="shared" si="136"/>
        <v>-1.809630297967095E-2</v>
      </c>
      <c r="Z184" s="31" t="str">
        <f t="shared" si="126"/>
        <v>0.999930932359311+0.0865942222169984i</v>
      </c>
      <c r="AA184" s="17">
        <f t="shared" si="137"/>
        <v>1.0036734672244394</v>
      </c>
      <c r="AB184" s="17">
        <f t="shared" si="138"/>
        <v>8.6384683623016115E-2</v>
      </c>
      <c r="AC184" s="66" t="str">
        <f t="shared" si="139"/>
        <v>-0.843140468622685-9.86214536179792i</v>
      </c>
      <c r="AD184" s="64">
        <f t="shared" si="140"/>
        <v>19.911055067291709</v>
      </c>
      <c r="AE184" s="61">
        <f t="shared" si="141"/>
        <v>-94.886483313742644</v>
      </c>
      <c r="AF184" s="31" t="str">
        <f t="shared" si="127"/>
        <v>-0.000106860158311346</v>
      </c>
      <c r="AG184" s="31" t="str">
        <f t="shared" si="128"/>
        <v>0.0000132685004624796i</v>
      </c>
      <c r="AH184" s="31">
        <f t="shared" si="142"/>
        <v>1.32685004624796E-5</v>
      </c>
      <c r="AI184" s="31">
        <f t="shared" si="143"/>
        <v>1.5707963267948966</v>
      </c>
      <c r="AJ184" s="31" t="str">
        <f t="shared" si="129"/>
        <v>1+0.209467303641101i</v>
      </c>
      <c r="AK184" s="31">
        <f t="shared" si="144"/>
        <v>1.0217027705231465</v>
      </c>
      <c r="AL184" s="31">
        <f t="shared" si="145"/>
        <v>0.20648194291002137</v>
      </c>
      <c r="AM184" s="31" t="str">
        <f t="shared" si="130"/>
        <v>1+1.3440818650304i</v>
      </c>
      <c r="AN184" s="31">
        <f t="shared" si="146"/>
        <v>1.6752779052753006</v>
      </c>
      <c r="AO184" s="31">
        <f t="shared" si="147"/>
        <v>0.9311448091211435</v>
      </c>
      <c r="AP184" s="58" t="str">
        <f t="shared" si="148"/>
        <v>-8.75373066584054+9.88729293628075i</v>
      </c>
      <c r="AQ184" s="49">
        <f t="shared" si="149"/>
        <v>22.415125180823757</v>
      </c>
      <c r="AR184" s="61">
        <f t="shared" si="150"/>
        <v>131.52012380375075</v>
      </c>
      <c r="AS184" s="58" t="str">
        <f t="shared" si="151"/>
        <v>104.890544748072+77.994187484842i</v>
      </c>
      <c r="AT184" s="64">
        <f t="shared" si="152"/>
        <v>42.326180248115463</v>
      </c>
      <c r="AU184" s="61">
        <f t="shared" si="153"/>
        <v>36.63364049000814</v>
      </c>
    </row>
    <row r="185" spans="14:47" x14ac:dyDescent="0.35">
      <c r="N185" s="10">
        <v>67</v>
      </c>
      <c r="O185" s="50">
        <f t="shared" si="154"/>
        <v>467.7351412871983</v>
      </c>
      <c r="P185" s="48" t="str">
        <f t="shared" si="122"/>
        <v>547.187404092767</v>
      </c>
      <c r="Q185" s="17" t="str">
        <f t="shared" si="123"/>
        <v>1+56.3625560266119i</v>
      </c>
      <c r="R185" s="17">
        <f t="shared" si="131"/>
        <v>56.371426466366501</v>
      </c>
      <c r="S185" s="17">
        <f t="shared" si="132"/>
        <v>1.5530559125756676</v>
      </c>
      <c r="T185" s="17" t="str">
        <f t="shared" si="124"/>
        <v>1+0.00106648875629089i</v>
      </c>
      <c r="U185" s="17">
        <f t="shared" si="133"/>
        <v>1.0000005686989719</v>
      </c>
      <c r="V185" s="17">
        <f t="shared" si="134"/>
        <v>1.0664883519503447E-3</v>
      </c>
      <c r="W185" s="31" t="str">
        <f t="shared" si="125"/>
        <v>1-0.0185198416717675i</v>
      </c>
      <c r="X185" s="17">
        <f t="shared" si="135"/>
        <v>1.000171477565496</v>
      </c>
      <c r="Y185" s="17">
        <f t="shared" si="136"/>
        <v>-1.8517724767624925E-2</v>
      </c>
      <c r="Z185" s="31" t="str">
        <f t="shared" si="126"/>
        <v>0.999927677301688+0.0886112607666568i</v>
      </c>
      <c r="AA185" s="17">
        <f t="shared" si="137"/>
        <v>1.0038462608231427</v>
      </c>
      <c r="AB185" s="17">
        <f t="shared" si="138"/>
        <v>8.8386782550038276E-2</v>
      </c>
      <c r="AC185" s="66" t="str">
        <f t="shared" si="139"/>
        <v>-0.850916128444805-9.63378763462185i</v>
      </c>
      <c r="AD185" s="64">
        <f t="shared" si="140"/>
        <v>19.709691473381746</v>
      </c>
      <c r="AE185" s="61">
        <f t="shared" si="141"/>
        <v>-95.047620937185201</v>
      </c>
      <c r="AF185" s="31" t="str">
        <f t="shared" si="127"/>
        <v>-0.000106860158311346</v>
      </c>
      <c r="AG185" s="31" t="str">
        <f t="shared" si="128"/>
        <v>0.0000135775635413293i</v>
      </c>
      <c r="AH185" s="31">
        <f t="shared" si="142"/>
        <v>1.3577563541329299E-5</v>
      </c>
      <c r="AI185" s="31">
        <f t="shared" si="143"/>
        <v>1.5707963267948966</v>
      </c>
      <c r="AJ185" s="31" t="str">
        <f t="shared" si="129"/>
        <v>1+0.214346423927884i</v>
      </c>
      <c r="AK185" s="31">
        <f t="shared" si="144"/>
        <v>1.0227142266785341</v>
      </c>
      <c r="AL185" s="31">
        <f t="shared" si="145"/>
        <v>0.21115137684153676</v>
      </c>
      <c r="AM185" s="31" t="str">
        <f t="shared" si="130"/>
        <v>1+1.37538955353725i</v>
      </c>
      <c r="AN185" s="31">
        <f t="shared" si="146"/>
        <v>1.7004988750303234</v>
      </c>
      <c r="AO185" s="31">
        <f t="shared" si="147"/>
        <v>0.94213477987820571</v>
      </c>
      <c r="AP185" s="58" t="str">
        <f t="shared" si="148"/>
        <v>-8.73642448927823+9.74296995473713i</v>
      </c>
      <c r="AQ185" s="49">
        <f t="shared" si="149"/>
        <v>22.336320419167635</v>
      </c>
      <c r="AR185" s="61">
        <f t="shared" si="150"/>
        <v>131.88226388811159</v>
      </c>
      <c r="AS185" s="58" t="str">
        <f t="shared" si="151"/>
        <v>101.295667977306+75.8744079421771i</v>
      </c>
      <c r="AT185" s="64">
        <f t="shared" si="152"/>
        <v>42.046011892549387</v>
      </c>
      <c r="AU185" s="61">
        <f t="shared" si="153"/>
        <v>36.834642950926309</v>
      </c>
    </row>
    <row r="186" spans="14:47" x14ac:dyDescent="0.35">
      <c r="N186" s="10">
        <v>68</v>
      </c>
      <c r="O186" s="50">
        <f t="shared" si="154"/>
        <v>478.63009232263886</v>
      </c>
      <c r="P186" s="48" t="str">
        <f t="shared" si="122"/>
        <v>547.187404092767</v>
      </c>
      <c r="Q186" s="17" t="str">
        <f t="shared" si="123"/>
        <v>1+57.6754086090634i</v>
      </c>
      <c r="R186" s="17">
        <f t="shared" si="131"/>
        <v>57.684077163654315</v>
      </c>
      <c r="S186" s="17">
        <f t="shared" si="132"/>
        <v>1.553459651852479</v>
      </c>
      <c r="T186" s="17" t="str">
        <f t="shared" si="124"/>
        <v>1+0.00109133047065868i</v>
      </c>
      <c r="U186" s="17">
        <f t="shared" si="133"/>
        <v>1.0000005955009208</v>
      </c>
      <c r="V186" s="17">
        <f t="shared" si="134"/>
        <v>1.0913300373999939E-3</v>
      </c>
      <c r="W186" s="31" t="str">
        <f t="shared" si="125"/>
        <v>1-0.0189512242008688i</v>
      </c>
      <c r="X186" s="17">
        <f t="shared" si="135"/>
        <v>1.0001795583287592</v>
      </c>
      <c r="Y186" s="17">
        <f t="shared" si="136"/>
        <v>-1.8948955919205597E-2</v>
      </c>
      <c r="Z186" s="31" t="str">
        <f t="shared" si="126"/>
        <v>0.999924268837925+0.0906752821796825i</v>
      </c>
      <c r="AA186" s="17">
        <f t="shared" si="137"/>
        <v>1.0040271660714284</v>
      </c>
      <c r="AB186" s="17">
        <f t="shared" si="138"/>
        <v>9.0434801508326973E-2</v>
      </c>
      <c r="AC186" s="66" t="str">
        <f t="shared" si="139"/>
        <v>-0.85830985954935-9.41052778069774i</v>
      </c>
      <c r="AD186" s="64">
        <f t="shared" si="140"/>
        <v>19.508258232133706</v>
      </c>
      <c r="AE186" s="61">
        <f t="shared" si="141"/>
        <v>-95.211380737690774</v>
      </c>
      <c r="AF186" s="31" t="str">
        <f t="shared" si="127"/>
        <v>-0.000106860158311346</v>
      </c>
      <c r="AG186" s="31" t="str">
        <f t="shared" si="128"/>
        <v>0.0000138938256240889i</v>
      </c>
      <c r="AH186" s="31">
        <f t="shared" si="142"/>
        <v>1.3893825624088901E-5</v>
      </c>
      <c r="AI186" s="31">
        <f t="shared" si="143"/>
        <v>1.5707963267948966</v>
      </c>
      <c r="AJ186" s="31" t="str">
        <f t="shared" si="129"/>
        <v>1+0.219339193525843i</v>
      </c>
      <c r="AK186" s="31">
        <f t="shared" si="144"/>
        <v>1.0237722802540452</v>
      </c>
      <c r="AL186" s="31">
        <f t="shared" si="145"/>
        <v>0.2159199176900298</v>
      </c>
      <c r="AM186" s="31" t="str">
        <f t="shared" si="130"/>
        <v>1+1.40742649179082i</v>
      </c>
      <c r="AN186" s="31">
        <f t="shared" si="146"/>
        <v>1.7265136344073899</v>
      </c>
      <c r="AO186" s="31">
        <f t="shared" si="147"/>
        <v>0.9530470036171339</v>
      </c>
      <c r="AP186" s="58" t="str">
        <f t="shared" si="148"/>
        <v>-8.71837588846855+9.60347913742194i</v>
      </c>
      <c r="AQ186" s="49">
        <f t="shared" si="149"/>
        <v>22.259212306171527</v>
      </c>
      <c r="AR186" s="61">
        <f t="shared" si="150"/>
        <v>132.23427098840023</v>
      </c>
      <c r="AS186" s="58" t="str">
        <f t="shared" si="151"/>
        <v>97.8568751983902+73.8017576713729i</v>
      </c>
      <c r="AT186" s="64">
        <f t="shared" si="152"/>
        <v>41.767470538305233</v>
      </c>
      <c r="AU186" s="61">
        <f t="shared" si="153"/>
        <v>37.022890250709466</v>
      </c>
    </row>
    <row r="187" spans="14:47" x14ac:dyDescent="0.35">
      <c r="N187" s="10">
        <v>69</v>
      </c>
      <c r="O187" s="50">
        <f t="shared" si="154"/>
        <v>489.77881936844625</v>
      </c>
      <c r="P187" s="48" t="str">
        <f t="shared" si="122"/>
        <v>547.187404092767</v>
      </c>
      <c r="Q187" s="17" t="str">
        <f t="shared" si="123"/>
        <v>1+59.0188414565838i</v>
      </c>
      <c r="R187" s="17">
        <f t="shared" si="131"/>
        <v>59.027312719429936</v>
      </c>
      <c r="S187" s="17">
        <f t="shared" si="132"/>
        <v>1.5538542063633549</v>
      </c>
      <c r="T187" s="17" t="str">
        <f t="shared" si="124"/>
        <v>1+0.00111675082288749i</v>
      </c>
      <c r="U187" s="17">
        <f t="shared" si="133"/>
        <v>1.0000006235660057</v>
      </c>
      <c r="V187" s="17">
        <f t="shared" si="134"/>
        <v>1.1167503586424594E-3</v>
      </c>
      <c r="W187" s="31" t="str">
        <f t="shared" si="125"/>
        <v>1-0.0193926549198905i</v>
      </c>
      <c r="X187" s="17">
        <f t="shared" si="135"/>
        <v>1.0001880198566877</v>
      </c>
      <c r="Y187" s="17">
        <f t="shared" si="136"/>
        <v>-1.9390224436974527E-2</v>
      </c>
      <c r="Z187" s="31" t="str">
        <f t="shared" si="126"/>
        <v>0.999920699738214+0.0927873808275492i</v>
      </c>
      <c r="AA187" s="17">
        <f t="shared" si="137"/>
        <v>1.0042165622044859</v>
      </c>
      <c r="AB187" s="17">
        <f t="shared" si="138"/>
        <v>9.2529759539882572E-2</v>
      </c>
      <c r="AC187" s="66" t="str">
        <f t="shared" si="139"/>
        <v>-0.865337351077809-9.19224849403119i</v>
      </c>
      <c r="AD187" s="64">
        <f t="shared" si="140"/>
        <v>19.306752380763037</v>
      </c>
      <c r="AE187" s="61">
        <f t="shared" si="141"/>
        <v>-95.377845645996075</v>
      </c>
      <c r="AF187" s="31" t="str">
        <f t="shared" si="127"/>
        <v>-0.000106860158311346</v>
      </c>
      <c r="AG187" s="31" t="str">
        <f t="shared" si="128"/>
        <v>0.000014217454397101i</v>
      </c>
      <c r="AH187" s="31">
        <f t="shared" si="142"/>
        <v>1.4217454397101001E-5</v>
      </c>
      <c r="AI187" s="31">
        <f t="shared" si="143"/>
        <v>1.5707963267948966</v>
      </c>
      <c r="AJ187" s="31" t="str">
        <f t="shared" si="129"/>
        <v>1+0.224448259667508i</v>
      </c>
      <c r="AK187" s="31">
        <f t="shared" si="144"/>
        <v>1.0248790276260769</v>
      </c>
      <c r="AL187" s="31">
        <f t="shared" si="145"/>
        <v>0.22078922594522102</v>
      </c>
      <c r="AM187" s="31" t="str">
        <f t="shared" si="130"/>
        <v>1+1.44020966619984i</v>
      </c>
      <c r="AN187" s="31">
        <f t="shared" si="146"/>
        <v>1.7533407776628751</v>
      </c>
      <c r="AO187" s="31">
        <f t="shared" si="147"/>
        <v>0.96387687123562238</v>
      </c>
      <c r="AP187" s="58" t="str">
        <f t="shared" si="148"/>
        <v>-8.69955643868804+9.46872487215177i</v>
      </c>
      <c r="AQ187" s="49">
        <f t="shared" si="149"/>
        <v>22.183753931171335</v>
      </c>
      <c r="AR187" s="61">
        <f t="shared" si="150"/>
        <v>132.57578588345436</v>
      </c>
      <c r="AS187" s="58" t="str">
        <f t="shared" si="151"/>
        <v>94.566923070639+71.7748432733171i</v>
      </c>
      <c r="AT187" s="64">
        <f t="shared" si="152"/>
        <v>41.490506311934368</v>
      </c>
      <c r="AU187" s="61">
        <f t="shared" si="153"/>
        <v>37.197940237458255</v>
      </c>
    </row>
    <row r="188" spans="14:47" x14ac:dyDescent="0.35">
      <c r="N188" s="10">
        <v>70</v>
      </c>
      <c r="O188" s="50">
        <f t="shared" si="154"/>
        <v>501.18723362727269</v>
      </c>
      <c r="P188" s="48" t="str">
        <f t="shared" si="122"/>
        <v>547.187404092767</v>
      </c>
      <c r="Q188" s="17" t="str">
        <f t="shared" si="123"/>
        <v>1+60.3935668750509i</v>
      </c>
      <c r="R188" s="17">
        <f t="shared" si="131"/>
        <v>60.40184533514887</v>
      </c>
      <c r="S188" s="17">
        <f t="shared" si="132"/>
        <v>1.554239784814665</v>
      </c>
      <c r="T188" s="17" t="str">
        <f t="shared" si="124"/>
        <v>1+0.00114276329118453i</v>
      </c>
      <c r="U188" s="17">
        <f t="shared" si="133"/>
        <v>1.0000006529537566</v>
      </c>
      <c r="V188" s="17">
        <f t="shared" si="134"/>
        <v>1.1427627937370347E-3</v>
      </c>
      <c r="W188" s="31" t="str">
        <f t="shared" si="125"/>
        <v>1-0.0198443678812428i</v>
      </c>
      <c r="X188" s="17">
        <f t="shared" si="135"/>
        <v>1.0001968800874186</v>
      </c>
      <c r="Y188" s="17">
        <f t="shared" si="136"/>
        <v>-1.9841763599563373E-2</v>
      </c>
      <c r="Z188" s="31" t="str">
        <f t="shared" si="126"/>
        <v>0.999916962432016+0.0949486765729165i</v>
      </c>
      <c r="AA188" s="17">
        <f t="shared" si="137"/>
        <v>1.004414846038338</v>
      </c>
      <c r="AB188" s="17">
        <f t="shared" si="138"/>
        <v>9.4672695872992402E-2</v>
      </c>
      <c r="AC188" s="66" t="str">
        <f t="shared" si="139"/>
        <v>-0.872013521459182-8.97883506580255i</v>
      </c>
      <c r="AD188" s="64">
        <f t="shared" si="140"/>
        <v>19.105170809866816</v>
      </c>
      <c r="AE188" s="61">
        <f t="shared" si="141"/>
        <v>-95.547099757135214</v>
      </c>
      <c r="AF188" s="31" t="str">
        <f t="shared" si="127"/>
        <v>-0.000106860158311346</v>
      </c>
      <c r="AG188" s="31" t="str">
        <f t="shared" si="128"/>
        <v>0.0000145486214526246i</v>
      </c>
      <c r="AH188" s="31">
        <f t="shared" si="142"/>
        <v>1.4548621452624601E-5</v>
      </c>
      <c r="AI188" s="31">
        <f t="shared" si="143"/>
        <v>1.5707963267948966</v>
      </c>
      <c r="AJ188" s="31" t="str">
        <f t="shared" si="129"/>
        <v>1+0.229676331247371i</v>
      </c>
      <c r="AK188" s="31">
        <f t="shared" si="144"/>
        <v>1.0260366548692361</v>
      </c>
      <c r="AL188" s="31">
        <f t="shared" si="145"/>
        <v>0.22576095934102677</v>
      </c>
      <c r="AM188" s="31" t="str">
        <f t="shared" si="130"/>
        <v>1+1.4737564588373i</v>
      </c>
      <c r="AN188" s="31">
        <f t="shared" si="146"/>
        <v>1.7809991858405378</v>
      </c>
      <c r="AO188" s="31">
        <f t="shared" si="147"/>
        <v>0.9746199634579098</v>
      </c>
      <c r="AP188" s="58" t="str">
        <f t="shared" si="148"/>
        <v>-8.67993694016891+9.33861275863892i</v>
      </c>
      <c r="AQ188" s="49">
        <f t="shared" si="149"/>
        <v>22.109896283268139</v>
      </c>
      <c r="AR188" s="61">
        <f t="shared" si="150"/>
        <v>132.9064603862673</v>
      </c>
      <c r="AS188" s="58" t="str">
        <f t="shared" si="151"/>
        <v>91.4188860804585+69.7923255701391i</v>
      </c>
      <c r="AT188" s="64">
        <f t="shared" si="152"/>
        <v>41.215067093134948</v>
      </c>
      <c r="AU188" s="61">
        <f t="shared" si="153"/>
        <v>37.359360629132084</v>
      </c>
    </row>
    <row r="189" spans="14:47" x14ac:dyDescent="0.35">
      <c r="N189" s="10">
        <v>71</v>
      </c>
      <c r="O189" s="50">
        <f t="shared" si="154"/>
        <v>512.86138399136519</v>
      </c>
      <c r="P189" s="48" t="str">
        <f t="shared" si="122"/>
        <v>547.187404092767</v>
      </c>
      <c r="Q189" s="17" t="str">
        <f t="shared" si="123"/>
        <v>1+61.8003137620787i</v>
      </c>
      <c r="R189" s="17">
        <f t="shared" si="131"/>
        <v>61.808403806370649</v>
      </c>
      <c r="S189" s="17">
        <f t="shared" si="132"/>
        <v>1.554616591186351</v>
      </c>
      <c r="T189" s="17" t="str">
        <f t="shared" si="124"/>
        <v>1+0.00116938166770482i</v>
      </c>
      <c r="U189" s="17">
        <f t="shared" si="133"/>
        <v>1.0000006837265085</v>
      </c>
      <c r="V189" s="17">
        <f t="shared" si="134"/>
        <v>1.1693811346802452E-3</v>
      </c>
      <c r="W189" s="31" t="str">
        <f t="shared" si="125"/>
        <v>1-0.020306602589117i</v>
      </c>
      <c r="X189" s="17">
        <f t="shared" si="135"/>
        <v>1.0002061578038361</v>
      </c>
      <c r="Y189" s="17">
        <f t="shared" si="136"/>
        <v>-2.0303812082084718E-2</v>
      </c>
      <c r="Z189" s="31" t="str">
        <f t="shared" si="126"/>
        <v>0.999913048992004+0.0971603153633972i</v>
      </c>
      <c r="AA189" s="17">
        <f t="shared" si="137"/>
        <v>1.0046224327706408</v>
      </c>
      <c r="AB189" s="17">
        <f t="shared" si="138"/>
        <v>9.6864670146538198E-2</v>
      </c>
      <c r="AC189" s="66" t="str">
        <f t="shared" si="139"/>
        <v>-0.878352550143898-8.77017532835805i</v>
      </c>
      <c r="AD189" s="64">
        <f t="shared" si="140"/>
        <v>18.903510257527792</v>
      </c>
      <c r="AE189" s="61">
        <f t="shared" si="141"/>
        <v>-95.719228355987084</v>
      </c>
      <c r="AF189" s="31" t="str">
        <f t="shared" si="127"/>
        <v>-0.000106860158311346</v>
      </c>
      <c r="AG189" s="31" t="str">
        <f t="shared" si="128"/>
        <v>0.0000148875023798162i</v>
      </c>
      <c r="AH189" s="31">
        <f t="shared" si="142"/>
        <v>1.4887502379816201E-5</v>
      </c>
      <c r="AI189" s="31">
        <f t="shared" si="143"/>
        <v>1.5707963267948966</v>
      </c>
      <c r="AJ189" s="31" t="str">
        <f t="shared" si="129"/>
        <v>1+0.235026180258188i</v>
      </c>
      <c r="AK189" s="31">
        <f t="shared" si="144"/>
        <v>1.0272474411780028</v>
      </c>
      <c r="AL189" s="31">
        <f t="shared" si="145"/>
        <v>0.230836770377358</v>
      </c>
      <c r="AM189" s="31" t="str">
        <f t="shared" si="130"/>
        <v>1+1.5080846566567i</v>
      </c>
      <c r="AN189" s="31">
        <f t="shared" si="146"/>
        <v>1.809508035805135</v>
      </c>
      <c r="AO189" s="31">
        <f t="shared" si="147"/>
        <v>0.98527205721211431</v>
      </c>
      <c r="AP189" s="58" t="str">
        <f t="shared" si="148"/>
        <v>-8.65948742676199+9.21304949249583i</v>
      </c>
      <c r="AQ189" s="49">
        <f t="shared" si="149"/>
        <v>22.037588346008292</v>
      </c>
      <c r="AR189" s="61">
        <f t="shared" si="150"/>
        <v>133.22595785137318</v>
      </c>
      <c r="AS189" s="58" t="str">
        <f t="shared" si="151"/>
        <v>88.406142222264+67.8529174700791i</v>
      </c>
      <c r="AT189" s="64">
        <f t="shared" si="152"/>
        <v>40.941098603536084</v>
      </c>
      <c r="AU189" s="61">
        <f t="shared" si="153"/>
        <v>37.506729495386118</v>
      </c>
    </row>
    <row r="190" spans="14:47" x14ac:dyDescent="0.35">
      <c r="N190" s="10">
        <v>72</v>
      </c>
      <c r="O190" s="50">
        <f t="shared" si="154"/>
        <v>524.80746024977248</v>
      </c>
      <c r="P190" s="48" t="str">
        <f t="shared" si="122"/>
        <v>547.187404092767</v>
      </c>
      <c r="Q190" s="17" t="str">
        <f t="shared" si="123"/>
        <v>1+63.2398279934871i</v>
      </c>
      <c r="R190" s="17">
        <f t="shared" si="131"/>
        <v>63.247733909175231</v>
      </c>
      <c r="S190" s="17">
        <f t="shared" si="132"/>
        <v>1.5549848248378919</v>
      </c>
      <c r="T190" s="17" t="str">
        <f t="shared" si="124"/>
        <v>1+0.00119662006586393i</v>
      </c>
      <c r="U190" s="17">
        <f t="shared" si="133"/>
        <v>1.0000007159495348</v>
      </c>
      <c r="V190" s="17">
        <f t="shared" si="134"/>
        <v>1.19661949471783E-3</v>
      </c>
      <c r="W190" s="31" t="str">
        <f t="shared" si="125"/>
        <v>1-0.0207796041264737i</v>
      </c>
      <c r="X190" s="17">
        <f t="shared" si="135"/>
        <v>1.0002158726733208</v>
      </c>
      <c r="Y190" s="17">
        <f t="shared" si="136"/>
        <v>-2.0776614079170082E-2</v>
      </c>
      <c r="Z190" s="31" t="str">
        <f t="shared" si="126"/>
        <v>0.999908951117245+0.0994234698391527i</v>
      </c>
      <c r="AA190" s="17">
        <f t="shared" si="137"/>
        <v>1.004839756816601</v>
      </c>
      <c r="AB190" s="17">
        <f t="shared" si="138"/>
        <v>9.9106762622898401E-2</v>
      </c>
      <c r="AC190" s="66" t="str">
        <f t="shared" si="139"/>
        <v>-0.884367907821028-8.56615960035555i</v>
      </c>
      <c r="AD190" s="64">
        <f t="shared" si="140"/>
        <v>18.701767303160963</v>
      </c>
      <c r="AE190" s="61">
        <f t="shared" si="141"/>
        <v>-95.894317942175874</v>
      </c>
      <c r="AF190" s="31" t="str">
        <f t="shared" si="127"/>
        <v>-0.000106860158311346</v>
      </c>
      <c r="AG190" s="31" t="str">
        <f t="shared" si="128"/>
        <v>0.000015234276857829i</v>
      </c>
      <c r="AH190" s="31">
        <f t="shared" si="142"/>
        <v>1.5234276857829001E-5</v>
      </c>
      <c r="AI190" s="31">
        <f t="shared" si="143"/>
        <v>1.5707963267948966</v>
      </c>
      <c r="AJ190" s="31" t="str">
        <f t="shared" si="129"/>
        <v>1+0.240500643260718i</v>
      </c>
      <c r="AK190" s="31">
        <f t="shared" si="144"/>
        <v>1.0285137623818259</v>
      </c>
      <c r="AL190" s="31">
        <f t="shared" si="145"/>
        <v>0.23601830367047008</v>
      </c>
      <c r="AM190" s="31" t="str">
        <f t="shared" si="130"/>
        <v>1+1.54321246092294i</v>
      </c>
      <c r="AN190" s="31">
        <f t="shared" si="146"/>
        <v>1.838886809879237</v>
      </c>
      <c r="AO190" s="31">
        <f t="shared" si="147"/>
        <v>0.99582913101397563</v>
      </c>
      <c r="AP190" s="58" t="str">
        <f t="shared" si="148"/>
        <v>-8.63817717816264+9.09194274786168i</v>
      </c>
      <c r="AQ190" s="49">
        <f t="shared" si="149"/>
        <v>21.966777194079604</v>
      </c>
      <c r="AR190" s="61">
        <f t="shared" si="150"/>
        <v>133.53395363512621</v>
      </c>
      <c r="AS190" s="58" t="str">
        <f t="shared" si="151"/>
        <v>85.5223593339174+65.9553819783351i</v>
      </c>
      <c r="AT190" s="64">
        <f t="shared" si="152"/>
        <v>40.668544497240561</v>
      </c>
      <c r="AU190" s="61">
        <f t="shared" si="153"/>
        <v>37.6396356929503</v>
      </c>
    </row>
    <row r="191" spans="14:47" x14ac:dyDescent="0.35">
      <c r="N191" s="10">
        <v>73</v>
      </c>
      <c r="O191" s="50">
        <f t="shared" si="154"/>
        <v>537.03179637025301</v>
      </c>
      <c r="P191" s="48" t="str">
        <f t="shared" si="122"/>
        <v>547.187404092767</v>
      </c>
      <c r="Q191" s="17" t="str">
        <f t="shared" si="123"/>
        <v>1+64.7128728187755i</v>
      </c>
      <c r="R191" s="17">
        <f t="shared" si="131"/>
        <v>64.720598795584493</v>
      </c>
      <c r="S191" s="17">
        <f t="shared" si="132"/>
        <v>1.5553446806119668</v>
      </c>
      <c r="T191" s="17" t="str">
        <f t="shared" si="124"/>
        <v>1+0.00122449292782109i</v>
      </c>
      <c r="U191" s="17">
        <f t="shared" si="133"/>
        <v>1.000000749691184</v>
      </c>
      <c r="V191" s="17">
        <f t="shared" si="134"/>
        <v>1.2244923158270425E-3</v>
      </c>
      <c r="W191" s="31" t="str">
        <f t="shared" si="125"/>
        <v>1-0.0212636232849887i</v>
      </c>
      <c r="X191" s="17">
        <f t="shared" si="135"/>
        <v>1.0002260452893665</v>
      </c>
      <c r="Y191" s="17">
        <f t="shared" si="136"/>
        <v>-2.1260419430683759E-2</v>
      </c>
      <c r="Z191" s="31" t="str">
        <f t="shared" si="126"/>
        <v>0.999904660115599+0.101739339954642i</v>
      </c>
      <c r="AA191" s="17">
        <f t="shared" si="137"/>
        <v>1.0050672726814349</v>
      </c>
      <c r="AB191" s="17">
        <f t="shared" si="138"/>
        <v>0.10140007438810536</v>
      </c>
      <c r="AC191" s="66" t="str">
        <f t="shared" si="139"/>
        <v>-0.890072385183726-8.36668063305607i</v>
      </c>
      <c r="AD191" s="64">
        <f t="shared" si="140"/>
        <v>18.499938361095182</v>
      </c>
      <c r="AE191" s="61">
        <f t="shared" si="141"/>
        <v>-96.072456254252742</v>
      </c>
      <c r="AF191" s="31" t="str">
        <f t="shared" si="127"/>
        <v>-0.000106860158311346</v>
      </c>
      <c r="AG191" s="31" t="str">
        <f t="shared" si="128"/>
        <v>0.0000155891287510813i</v>
      </c>
      <c r="AH191" s="31">
        <f t="shared" si="142"/>
        <v>1.5589128751081298E-5</v>
      </c>
      <c r="AI191" s="31">
        <f t="shared" si="143"/>
        <v>1.5707963267948966</v>
      </c>
      <c r="AJ191" s="31" t="str">
        <f t="shared" si="129"/>
        <v>1+0.246102622887706i</v>
      </c>
      <c r="AK191" s="31">
        <f t="shared" si="144"/>
        <v>1.0298380945528323</v>
      </c>
      <c r="AL191" s="31">
        <f t="shared" si="145"/>
        <v>0.24130719312568608</v>
      </c>
      <c r="AM191" s="31" t="str">
        <f t="shared" si="130"/>
        <v>1+1.57915849686277i</v>
      </c>
      <c r="AN191" s="31">
        <f t="shared" si="146"/>
        <v>1.8691553060711366</v>
      </c>
      <c r="AO191" s="31">
        <f t="shared" si="147"/>
        <v>1.0062873693633363</v>
      </c>
      <c r="AP191" s="58" t="str">
        <f t="shared" si="148"/>
        <v>-8.61597473602186+8.97520105870185i</v>
      </c>
      <c r="AQ191" s="49">
        <f t="shared" si="149"/>
        <v>21.897408091359321</v>
      </c>
      <c r="AR191" s="61">
        <f t="shared" si="150"/>
        <v>133.83013550959123</v>
      </c>
      <c r="AS191" s="58" t="str">
        <f t="shared" si="151"/>
        <v>82.7614820595988+64.0985303449522i</v>
      </c>
      <c r="AT191" s="64">
        <f t="shared" si="152"/>
        <v>40.397346452454499</v>
      </c>
      <c r="AU191" s="61">
        <f t="shared" si="153"/>
        <v>37.757679255338502</v>
      </c>
    </row>
    <row r="192" spans="14:47" x14ac:dyDescent="0.35">
      <c r="N192" s="10">
        <v>74</v>
      </c>
      <c r="O192" s="50">
        <f t="shared" si="154"/>
        <v>549.54087385762534</v>
      </c>
      <c r="P192" s="48" t="str">
        <f t="shared" si="122"/>
        <v>547.187404092767</v>
      </c>
      <c r="Q192" s="17" t="str">
        <f t="shared" si="123"/>
        <v>1+66.2202292658087i</v>
      </c>
      <c r="R192" s="17">
        <f t="shared" si="131"/>
        <v>66.227779398197143</v>
      </c>
      <c r="S192" s="17">
        <f t="shared" si="132"/>
        <v>1.5556963489358571</v>
      </c>
      <c r="T192" s="17" t="str">
        <f t="shared" si="124"/>
        <v>1+0.00125301503213666i</v>
      </c>
      <c r="U192" s="17">
        <f t="shared" si="133"/>
        <v>1.0000007850230272</v>
      </c>
      <c r="V192" s="17">
        <f t="shared" si="134"/>
        <v>1.2530143763732511E-3</v>
      </c>
      <c r="W192" s="31" t="str">
        <f t="shared" si="125"/>
        <v>1-0.0217589166980269i</v>
      </c>
      <c r="X192" s="17">
        <f t="shared" si="135"/>
        <v>1.00023669721515</v>
      </c>
      <c r="Y192" s="17">
        <f t="shared" si="136"/>
        <v>-2.1755483750162601E-2</v>
      </c>
      <c r="Z192" s="31" t="str">
        <f t="shared" si="126"/>
        <v>0.999900166885276+0.104109153614854i</v>
      </c>
      <c r="AA192" s="17">
        <f t="shared" si="137"/>
        <v>1.0053054558708037</v>
      </c>
      <c r="AB192" s="17">
        <f t="shared" si="138"/>
        <v>0.10374572753782339</v>
      </c>
      <c r="AC192" s="66" t="str">
        <f t="shared" si="139"/>
        <v>-0.895478120305347-8.17163355775325i</v>
      </c>
      <c r="AD192" s="64">
        <f t="shared" si="140"/>
        <v>18.298019673883392</v>
      </c>
      <c r="AE192" s="61">
        <f t="shared" si="141"/>
        <v>-96.253732293081839</v>
      </c>
      <c r="AF192" s="31" t="str">
        <f t="shared" si="127"/>
        <v>-0.000106860158311346</v>
      </c>
      <c r="AG192" s="31" t="str">
        <f t="shared" si="128"/>
        <v>0.0000159522462067439i</v>
      </c>
      <c r="AH192" s="31">
        <f t="shared" si="142"/>
        <v>1.5952246206743899E-5</v>
      </c>
      <c r="AI192" s="31">
        <f t="shared" si="143"/>
        <v>1.5707963267948966</v>
      </c>
      <c r="AJ192" s="31" t="str">
        <f t="shared" si="129"/>
        <v>1+0.251835089382903i</v>
      </c>
      <c r="AK192" s="31">
        <f t="shared" si="144"/>
        <v>1.0312230177049457</v>
      </c>
      <c r="AL192" s="31">
        <f t="shared" si="145"/>
        <v>0.24670505892651204</v>
      </c>
      <c r="AM192" s="31" t="str">
        <f t="shared" si="130"/>
        <v>1+1.61594182354029i</v>
      </c>
      <c r="AN192" s="31">
        <f t="shared" si="146"/>
        <v>1.9003336488803007</v>
      </c>
      <c r="AO192" s="31">
        <f t="shared" si="147"/>
        <v>1.0166431661677211</v>
      </c>
      <c r="AP192" s="58" t="str">
        <f t="shared" si="148"/>
        <v>-8.59284792428374+8.86273369885979i</v>
      </c>
      <c r="AQ192" s="49">
        <f t="shared" si="149"/>
        <v>21.82942458968661</v>
      </c>
      <c r="AR192" s="61">
        <f t="shared" si="150"/>
        <v>134.11420403121224</v>
      </c>
      <c r="AS192" s="58" t="str">
        <f t="shared" si="151"/>
        <v>80.1177194143406+62.2812203413255i</v>
      </c>
      <c r="AT192" s="64">
        <f t="shared" si="152"/>
        <v>40.127444263570013</v>
      </c>
      <c r="AU192" s="61">
        <f t="shared" si="153"/>
        <v>37.860471738130364</v>
      </c>
    </row>
    <row r="193" spans="14:47" x14ac:dyDescent="0.35">
      <c r="N193" s="10">
        <v>75</v>
      </c>
      <c r="O193" s="50">
        <f t="shared" si="154"/>
        <v>562.34132519034927</v>
      </c>
      <c r="P193" s="48" t="str">
        <f t="shared" si="122"/>
        <v>547.187404092767</v>
      </c>
      <c r="Q193" s="17" t="str">
        <f t="shared" si="123"/>
        <v>1+67.7626965549269i</v>
      </c>
      <c r="R193" s="17">
        <f t="shared" si="131"/>
        <v>67.770074844248938</v>
      </c>
      <c r="S193" s="17">
        <f t="shared" si="132"/>
        <v>1.5560400159206347</v>
      </c>
      <c r="T193" s="17" t="str">
        <f t="shared" si="124"/>
        <v>1+0.00128220150160789i</v>
      </c>
      <c r="U193" s="17">
        <f t="shared" si="133"/>
        <v>1.0000008220200074</v>
      </c>
      <c r="V193" s="17">
        <f t="shared" si="134"/>
        <v>1.2822007989447689E-3</v>
      </c>
      <c r="W193" s="31" t="str">
        <f t="shared" si="125"/>
        <v>1-0.0222657469767116i</v>
      </c>
      <c r="X193" s="17">
        <f t="shared" si="135"/>
        <v>1.000247851029149</v>
      </c>
      <c r="Y193" s="17">
        <f t="shared" si="136"/>
        <v>-2.2262068556027723E-2</v>
      </c>
      <c r="Z193" s="31" t="str">
        <f t="shared" si="126"/>
        <v>0.999895461895532+0.106534167326361i</v>
      </c>
      <c r="AA193" s="17">
        <f t="shared" si="137"/>
        <v>1.0055548038407456</v>
      </c>
      <c r="AB193" s="17">
        <f t="shared" si="138"/>
        <v>0.10614486534760975</v>
      </c>
      <c r="AC193" s="66" t="str">
        <f t="shared" si="139"/>
        <v>-0.900596624685933-7.9809158343317i</v>
      </c>
      <c r="AD193" s="64">
        <f t="shared" si="140"/>
        <v>18.096007305334346</v>
      </c>
      <c r="AE193" s="61">
        <f t="shared" si="141"/>
        <v>-96.438236344347686</v>
      </c>
      <c r="AF193" s="31" t="str">
        <f t="shared" si="127"/>
        <v>-0.000106860158311346</v>
      </c>
      <c r="AG193" s="31" t="str">
        <f t="shared" si="128"/>
        <v>0.0000163238217544983i</v>
      </c>
      <c r="AH193" s="31">
        <f t="shared" si="142"/>
        <v>1.63238217544983E-5</v>
      </c>
      <c r="AI193" s="31">
        <f t="shared" si="143"/>
        <v>1.5707963267948966</v>
      </c>
      <c r="AJ193" s="31" t="str">
        <f t="shared" si="129"/>
        <v>1+0.257701082175921i</v>
      </c>
      <c r="AK193" s="31">
        <f t="shared" si="144"/>
        <v>1.0326712195828065</v>
      </c>
      <c r="AL193" s="31">
        <f t="shared" si="145"/>
        <v>0.25221350433444689</v>
      </c>
      <c r="AM193" s="31" t="str">
        <f t="shared" si="130"/>
        <v>1+1.65358194396216i</v>
      </c>
      <c r="AN193" s="31">
        <f t="shared" si="146"/>
        <v>1.9324423006645441</v>
      </c>
      <c r="AO193" s="31">
        <f t="shared" si="147"/>
        <v>1.0268931272143973</v>
      </c>
      <c r="AP193" s="58" t="str">
        <f t="shared" si="148"/>
        <v>-8.56876387409585+8.75445056096816i</v>
      </c>
      <c r="AQ193" s="49">
        <f t="shared" si="149"/>
        <v>21.762768627767933</v>
      </c>
      <c r="AR193" s="61">
        <f t="shared" si="150"/>
        <v>134.38587286580747</v>
      </c>
      <c r="AS193" s="58" t="str">
        <f t="shared" si="151"/>
        <v>77.5855329256463+60.5023546572332i</v>
      </c>
      <c r="AT193" s="64">
        <f t="shared" si="152"/>
        <v>39.85877593310228</v>
      </c>
      <c r="AU193" s="61">
        <f t="shared" si="153"/>
        <v>37.947636521459756</v>
      </c>
    </row>
    <row r="194" spans="14:47" x14ac:dyDescent="0.35">
      <c r="N194" s="10">
        <v>76</v>
      </c>
      <c r="O194" s="50">
        <f t="shared" si="154"/>
        <v>575.43993733715706</v>
      </c>
      <c r="P194" s="48" t="str">
        <f t="shared" si="122"/>
        <v>547.187404092767</v>
      </c>
      <c r="Q194" s="17" t="str">
        <f t="shared" si="123"/>
        <v>1+69.341092522704i</v>
      </c>
      <c r="R194" s="17">
        <f t="shared" si="131"/>
        <v>69.348302879322134</v>
      </c>
      <c r="S194" s="17">
        <f t="shared" si="132"/>
        <v>1.5563758634581817</v>
      </c>
      <c r="T194" s="17" t="str">
        <f t="shared" si="124"/>
        <v>1+0.00131206781128722i</v>
      </c>
      <c r="U194" s="17">
        <f t="shared" si="133"/>
        <v>1.0000008607606004</v>
      </c>
      <c r="V194" s="17">
        <f t="shared" si="134"/>
        <v>1.3120670583701558E-3</v>
      </c>
      <c r="W194" s="31" t="str">
        <f t="shared" si="125"/>
        <v>1-0.0227843828491653i</v>
      </c>
      <c r="X194" s="17">
        <f t="shared" si="135"/>
        <v>1.0002595303729014</v>
      </c>
      <c r="Y194" s="17">
        <f t="shared" si="136"/>
        <v>-2.2780441405621091E-2</v>
      </c>
      <c r="Z194" s="31" t="str">
        <f t="shared" si="126"/>
        <v>0.999890535166452+0.10901566686353i</v>
      </c>
      <c r="AA194" s="17">
        <f t="shared" si="137"/>
        <v>1.0058158369886379</v>
      </c>
      <c r="AB194" s="17">
        <f t="shared" si="138"/>
        <v>0.10859865242580824</v>
      </c>
      <c r="AC194" s="66" t="str">
        <f t="shared" si="139"/>
        <v>-0.9054388080264-7.79442720094513i</v>
      </c>
      <c r="AD194" s="64">
        <f t="shared" si="140"/>
        <v>17.893897133258683</v>
      </c>
      <c r="AE194" s="61">
        <f t="shared" si="141"/>
        <v>-96.626060000094469</v>
      </c>
      <c r="AF194" s="31" t="str">
        <f t="shared" si="127"/>
        <v>-0.000106860158311346</v>
      </c>
      <c r="AG194" s="31" t="str">
        <f t="shared" si="128"/>
        <v>0.0000167040524086182i</v>
      </c>
      <c r="AH194" s="31">
        <f t="shared" si="142"/>
        <v>1.6704052408618201E-5</v>
      </c>
      <c r="AI194" s="31">
        <f t="shared" si="143"/>
        <v>1.5707963267948966</v>
      </c>
      <c r="AJ194" s="31" t="str">
        <f t="shared" si="129"/>
        <v>1+0.263703711493787i</v>
      </c>
      <c r="AK194" s="31">
        <f t="shared" si="144"/>
        <v>1.0341854995384525</v>
      </c>
      <c r="AL194" s="31">
        <f t="shared" si="145"/>
        <v>0.25783411229420528</v>
      </c>
      <c r="AM194" s="31" t="str">
        <f t="shared" si="130"/>
        <v>1+1.69209881541846i</v>
      </c>
      <c r="AN194" s="31">
        <f t="shared" si="146"/>
        <v>1.9655020735528506</v>
      </c>
      <c r="AO194" s="31">
        <f t="shared" si="147"/>
        <v>1.037034071719295</v>
      </c>
      <c r="AP194" s="58" t="str">
        <f t="shared" si="148"/>
        <v>-8.54368905365834+8.65026203436022i</v>
      </c>
      <c r="AQ194" s="49">
        <f t="shared" si="149"/>
        <v>21.697380629674186</v>
      </c>
      <c r="AR194" s="61">
        <f t="shared" si="150"/>
        <v>134.64486907182263</v>
      </c>
      <c r="AS194" s="58" t="str">
        <f t="shared" si="151"/>
        <v>75.1596253288129+58.7608794107446i</v>
      </c>
      <c r="AT194" s="64">
        <f t="shared" si="152"/>
        <v>39.591277762932876</v>
      </c>
      <c r="AU194" s="61">
        <f t="shared" si="153"/>
        <v>38.018809071728157</v>
      </c>
    </row>
    <row r="195" spans="14:47" x14ac:dyDescent="0.35">
      <c r="N195" s="10">
        <v>77</v>
      </c>
      <c r="O195" s="50">
        <f t="shared" si="154"/>
        <v>588.84365535558959</v>
      </c>
      <c r="P195" s="48" t="str">
        <f t="shared" si="122"/>
        <v>547.187404092767</v>
      </c>
      <c r="Q195" s="17" t="str">
        <f t="shared" si="123"/>
        <v>1+70.9562540555744i</v>
      </c>
      <c r="R195" s="17">
        <f t="shared" si="131"/>
        <v>70.963300300924701</v>
      </c>
      <c r="S195" s="17">
        <f t="shared" si="132"/>
        <v>1.5567040693160827</v>
      </c>
      <c r="T195" s="17" t="str">
        <f t="shared" si="124"/>
        <v>1+0.00134262979668736i</v>
      </c>
      <c r="U195" s="17">
        <f t="shared" si="133"/>
        <v>1.0000009013269793</v>
      </c>
      <c r="V195" s="17">
        <f t="shared" si="134"/>
        <v>1.3426289899222299E-3</v>
      </c>
      <c r="W195" s="31" t="str">
        <f t="shared" si="125"/>
        <v>1-0.0233150993029927i</v>
      </c>
      <c r="X195" s="17">
        <f t="shared" si="135"/>
        <v>1.0002717600010052</v>
      </c>
      <c r="Y195" s="17">
        <f t="shared" si="136"/>
        <v>-2.331087603211305E-2</v>
      </c>
      <c r="Z195" s="31" t="str">
        <f t="shared" si="126"/>
        <v>0.999885376247784+0.111554967950264i</v>
      </c>
      <c r="AA195" s="17">
        <f t="shared" si="137"/>
        <v>1.0060890996867806</v>
      </c>
      <c r="AB195" s="17">
        <f t="shared" si="138"/>
        <v>0.11110827484734086</v>
      </c>
      <c r="AC195" s="66" t="str">
        <f t="shared" si="139"/>
        <v>-0.910015001785656-7.61206962480555i</v>
      </c>
      <c r="AD195" s="64">
        <f t="shared" si="140"/>
        <v>17.69168484192301</v>
      </c>
      <c r="AE195" s="61">
        <f t="shared" si="141"/>
        <v>-96.817296179202771</v>
      </c>
      <c r="AF195" s="31" t="str">
        <f t="shared" si="127"/>
        <v>-0.000106860158311346</v>
      </c>
      <c r="AG195" s="31" t="str">
        <f t="shared" si="128"/>
        <v>0.0000170931397724295i</v>
      </c>
      <c r="AH195" s="31">
        <f t="shared" si="142"/>
        <v>1.7093139772429501E-5</v>
      </c>
      <c r="AI195" s="31">
        <f t="shared" si="143"/>
        <v>1.5707963267948966</v>
      </c>
      <c r="AJ195" s="31" t="str">
        <f t="shared" si="129"/>
        <v>1+0.269846160010018i</v>
      </c>
      <c r="AK195" s="31">
        <f t="shared" si="144"/>
        <v>1.0357687724932396</v>
      </c>
      <c r="AL195" s="31">
        <f t="shared" si="145"/>
        <v>0.26356844183947004</v>
      </c>
      <c r="AM195" s="31" t="str">
        <f t="shared" si="130"/>
        <v>1+1.73151286006428i</v>
      </c>
      <c r="AN195" s="31">
        <f t="shared" si="146"/>
        <v>1.9995341418860502</v>
      </c>
      <c r="AO195" s="31">
        <f t="shared" si="147"/>
        <v>1.0470630329868431</v>
      </c>
      <c r="AP195" s="58" t="str">
        <f t="shared" si="148"/>
        <v>-8.51758930338063+8.55007888215506i</v>
      </c>
      <c r="AQ195" s="49">
        <f t="shared" si="149"/>
        <v>21.633199602435166</v>
      </c>
      <c r="AR195" s="61">
        <f t="shared" si="150"/>
        <v>134.89093334407247</v>
      </c>
      <c r="AS195" s="58" t="str">
        <f t="shared" si="151"/>
        <v>72.8349297936693+57.0557827636205i</v>
      </c>
      <c r="AT195" s="64">
        <f t="shared" si="152"/>
        <v>39.324884444358176</v>
      </c>
      <c r="AU195" s="61">
        <f t="shared" si="153"/>
        <v>38.073637164869687</v>
      </c>
    </row>
    <row r="196" spans="14:47" x14ac:dyDescent="0.35">
      <c r="N196" s="10">
        <v>78</v>
      </c>
      <c r="O196" s="50">
        <f t="shared" si="154"/>
        <v>602.55958607435832</v>
      </c>
      <c r="P196" s="48" t="str">
        <f t="shared" si="122"/>
        <v>547.187404092767</v>
      </c>
      <c r="Q196" s="17" t="str">
        <f t="shared" si="123"/>
        <v>1+72.6090375335621i</v>
      </c>
      <c r="R196" s="17">
        <f t="shared" si="131"/>
        <v>72.615923402172811</v>
      </c>
      <c r="S196" s="17">
        <f t="shared" si="132"/>
        <v>1.5570248072304333</v>
      </c>
      <c r="T196" s="17" t="str">
        <f t="shared" si="124"/>
        <v>1+0.0013739036621775i</v>
      </c>
      <c r="U196" s="17">
        <f t="shared" si="133"/>
        <v>1.0000009438051911</v>
      </c>
      <c r="V196" s="17">
        <f t="shared" si="134"/>
        <v>1.3739027977131321E-3</v>
      </c>
      <c r="W196" s="31" t="str">
        <f t="shared" si="125"/>
        <v>1-0.0238581777310823i</v>
      </c>
      <c r="X196" s="17">
        <f t="shared" si="135"/>
        <v>1.0002845658334671</v>
      </c>
      <c r="Y196" s="17">
        <f t="shared" si="136"/>
        <v>-2.3853652484330797E-2</v>
      </c>
      <c r="Z196" s="31" t="str">
        <f t="shared" si="126"/>
        <v>0.99987997419677+0.114153416957609i</v>
      </c>
      <c r="AA196" s="17">
        <f t="shared" si="137"/>
        <v>1.006375161360231</v>
      </c>
      <c r="AB196" s="17">
        <f t="shared" si="138"/>
        <v>0.11367494026650145</v>
      </c>
      <c r="AC196" s="66" t="str">
        <f t="shared" si="139"/>
        <v>-0.91433498157338-7.43374725407397i</v>
      </c>
      <c r="AD196" s="64">
        <f t="shared" si="140"/>
        <v>17.489365914204743</v>
      </c>
      <c r="AE196" s="61">
        <f t="shared" si="141"/>
        <v>-97.012039146700403</v>
      </c>
      <c r="AF196" s="31" t="str">
        <f t="shared" si="127"/>
        <v>-0.000106860158311346</v>
      </c>
      <c r="AG196" s="31" t="str">
        <f t="shared" si="128"/>
        <v>0.0000174912901452025i</v>
      </c>
      <c r="AH196" s="31">
        <f t="shared" si="142"/>
        <v>1.74912901452025E-5</v>
      </c>
      <c r="AI196" s="31">
        <f t="shared" si="143"/>
        <v>1.5707963267948966</v>
      </c>
      <c r="AJ196" s="31" t="str">
        <f t="shared" si="129"/>
        <v>1+0.276131684532123i</v>
      </c>
      <c r="AK196" s="31">
        <f t="shared" si="144"/>
        <v>1.0374240729819932</v>
      </c>
      <c r="AL196" s="31">
        <f t="shared" si="145"/>
        <v>0.26941802429489631</v>
      </c>
      <c r="AM196" s="31" t="str">
        <f t="shared" si="130"/>
        <v>1+1.77184497574778i</v>
      </c>
      <c r="AN196" s="31">
        <f t="shared" si="146"/>
        <v>2.0345600551673702</v>
      </c>
      <c r="AO196" s="31">
        <f t="shared" si="147"/>
        <v>1.056977258220152</v>
      </c>
      <c r="AP196" s="58" t="str">
        <f t="shared" si="148"/>
        <v>-8.49042987672577+8.4538121177311i</v>
      </c>
      <c r="AQ196" s="49">
        <f t="shared" si="149"/>
        <v>21.570163232294767</v>
      </c>
      <c r="AR196" s="61">
        <f t="shared" si="150"/>
        <v>135.12382022047345</v>
      </c>
      <c r="AS196" s="58" t="str">
        <f t="shared" si="151"/>
        <v>70.606599661527+55.3860936351273i</v>
      </c>
      <c r="AT196" s="64">
        <f t="shared" si="152"/>
        <v>39.059529146499507</v>
      </c>
      <c r="AU196" s="61">
        <f t="shared" si="153"/>
        <v>38.111781073773024</v>
      </c>
    </row>
    <row r="197" spans="14:47" x14ac:dyDescent="0.35">
      <c r="N197" s="10">
        <v>79</v>
      </c>
      <c r="O197" s="50">
        <f t="shared" si="154"/>
        <v>616.59500186148273</v>
      </c>
      <c r="P197" s="48" t="str">
        <f t="shared" si="122"/>
        <v>547.187404092767</v>
      </c>
      <c r="Q197" s="17" t="str">
        <f t="shared" si="123"/>
        <v>1+74.3003192843444i</v>
      </c>
      <c r="R197" s="17">
        <f t="shared" si="131"/>
        <v>74.307048425808986</v>
      </c>
      <c r="S197" s="17">
        <f t="shared" si="132"/>
        <v>1.5573382469966077</v>
      </c>
      <c r="T197" s="17" t="str">
        <f t="shared" si="124"/>
        <v>1+0.00140590598957511i</v>
      </c>
      <c r="U197" s="17">
        <f t="shared" si="133"/>
        <v>1.0000009882853373</v>
      </c>
      <c r="V197" s="17">
        <f t="shared" si="134"/>
        <v>1.4059050632849006E-3</v>
      </c>
      <c r="W197" s="31" t="str">
        <f t="shared" si="125"/>
        <v>1-0.0244139060808053i</v>
      </c>
      <c r="X197" s="17">
        <f t="shared" si="135"/>
        <v>1.0002979750105079</v>
      </c>
      <c r="Y197" s="17">
        <f t="shared" si="136"/>
        <v>-2.4409057269558079E-2</v>
      </c>
      <c r="Z197" s="31" t="str">
        <f t="shared" si="126"/>
        <v>0.999874317554935+0.116812391617625i</v>
      </c>
      <c r="AA197" s="17">
        <f t="shared" si="137"/>
        <v>1.0066746176105645</v>
      </c>
      <c r="AB197" s="17">
        <f t="shared" si="138"/>
        <v>0.11629987800678612</v>
      </c>
      <c r="AC197" s="66" t="str">
        <f t="shared" si="139"/>
        <v>-0.918407988429618-7.25936637084397i</v>
      </c>
      <c r="AD197" s="64">
        <f t="shared" si="140"/>
        <v>17.286935623441916</v>
      </c>
      <c r="AE197" s="61">
        <f t="shared" si="141"/>
        <v>-97.210384531799463</v>
      </c>
      <c r="AF197" s="31" t="str">
        <f t="shared" si="127"/>
        <v>-0.000106860158311346</v>
      </c>
      <c r="AG197" s="31" t="str">
        <f t="shared" si="128"/>
        <v>0.0000178987146315351i</v>
      </c>
      <c r="AH197" s="31">
        <f t="shared" si="142"/>
        <v>1.7898714631535101E-5</v>
      </c>
      <c r="AI197" s="31">
        <f t="shared" si="143"/>
        <v>1.5707963267948966</v>
      </c>
      <c r="AJ197" s="31" t="str">
        <f t="shared" si="129"/>
        <v>1+0.282563617728401i</v>
      </c>
      <c r="AK197" s="31">
        <f t="shared" si="144"/>
        <v>1.0391545592758384</v>
      </c>
      <c r="AL197" s="31">
        <f t="shared" si="145"/>
        <v>0.2753843592706805</v>
      </c>
      <c r="AM197" s="31" t="str">
        <f t="shared" si="130"/>
        <v>1+1.81311654709057i</v>
      </c>
      <c r="AN197" s="31">
        <f t="shared" si="146"/>
        <v>2.070601751504531</v>
      </c>
      <c r="AO197" s="31">
        <f t="shared" si="147"/>
        <v>1.0667742075254312</v>
      </c>
      <c r="AP197" s="58" t="str">
        <f t="shared" si="148"/>
        <v>-8.46217548712657+8.3613728808404i</v>
      </c>
      <c r="AQ197" s="49">
        <f t="shared" si="149"/>
        <v>21.508207979246379</v>
      </c>
      <c r="AR197" s="61">
        <f t="shared" si="150"/>
        <v>135.34329825449586</v>
      </c>
      <c r="AS197" s="58" t="str">
        <f t="shared" si="151"/>
        <v>68.4699986721299+53.7508805074242i</v>
      </c>
      <c r="AT197" s="64">
        <f t="shared" si="152"/>
        <v>38.795143602688292</v>
      </c>
      <c r="AU197" s="61">
        <f t="shared" si="153"/>
        <v>38.132913722696387</v>
      </c>
    </row>
    <row r="198" spans="14:47" x14ac:dyDescent="0.35">
      <c r="N198" s="10">
        <v>80</v>
      </c>
      <c r="O198" s="50">
        <f t="shared" si="154"/>
        <v>630.95734448019323</v>
      </c>
      <c r="P198" s="48" t="str">
        <f t="shared" si="122"/>
        <v>547.187404092767</v>
      </c>
      <c r="Q198" s="17" t="str">
        <f t="shared" si="123"/>
        <v>1+76.0309960478921i</v>
      </c>
      <c r="R198" s="17">
        <f t="shared" si="131"/>
        <v>76.037572028797612</v>
      </c>
      <c r="S198" s="17">
        <f t="shared" si="132"/>
        <v>1.5576445545580277</v>
      </c>
      <c r="T198" s="17" t="str">
        <f t="shared" si="124"/>
        <v>1+0.00143865374693774i</v>
      </c>
      <c r="U198" s="17">
        <f t="shared" si="133"/>
        <v>1.0000010348617663</v>
      </c>
      <c r="V198" s="17">
        <f t="shared" si="134"/>
        <v>1.4386527543999539E-3</v>
      </c>
      <c r="W198" s="31" t="str">
        <f t="shared" si="125"/>
        <v>1-0.0249825790066885i</v>
      </c>
      <c r="X198" s="17">
        <f t="shared" si="135"/>
        <v>1.0003120159499361</v>
      </c>
      <c r="Y198" s="17">
        <f t="shared" si="136"/>
        <v>-2.497738349935261E-2</v>
      </c>
      <c r="Z198" s="31" t="str">
        <f t="shared" si="126"/>
        <v>0.999868394323784+0.11953330175387i</v>
      </c>
      <c r="AA198" s="17">
        <f t="shared" si="137"/>
        <v>1.0069880913872835</v>
      </c>
      <c r="AB198" s="17">
        <f t="shared" si="138"/>
        <v>0.11898433912560855</v>
      </c>
      <c r="AC198" s="66" t="str">
        <f t="shared" si="139"/>
        <v>-0.922242749039969-7.08883534520868i</v>
      </c>
      <c r="AD198" s="64">
        <f t="shared" si="140"/>
        <v>17.084389024971202</v>
      </c>
      <c r="AE198" s="61">
        <f t="shared" si="141"/>
        <v>-97.41242934454138</v>
      </c>
      <c r="AF198" s="31" t="str">
        <f t="shared" si="127"/>
        <v>-0.000106860158311346</v>
      </c>
      <c r="AG198" s="31" t="str">
        <f t="shared" si="128"/>
        <v>0.0000183156292532829i</v>
      </c>
      <c r="AH198" s="31">
        <f t="shared" si="142"/>
        <v>1.8315629253282899E-5</v>
      </c>
      <c r="AI198" s="31">
        <f t="shared" si="143"/>
        <v>1.5707963267948966</v>
      </c>
      <c r="AJ198" s="31" t="str">
        <f t="shared" si="129"/>
        <v>1+0.289145369894971i</v>
      </c>
      <c r="AK198" s="31">
        <f t="shared" si="144"/>
        <v>1.0409635175796026</v>
      </c>
      <c r="AL198" s="31">
        <f t="shared" si="145"/>
        <v>0.28146891044680011</v>
      </c>
      <c r="AM198" s="31" t="str">
        <f t="shared" si="130"/>
        <v>1+1.85534945682606i</v>
      </c>
      <c r="AN198" s="31">
        <f t="shared" si="146"/>
        <v>2.1076815715246826</v>
      </c>
      <c r="AO198" s="31">
        <f t="shared" si="147"/>
        <v>1.076451552158165</v>
      </c>
      <c r="AP198" s="58" t="str">
        <f t="shared" si="148"/>
        <v>-8.43279036135901+8.27267231366294i</v>
      </c>
      <c r="AQ198" s="49">
        <f t="shared" si="149"/>
        <v>21.44726916952882</v>
      </c>
      <c r="AR198" s="61">
        <f t="shared" si="150"/>
        <v>135.54915015622208</v>
      </c>
      <c r="AS198" s="58" t="str">
        <f t="shared" si="151"/>
        <v>66.4206916613606+52.1492503158775i</v>
      </c>
      <c r="AT198" s="64">
        <f t="shared" si="152"/>
        <v>38.531658194500025</v>
      </c>
      <c r="AU198" s="61">
        <f t="shared" si="153"/>
        <v>38.136720811680725</v>
      </c>
    </row>
    <row r="199" spans="14:47" x14ac:dyDescent="0.35">
      <c r="N199" s="10">
        <v>81</v>
      </c>
      <c r="O199" s="50">
        <f t="shared" si="154"/>
        <v>645.65422903465594</v>
      </c>
      <c r="P199" s="48" t="str">
        <f t="shared" si="122"/>
        <v>547.187404092767</v>
      </c>
      <c r="Q199" s="17" t="str">
        <f t="shared" si="123"/>
        <v>1+77.8019854519336i</v>
      </c>
      <c r="R199" s="17">
        <f t="shared" si="131"/>
        <v>77.808411757745631</v>
      </c>
      <c r="S199" s="17">
        <f t="shared" si="132"/>
        <v>1.5579438920929722</v>
      </c>
      <c r="T199" s="17" t="str">
        <f t="shared" si="124"/>
        <v>1+0.00147216429755984i</v>
      </c>
      <c r="U199" s="17">
        <f t="shared" si="133"/>
        <v>1.0000010836332724</v>
      </c>
      <c r="V199" s="17">
        <f t="shared" si="134"/>
        <v>1.4721632340365034E-3</v>
      </c>
      <c r="W199" s="31" t="str">
        <f t="shared" si="125"/>
        <v>1-0.0255644980266446i</v>
      </c>
      <c r="X199" s="17">
        <f t="shared" si="135"/>
        <v>1.0003267184072182</v>
      </c>
      <c r="Y199" s="17">
        <f t="shared" si="136"/>
        <v>-2.5558931038432035E-2</v>
      </c>
      <c r="Z199" s="31" t="str">
        <f t="shared" si="126"/>
        <v>0.999862191939349+0.122317590028916i</v>
      </c>
      <c r="AA199" s="17">
        <f t="shared" si="137"/>
        <v>1.007316234208623</v>
      </c>
      <c r="AB199" s="17">
        <f t="shared" si="138"/>
        <v>0.12172959645167518</v>
      </c>
      <c r="AC199" s="66" t="str">
        <f t="shared" si="139"/>
        <v>-0.925847494933861-6.92206459040237i</v>
      </c>
      <c r="AD199" s="64">
        <f t="shared" si="140"/>
        <v>16.881720947348487</v>
      </c>
      <c r="AE199" s="61">
        <f t="shared" si="141"/>
        <v>-97.618271990927369</v>
      </c>
      <c r="AF199" s="31" t="str">
        <f t="shared" si="127"/>
        <v>-0.000106860158311346</v>
      </c>
      <c r="AG199" s="31" t="str">
        <f t="shared" si="128"/>
        <v>0.0000187422550640968i</v>
      </c>
      <c r="AH199" s="31">
        <f t="shared" si="142"/>
        <v>1.8742255064096801E-5</v>
      </c>
      <c r="AI199" s="31">
        <f t="shared" si="143"/>
        <v>1.5707963267948966</v>
      </c>
      <c r="AJ199" s="31" t="str">
        <f t="shared" si="129"/>
        <v>1+0.29588043076395i</v>
      </c>
      <c r="AK199" s="31">
        <f t="shared" si="144"/>
        <v>1.0428543662990823</v>
      </c>
      <c r="AL199" s="31">
        <f t="shared" si="145"/>
        <v>0.28767310114485561</v>
      </c>
      <c r="AM199" s="31" t="str">
        <f t="shared" si="130"/>
        <v>1+1.89856609740201i</v>
      </c>
      <c r="AN199" s="31">
        <f t="shared" si="146"/>
        <v>2.145822272744017</v>
      </c>
      <c r="AO199" s="31">
        <f t="shared" si="147"/>
        <v>1.0860071720616415</v>
      </c>
      <c r="AP199" s="58" t="str">
        <f t="shared" si="148"/>
        <v>-8.40223829975831+8.18762143714509i</v>
      </c>
      <c r="AQ199" s="49">
        <f t="shared" si="149"/>
        <v>21.387281085824053</v>
      </c>
      <c r="AR199" s="61">
        <f t="shared" si="150"/>
        <v>135.74117290502963</v>
      </c>
      <c r="AS199" s="58" t="str">
        <f t="shared" si="151"/>
        <v>64.45443571135+50.5803474178321i</v>
      </c>
      <c r="AT199" s="64">
        <f t="shared" si="152"/>
        <v>38.269002033172548</v>
      </c>
      <c r="AU199" s="61">
        <f t="shared" si="153"/>
        <v>38.122900914102253</v>
      </c>
    </row>
    <row r="200" spans="14:47" x14ac:dyDescent="0.35">
      <c r="N200" s="10">
        <v>82</v>
      </c>
      <c r="O200" s="50">
        <f t="shared" si="154"/>
        <v>660.69344800759643</v>
      </c>
      <c r="P200" s="48" t="str">
        <f t="shared" si="122"/>
        <v>547.187404092767</v>
      </c>
      <c r="Q200" s="17" t="str">
        <f t="shared" si="123"/>
        <v>1+79.614226498493i</v>
      </c>
      <c r="R200" s="17">
        <f t="shared" si="131"/>
        <v>79.620506535397922</v>
      </c>
      <c r="S200" s="17">
        <f t="shared" si="132"/>
        <v>1.558236418099469</v>
      </c>
      <c r="T200" s="17" t="str">
        <f t="shared" si="124"/>
        <v>1+0.00150645540917891i</v>
      </c>
      <c r="U200" s="17">
        <f t="shared" si="133"/>
        <v>1.0000011347033062</v>
      </c>
      <c r="V200" s="17">
        <f t="shared" si="134"/>
        <v>1.506454269593193E-3</v>
      </c>
      <c r="W200" s="31" t="str">
        <f t="shared" si="125"/>
        <v>1-0.0261599716818406i</v>
      </c>
      <c r="X200" s="17">
        <f t="shared" si="135"/>
        <v>1.0003421135383608</v>
      </c>
      <c r="Y200" s="17">
        <f t="shared" si="136"/>
        <v>-2.6154006656674427E-2</v>
      </c>
      <c r="Z200" s="31" t="str">
        <f t="shared" si="126"/>
        <v>0.99985569724554+0.12516673270926i</v>
      </c>
      <c r="AA200" s="17">
        <f t="shared" si="137"/>
        <v>1.0076597274335601</v>
      </c>
      <c r="AB200" s="17">
        <f t="shared" si="138"/>
        <v>0.12453694459258866</v>
      </c>
      <c r="AC200" s="66" t="str">
        <f t="shared" si="139"/>
        <v>-0.929229980711268-6.75896651900779i</v>
      </c>
      <c r="AD200" s="64">
        <f t="shared" si="140"/>
        <v>16.678925983246454</v>
      </c>
      <c r="AE200" s="61">
        <f t="shared" si="141"/>
        <v>-97.828012286399598</v>
      </c>
      <c r="AF200" s="31" t="str">
        <f t="shared" si="127"/>
        <v>-0.000106860158311346</v>
      </c>
      <c r="AG200" s="31" t="str">
        <f t="shared" si="128"/>
        <v>0.0000191788182666287i</v>
      </c>
      <c r="AH200" s="31">
        <f t="shared" si="142"/>
        <v>1.9178818266628698E-5</v>
      </c>
      <c r="AI200" s="31">
        <f t="shared" si="143"/>
        <v>1.5707963267948966</v>
      </c>
      <c r="AJ200" s="31" t="str">
        <f t="shared" si="129"/>
        <v>1+0.302772371353761i</v>
      </c>
      <c r="AK200" s="31">
        <f t="shared" si="144"/>
        <v>1.0448306603728568</v>
      </c>
      <c r="AL200" s="31">
        <f t="shared" si="145"/>
        <v>0.293998309686471</v>
      </c>
      <c r="AM200" s="31" t="str">
        <f t="shared" si="130"/>
        <v>1+1.9427893828533i</v>
      </c>
      <c r="AN200" s="31">
        <f t="shared" si="146"/>
        <v>2.1850470443739893</v>
      </c>
      <c r="AO200" s="31">
        <f t="shared" si="147"/>
        <v>1.0954391527505747</v>
      </c>
      <c r="AP200" s="58" t="str">
        <f t="shared" si="148"/>
        <v>-8.37048274365596+8.10613102801705i</v>
      </c>
      <c r="AQ200" s="49">
        <f t="shared" si="149"/>
        <v>21.328177054958797</v>
      </c>
      <c r="AR200" s="61">
        <f t="shared" si="150"/>
        <v>135.91917783697969</v>
      </c>
      <c r="AS200" s="58" t="str">
        <f t="shared" si="151"/>
        <v>62.5671717354889+49.0433526334958i</v>
      </c>
      <c r="AT200" s="64">
        <f t="shared" si="152"/>
        <v>38.007103038205251</v>
      </c>
      <c r="AU200" s="61">
        <f t="shared" si="153"/>
        <v>38.091165550580072</v>
      </c>
    </row>
    <row r="201" spans="14:47" x14ac:dyDescent="0.35">
      <c r="N201" s="10">
        <v>83</v>
      </c>
      <c r="O201" s="50">
        <f t="shared" si="154"/>
        <v>676.08297539198213</v>
      </c>
      <c r="P201" s="48" t="str">
        <f t="shared" si="122"/>
        <v>547.187404092767</v>
      </c>
      <c r="Q201" s="17" t="str">
        <f t="shared" si="123"/>
        <v>1+81.4686800617606i</v>
      </c>
      <c r="R201" s="17">
        <f t="shared" si="131"/>
        <v>81.474817158466266</v>
      </c>
      <c r="S201" s="17">
        <f t="shared" si="132"/>
        <v>1.5585222874783085</v>
      </c>
      <c r="T201" s="17" t="str">
        <f t="shared" si="124"/>
        <v>1+0.00154154526339621i</v>
      </c>
      <c r="U201" s="17">
        <f t="shared" si="133"/>
        <v>1.0000011881801936</v>
      </c>
      <c r="V201" s="17">
        <f t="shared" si="134"/>
        <v>1.5415440423081927E-3</v>
      </c>
      <c r="W201" s="31" t="str">
        <f t="shared" si="125"/>
        <v>1-0.0267693157002905i</v>
      </c>
      <c r="X201" s="17">
        <f t="shared" si="135"/>
        <v>1.0003582339657437</v>
      </c>
      <c r="Y201" s="17">
        <f t="shared" si="136"/>
        <v>-2.6762924184282232E-2</v>
      </c>
      <c r="Z201" s="31" t="str">
        <f t="shared" si="126"/>
        <v>0.999848896466243+0.128082240448064i</v>
      </c>
      <c r="AA201" s="17">
        <f t="shared" si="137"/>
        <v>1.0080192835868564</v>
      </c>
      <c r="AB201" s="17">
        <f t="shared" si="138"/>
        <v>0.12740769991016163</v>
      </c>
      <c r="AC201" s="66" t="str">
        <f t="shared" si="139"/>
        <v>-0.932397501342174-6.59945550022074i</v>
      </c>
      <c r="AD201" s="64">
        <f t="shared" si="140"/>
        <v>16.475998480024298</v>
      </c>
      <c r="AE201" s="61">
        <f t="shared" si="141"/>
        <v>-98.041751467533615</v>
      </c>
      <c r="AF201" s="31" t="str">
        <f t="shared" si="127"/>
        <v>-0.000106860158311346</v>
      </c>
      <c r="AG201" s="31" t="str">
        <f t="shared" si="128"/>
        <v>0.0000196255503324673i</v>
      </c>
      <c r="AH201" s="31">
        <f t="shared" si="142"/>
        <v>1.96255503324673E-5</v>
      </c>
      <c r="AI201" s="31">
        <f t="shared" si="143"/>
        <v>1.5707963267948966</v>
      </c>
      <c r="AJ201" s="31" t="str">
        <f t="shared" si="129"/>
        <v>1+0.30982484586253i</v>
      </c>
      <c r="AK201" s="31">
        <f t="shared" si="144"/>
        <v>1.0468960956626692</v>
      </c>
      <c r="AL201" s="31">
        <f t="shared" si="145"/>
        <v>0.3004458645382776</v>
      </c>
      <c r="AM201" s="31" t="str">
        <f t="shared" si="130"/>
        <v>1+1.98804276095123i</v>
      </c>
      <c r="AN201" s="31">
        <f t="shared" si="146"/>
        <v>2.2253795225467923</v>
      </c>
      <c r="AO201" s="31">
        <f t="shared" si="147"/>
        <v>1.1047457815941351</v>
      </c>
      <c r="AP201" s="58" t="str">
        <f t="shared" si="148"/>
        <v>-8.33748685040747+8.02811149693627i</v>
      </c>
      <c r="AQ201" s="49">
        <f t="shared" si="149"/>
        <v>21.269889532973878</v>
      </c>
      <c r="AR201" s="61">
        <f t="shared" si="150"/>
        <v>136.08299071002281</v>
      </c>
      <c r="AS201" s="58" t="str">
        <f t="shared" si="151"/>
        <v>60.7550164816346+47.5374823526999i</v>
      </c>
      <c r="AT201" s="64">
        <f t="shared" si="152"/>
        <v>37.745888012998179</v>
      </c>
      <c r="AU201" s="61">
        <f t="shared" si="153"/>
        <v>38.041239242489176</v>
      </c>
    </row>
    <row r="202" spans="14:47" x14ac:dyDescent="0.35">
      <c r="N202" s="10">
        <v>84</v>
      </c>
      <c r="O202" s="50">
        <f t="shared" si="154"/>
        <v>691.83097091893671</v>
      </c>
      <c r="P202" s="48" t="str">
        <f t="shared" si="122"/>
        <v>547.187404092767</v>
      </c>
      <c r="Q202" s="17" t="str">
        <f t="shared" si="123"/>
        <v>1+83.3663293975623i</v>
      </c>
      <c r="R202" s="17">
        <f t="shared" si="131"/>
        <v>83.37232680705786</v>
      </c>
      <c r="S202" s="17">
        <f t="shared" si="132"/>
        <v>1.5588016516142194</v>
      </c>
      <c r="T202" s="17" t="str">
        <f t="shared" si="124"/>
        <v>1+0.00157745246531693i</v>
      </c>
      <c r="U202" s="17">
        <f t="shared" si="133"/>
        <v>1.0000012441773662</v>
      </c>
      <c r="V202" s="17">
        <f t="shared" si="134"/>
        <v>1.5774511568976339E-3</v>
      </c>
      <c r="W202" s="31" t="str">
        <f t="shared" si="125"/>
        <v>1-0.0273928531642584i</v>
      </c>
      <c r="X202" s="17">
        <f t="shared" si="135"/>
        <v>1.0003751138470403</v>
      </c>
      <c r="Y202" s="17">
        <f t="shared" si="136"/>
        <v>-2.7386004670155915E-2</v>
      </c>
      <c r="Z202" s="31" t="str">
        <f t="shared" si="126"/>
        <v>0.999841775176092+0.131065659086123i</v>
      </c>
      <c r="AA202" s="17">
        <f t="shared" si="137"/>
        <v>1.0083956477390006</v>
      </c>
      <c r="AB202" s="17">
        <f t="shared" si="138"/>
        <v>0.13034320046072836</v>
      </c>
      <c r="AC202" s="66" t="str">
        <f t="shared" si="139"/>
        <v>-0.935356908581304-6.44344781816307i</v>
      </c>
      <c r="AD202" s="64">
        <f t="shared" si="140"/>
        <v>16.272932529964617</v>
      </c>
      <c r="AE202" s="61">
        <f t="shared" si="141"/>
        <v>-98.259592201791492</v>
      </c>
      <c r="AF202" s="31" t="str">
        <f t="shared" si="127"/>
        <v>-0.000106860158311346</v>
      </c>
      <c r="AG202" s="31" t="str">
        <f t="shared" si="128"/>
        <v>0.000020082688124867i</v>
      </c>
      <c r="AH202" s="31">
        <f t="shared" si="142"/>
        <v>2.0082688124866999E-5</v>
      </c>
      <c r="AI202" s="31">
        <f t="shared" si="143"/>
        <v>1.5707963267948966</v>
      </c>
      <c r="AJ202" s="31" t="str">
        <f t="shared" si="129"/>
        <v>1+0.317041593605591i</v>
      </c>
      <c r="AK202" s="31">
        <f t="shared" si="144"/>
        <v>1.0490545133957399</v>
      </c>
      <c r="AL202" s="31">
        <f t="shared" si="145"/>
        <v>0.30701703924478868</v>
      </c>
      <c r="AM202" s="31" t="str">
        <f t="shared" si="130"/>
        <v>1+2.03435022563587i</v>
      </c>
      <c r="AN202" s="31">
        <f t="shared" si="146"/>
        <v>2.2668438059435663</v>
      </c>
      <c r="AO202" s="31">
        <f t="shared" si="147"/>
        <v>1.1139255435535869</v>
      </c>
      <c r="AP202" s="58" t="str">
        <f t="shared" si="148"/>
        <v>-8.30321357636536+7.95347276825918i</v>
      </c>
      <c r="AQ202" s="49">
        <f t="shared" si="149"/>
        <v>21.212350187484851</v>
      </c>
      <c r="AR202" s="61">
        <f t="shared" si="150"/>
        <v>136.23245175010791</v>
      </c>
      <c r="AS202" s="58" t="str">
        <f t="shared" si="151"/>
        <v>59.0142549375384+46.0619877013689i</v>
      </c>
      <c r="AT202" s="64">
        <f t="shared" si="152"/>
        <v>37.485282717449465</v>
      </c>
      <c r="AU202" s="61">
        <f t="shared" si="153"/>
        <v>37.972859548316464</v>
      </c>
    </row>
    <row r="203" spans="14:47" x14ac:dyDescent="0.35">
      <c r="N203" s="10">
        <v>85</v>
      </c>
      <c r="O203" s="50">
        <f t="shared" si="154"/>
        <v>707.94578438413873</v>
      </c>
      <c r="P203" s="48" t="str">
        <f t="shared" si="122"/>
        <v>547.187404092767</v>
      </c>
      <c r="Q203" s="17" t="str">
        <f t="shared" si="123"/>
        <v>1+85.3081806646947i</v>
      </c>
      <c r="R203" s="17">
        <f t="shared" si="131"/>
        <v>85.314041565970783</v>
      </c>
      <c r="S203" s="17">
        <f t="shared" si="132"/>
        <v>1.5590746584552415</v>
      </c>
      <c r="T203" s="17" t="str">
        <f t="shared" si="124"/>
        <v>1+0.00161419605341482i</v>
      </c>
      <c r="U203" s="17">
        <f t="shared" si="133"/>
        <v>1.0000013028136008</v>
      </c>
      <c r="V203" s="17">
        <f t="shared" si="134"/>
        <v>1.6141946514183834E-3</v>
      </c>
      <c r="W203" s="31" t="str">
        <f t="shared" si="125"/>
        <v>1-0.0280309146815614i</v>
      </c>
      <c r="X203" s="17">
        <f t="shared" si="135"/>
        <v>1.0003927889473638</v>
      </c>
      <c r="Y203" s="17">
        <f t="shared" si="136"/>
        <v>-2.8023576543523963E-2</v>
      </c>
      <c r="Z203" s="31" t="str">
        <f t="shared" si="126"/>
        <v>0.999834318269875+0.134118570471488i</v>
      </c>
      <c r="AA203" s="17">
        <f t="shared" si="137"/>
        <v>1.0087895989429614</v>
      </c>
      <c r="AB203" s="17">
        <f t="shared" si="138"/>
        <v>0.13334480589759565</v>
      </c>
      <c r="AC203" s="66" t="str">
        <f t="shared" si="139"/>
        <v>-0.938114626539541-6.2908616312362i</v>
      </c>
      <c r="AD203" s="64">
        <f t="shared" si="140"/>
        <v>16.069721960174018</v>
      </c>
      <c r="AE203" s="61">
        <f t="shared" si="141"/>
        <v>-98.481638595175909</v>
      </c>
      <c r="AF203" s="31" t="str">
        <f t="shared" si="127"/>
        <v>-0.000106860158311346</v>
      </c>
      <c r="AG203" s="31" t="str">
        <f t="shared" si="128"/>
        <v>0.0000205504740243363i</v>
      </c>
      <c r="AH203" s="31">
        <f t="shared" si="142"/>
        <v>2.0550474024336302E-5</v>
      </c>
      <c r="AI203" s="31">
        <f t="shared" si="143"/>
        <v>1.5707963267948966</v>
      </c>
      <c r="AJ203" s="31" t="str">
        <f t="shared" si="129"/>
        <v>1+0.324426440998125i</v>
      </c>
      <c r="AK203" s="31">
        <f t="shared" si="144"/>
        <v>1.051309904651673</v>
      </c>
      <c r="AL203" s="31">
        <f t="shared" si="145"/>
        <v>0.31371304715183851</v>
      </c>
      <c r="AM203" s="31" t="str">
        <f t="shared" si="130"/>
        <v>1+2.08173632973796i</v>
      </c>
      <c r="AN203" s="31">
        <f t="shared" si="146"/>
        <v>2.3094644718096164</v>
      </c>
      <c r="AO203" s="31">
        <f t="shared" si="147"/>
        <v>1.1229771164299496</v>
      </c>
      <c r="AP203" s="58" t="str">
        <f t="shared" si="148"/>
        <v>-8.26762576813024+7.88212416199915i</v>
      </c>
      <c r="AQ203" s="49">
        <f t="shared" si="149"/>
        <v>21.155489977314019</v>
      </c>
      <c r="AR203" s="61">
        <f t="shared" si="150"/>
        <v>136.3674156812184</v>
      </c>
      <c r="AS203" s="58" t="str">
        <f t="shared" si="151"/>
        <v>57.3413331231984+44.6161537615781i</v>
      </c>
      <c r="AT203" s="64">
        <f t="shared" si="152"/>
        <v>37.225211937488034</v>
      </c>
      <c r="AU203" s="61">
        <f t="shared" si="153"/>
        <v>37.885777086042495</v>
      </c>
    </row>
    <row r="204" spans="14:47" x14ac:dyDescent="0.35">
      <c r="N204" s="10">
        <v>86</v>
      </c>
      <c r="O204" s="50">
        <f t="shared" si="154"/>
        <v>724.43596007499025</v>
      </c>
      <c r="P204" s="48" t="str">
        <f t="shared" si="122"/>
        <v>547.187404092767</v>
      </c>
      <c r="Q204" s="17" t="str">
        <f t="shared" si="123"/>
        <v>1+87.2952634584025i</v>
      </c>
      <c r="R204" s="17">
        <f t="shared" si="131"/>
        <v>87.300990958132346</v>
      </c>
      <c r="S204" s="17">
        <f t="shared" si="132"/>
        <v>1.5593414525903391</v>
      </c>
      <c r="T204" s="17" t="str">
        <f t="shared" si="124"/>
        <v>1+0.00165179550962663i</v>
      </c>
      <c r="U204" s="17">
        <f t="shared" si="133"/>
        <v>1.0000013642132723</v>
      </c>
      <c r="V204" s="17">
        <f t="shared" si="134"/>
        <v>1.6517940073604929E-3</v>
      </c>
      <c r="W204" s="31" t="str">
        <f t="shared" si="125"/>
        <v>1-0.0286838385608614i</v>
      </c>
      <c r="X204" s="17">
        <f t="shared" si="135"/>
        <v>1.0004112967147989</v>
      </c>
      <c r="Y204" s="17">
        <f t="shared" si="136"/>
        <v>-2.867597577887265E-2</v>
      </c>
      <c r="Z204" s="31" t="str">
        <f t="shared" si="126"/>
        <v>0.999826509930496+0.137242593298186i</v>
      </c>
      <c r="AA204" s="17">
        <f t="shared" si="137"/>
        <v>1.009201951729686</v>
      </c>
      <c r="AB204" s="17">
        <f t="shared" si="138"/>
        <v>0.13641389733261755</v>
      </c>
      <c r="AC204" s="66" t="str">
        <f t="shared" si="139"/>
        <v>-0.940676666452319-6.14161693250715i</v>
      </c>
      <c r="AD204" s="64">
        <f t="shared" si="140"/>
        <v>15.8663603221442</v>
      </c>
      <c r="AE204" s="61">
        <f t="shared" si="141"/>
        <v>-98.70799619761749</v>
      </c>
      <c r="AF204" s="31" t="str">
        <f t="shared" si="127"/>
        <v>-0.000106860158311346</v>
      </c>
      <c r="AG204" s="31" t="str">
        <f t="shared" si="128"/>
        <v>0.000021029156057151i</v>
      </c>
      <c r="AH204" s="31">
        <f t="shared" si="142"/>
        <v>2.1029156057150998E-5</v>
      </c>
      <c r="AI204" s="31">
        <f t="shared" si="143"/>
        <v>1.5707963267948966</v>
      </c>
      <c r="AJ204" s="31" t="str">
        <f t="shared" si="129"/>
        <v>1+0.331983303583966i</v>
      </c>
      <c r="AK204" s="31">
        <f t="shared" si="144"/>
        <v>1.0536664148859087</v>
      </c>
      <c r="AL204" s="31">
        <f t="shared" si="145"/>
        <v>0.32053503592477695</v>
      </c>
      <c r="AM204" s="31" t="str">
        <f t="shared" si="130"/>
        <v>1+2.13022619799711i</v>
      </c>
      <c r="AN204" s="31">
        <f t="shared" si="146"/>
        <v>2.3532665923420626</v>
      </c>
      <c r="AO204" s="31">
        <f t="shared" si="147"/>
        <v>1.1318993656768159</v>
      </c>
      <c r="AP204" s="58" t="str">
        <f t="shared" si="148"/>
        <v>-8.23068626238702+7.81397427858844i</v>
      </c>
      <c r="AQ204" s="49">
        <f t="shared" si="149"/>
        <v>21.099239229430363</v>
      </c>
      <c r="AR204" s="61">
        <f t="shared" si="150"/>
        <v>136.48775174225261</v>
      </c>
      <c r="AS204" s="58" t="str">
        <f t="shared" si="151"/>
        <v>55.7328512554712+43.1992988391034i</v>
      </c>
      <c r="AT204" s="64">
        <f t="shared" si="152"/>
        <v>36.965599551574563</v>
      </c>
      <c r="AU204" s="61">
        <f t="shared" si="153"/>
        <v>37.779755544635172</v>
      </c>
    </row>
    <row r="205" spans="14:47" x14ac:dyDescent="0.35">
      <c r="N205" s="10">
        <v>87</v>
      </c>
      <c r="O205" s="50">
        <f t="shared" si="154"/>
        <v>741.31024130091828</v>
      </c>
      <c r="P205" s="48" t="str">
        <f t="shared" si="122"/>
        <v>547.187404092767</v>
      </c>
      <c r="Q205" s="17" t="str">
        <f t="shared" si="123"/>
        <v>1+89.3286313562855i</v>
      </c>
      <c r="R205" s="17">
        <f t="shared" si="131"/>
        <v>89.33422849046805</v>
      </c>
      <c r="S205" s="17">
        <f t="shared" si="132"/>
        <v>1.5596021753252851</v>
      </c>
      <c r="T205" s="17" t="str">
        <f t="shared" si="124"/>
        <v>1+0.00169027076968175i</v>
      </c>
      <c r="U205" s="17">
        <f t="shared" si="133"/>
        <v>1.000001428506617</v>
      </c>
      <c r="V205" s="17">
        <f t="shared" si="134"/>
        <v>1.6902691599747068E-3</v>
      </c>
      <c r="W205" s="31" t="str">
        <f t="shared" si="125"/>
        <v>1-0.029351970991042i</v>
      </c>
      <c r="X205" s="17">
        <f t="shared" si="135"/>
        <v>1.0004306763594661</v>
      </c>
      <c r="Y205" s="17">
        <f t="shared" si="136"/>
        <v>-2.9343546064222778E-2</v>
      </c>
      <c r="Z205" s="31" t="str">
        <f t="shared" si="126"/>
        <v>0.999818333595419+0.140439383964471i</v>
      </c>
      <c r="AA205" s="17">
        <f t="shared" si="137"/>
        <v>1.0096335576642848</v>
      </c>
      <c r="AB205" s="17">
        <f t="shared" si="138"/>
        <v>0.13955187715369055</v>
      </c>
      <c r="AC205" s="66" t="str">
        <f t="shared" si="139"/>
        <v>-0.943048640684069-5.99563551111915i</v>
      </c>
      <c r="AD205" s="64">
        <f t="shared" si="140"/>
        <v>15.662840880970993</v>
      </c>
      <c r="AE205" s="61">
        <f t="shared" si="141"/>
        <v>-98.938772005915681</v>
      </c>
      <c r="AF205" s="31" t="str">
        <f t="shared" si="127"/>
        <v>-0.000106860158311346</v>
      </c>
      <c r="AG205" s="31" t="str">
        <f t="shared" si="128"/>
        <v>0.000021518988026861i</v>
      </c>
      <c r="AH205" s="31">
        <f t="shared" si="142"/>
        <v>2.1518988026860999E-5</v>
      </c>
      <c r="AI205" s="31">
        <f t="shared" si="143"/>
        <v>1.5707963267948966</v>
      </c>
      <c r="AJ205" s="31" t="str">
        <f t="shared" si="129"/>
        <v>1+0.339716188111687i</v>
      </c>
      <c r="AK205" s="31">
        <f t="shared" si="144"/>
        <v>1.0561283484809671</v>
      </c>
      <c r="AL205" s="31">
        <f t="shared" si="145"/>
        <v>0.3274840818673373</v>
      </c>
      <c r="AM205" s="31" t="str">
        <f t="shared" si="130"/>
        <v>1+2.17984554038332i</v>
      </c>
      <c r="AN205" s="31">
        <f t="shared" si="146"/>
        <v>2.3982757514366542</v>
      </c>
      <c r="AO205" s="31">
        <f t="shared" si="147"/>
        <v>1.1406913388326634</v>
      </c>
      <c r="AP205" s="58" t="str">
        <f t="shared" si="148"/>
        <v>-8.19235799459926+7.74893088712114i</v>
      </c>
      <c r="AQ205" s="49">
        <f t="shared" si="149"/>
        <v>21.043527713285638</v>
      </c>
      <c r="AR205" s="61">
        <f t="shared" si="150"/>
        <v>136.59334369352379</v>
      </c>
      <c r="AS205" s="58" t="str">
        <f t="shared" si="151"/>
        <v>54.1855572708356+41.8107737723658i</v>
      </c>
      <c r="AT205" s="64">
        <f t="shared" si="152"/>
        <v>36.706368594256631</v>
      </c>
      <c r="AU205" s="61">
        <f t="shared" si="153"/>
        <v>37.65457168760814</v>
      </c>
    </row>
    <row r="206" spans="14:47" x14ac:dyDescent="0.35">
      <c r="N206" s="10">
        <v>88</v>
      </c>
      <c r="O206" s="50">
        <f t="shared" si="154"/>
        <v>758.57757502918378</v>
      </c>
      <c r="P206" s="48" t="str">
        <f t="shared" si="122"/>
        <v>547.187404092767</v>
      </c>
      <c r="Q206" s="17" t="str">
        <f t="shared" si="123"/>
        <v>1+91.4093624769177i</v>
      </c>
      <c r="R206" s="17">
        <f t="shared" si="131"/>
        <v>91.414832212483603</v>
      </c>
      <c r="S206" s="17">
        <f t="shared" si="132"/>
        <v>1.5598569647568596</v>
      </c>
      <c r="T206" s="17" t="str">
        <f t="shared" si="124"/>
        <v>1+0.00172964223367233i</v>
      </c>
      <c r="U206" s="17">
        <f t="shared" si="133"/>
        <v>1.0000014958300096</v>
      </c>
      <c r="V206" s="17">
        <f t="shared" si="134"/>
        <v>1.7296405088402967E-3</v>
      </c>
      <c r="W206" s="31" t="str">
        <f t="shared" si="125"/>
        <v>1-0.0300356662247612i</v>
      </c>
      <c r="X206" s="17">
        <f t="shared" si="135"/>
        <v>1.0004509689362919</v>
      </c>
      <c r="Y206" s="17">
        <f t="shared" si="136"/>
        <v>-3.0026638972791647E-2</v>
      </c>
      <c r="Z206" s="31" t="str">
        <f t="shared" si="126"/>
        <v>0.999809771921541+0.143710637451069i</v>
      </c>
      <c r="AA206" s="17">
        <f t="shared" si="137"/>
        <v>1.0100853069649098</v>
      </c>
      <c r="AB206" s="17">
        <f t="shared" si="138"/>
        <v>0.14276016879480133</v>
      </c>
      <c r="AC206" s="66" t="str">
        <f t="shared" si="139"/>
        <v>-0.945235776007021-5.85284091471963i</v>
      </c>
      <c r="AD206" s="64">
        <f t="shared" si="140"/>
        <v>15.459156604230195</v>
      </c>
      <c r="AE206" s="61">
        <f t="shared" si="141"/>
        <v>-99.174074464044764</v>
      </c>
      <c r="AF206" s="31" t="str">
        <f t="shared" si="127"/>
        <v>-0.000106860158311346</v>
      </c>
      <c r="AG206" s="31" t="str">
        <f t="shared" si="128"/>
        <v>0.0000220202296488603i</v>
      </c>
      <c r="AH206" s="31">
        <f t="shared" si="142"/>
        <v>2.2020229648860301E-5</v>
      </c>
      <c r="AI206" s="31">
        <f t="shared" si="143"/>
        <v>1.5707963267948966</v>
      </c>
      <c r="AJ206" s="31" t="str">
        <f t="shared" si="129"/>
        <v>1+0.34762919465902i</v>
      </c>
      <c r="AK206" s="31">
        <f t="shared" si="144"/>
        <v>1.0587001733159767</v>
      </c>
      <c r="AL206" s="31">
        <f t="shared" si="145"/>
        <v>0.33456118404884516</v>
      </c>
      <c r="AM206" s="31" t="str">
        <f t="shared" si="130"/>
        <v>1+2.2306206657287i</v>
      </c>
      <c r="AN206" s="31">
        <f t="shared" si="146"/>
        <v>2.4445180617814937</v>
      </c>
      <c r="AO206" s="31">
        <f t="shared" si="147"/>
        <v>1.1493522596256622</v>
      </c>
      <c r="AP206" s="58" t="str">
        <f t="shared" si="148"/>
        <v>-8.15260411679259+7.68690081781375i</v>
      </c>
      <c r="AQ206" s="49">
        <f t="shared" si="149"/>
        <v>20.988284712682336</v>
      </c>
      <c r="AR206" s="61">
        <f t="shared" si="150"/>
        <v>136.68408981547648</v>
      </c>
      <c r="AS206" s="58" t="str">
        <f t="shared" si="151"/>
        <v>52.6963406927066+40.4499612766602i</v>
      </c>
      <c r="AT206" s="64">
        <f t="shared" si="152"/>
        <v>36.447441316912531</v>
      </c>
      <c r="AU206" s="61">
        <f t="shared" si="153"/>
        <v>37.510015351431726</v>
      </c>
    </row>
    <row r="207" spans="14:47" x14ac:dyDescent="0.35">
      <c r="N207" s="10">
        <v>89</v>
      </c>
      <c r="O207" s="50">
        <f t="shared" si="154"/>
        <v>776.24711662869231</v>
      </c>
      <c r="P207" s="48" t="str">
        <f t="shared" si="122"/>
        <v>547.187404092767</v>
      </c>
      <c r="Q207" s="17" t="str">
        <f t="shared" si="123"/>
        <v>1+93.5385600514813i</v>
      </c>
      <c r="R207" s="17">
        <f t="shared" si="131"/>
        <v>93.543905287862415</v>
      </c>
      <c r="S207" s="17">
        <f t="shared" si="132"/>
        <v>1.5601059558453931</v>
      </c>
      <c r="T207" s="17" t="str">
        <f t="shared" si="124"/>
        <v>1+0.00176993077686973i</v>
      </c>
      <c r="U207" s="17">
        <f t="shared" si="133"/>
        <v>1.0000015663262507</v>
      </c>
      <c r="V207" s="17">
        <f t="shared" si="134"/>
        <v>1.7699289286790647E-3</v>
      </c>
      <c r="W207" s="31" t="str">
        <f t="shared" si="125"/>
        <v>1-0.0307352867662819i</v>
      </c>
      <c r="X207" s="17">
        <f t="shared" si="135"/>
        <v>1.0004722174316514</v>
      </c>
      <c r="Y207" s="17">
        <f t="shared" si="136"/>
        <v>-3.072561413808619E-2</v>
      </c>
      <c r="Z207" s="31" t="str">
        <f t="shared" si="126"/>
        <v>0.999800806748405+0.147058088219879i</v>
      </c>
      <c r="AA207" s="17">
        <f t="shared" si="137"/>
        <v>1.010558130186308</v>
      </c>
      <c r="AB207" s="17">
        <f t="shared" si="138"/>
        <v>0.14604021645507287</v>
      </c>
      <c r="AC207" s="66" t="str">
        <f t="shared" si="139"/>
        <v>-0.947242926191786-5.71315841289826i</v>
      </c>
      <c r="AD207" s="64">
        <f t="shared" si="140"/>
        <v>15.255300150509781</v>
      </c>
      <c r="AE207" s="61">
        <f t="shared" si="141"/>
        <v>-99.41401346062527</v>
      </c>
      <c r="AF207" s="31" t="str">
        <f t="shared" si="127"/>
        <v>-0.000106860158311346</v>
      </c>
      <c r="AG207" s="31" t="str">
        <f t="shared" si="128"/>
        <v>0.0000225331466880917i</v>
      </c>
      <c r="AH207" s="31">
        <f t="shared" si="142"/>
        <v>2.2533146688091699E-5</v>
      </c>
      <c r="AI207" s="31">
        <f t="shared" si="143"/>
        <v>1.5707963267948966</v>
      </c>
      <c r="AJ207" s="31" t="str">
        <f t="shared" si="129"/>
        <v>1+0.355726518806777i</v>
      </c>
      <c r="AK207" s="31">
        <f t="shared" si="144"/>
        <v>1.0613865253442727</v>
      </c>
      <c r="AL207" s="31">
        <f t="shared" si="145"/>
        <v>0.34176725824949672</v>
      </c>
      <c r="AM207" s="31" t="str">
        <f t="shared" si="130"/>
        <v>1+2.28257849567682i</v>
      </c>
      <c r="AN207" s="31">
        <f t="shared" si="146"/>
        <v>2.4920201822871051</v>
      </c>
      <c r="AO207" s="31">
        <f t="shared" si="147"/>
        <v>1.1578815218023935</v>
      </c>
      <c r="AP207" s="58" t="str">
        <f t="shared" si="148"/>
        <v>-8.11138812461015+7.62778985948102i</v>
      </c>
      <c r="AQ207" s="49">
        <f t="shared" si="149"/>
        <v>20.933439095354956</v>
      </c>
      <c r="AR207" s="61">
        <f t="shared" si="150"/>
        <v>136.75990290200829</v>
      </c>
      <c r="AS207" s="58" t="str">
        <f t="shared" si="151"/>
        <v>51.262226830147+39.1162753175287i</v>
      </c>
      <c r="AT207" s="64">
        <f t="shared" si="152"/>
        <v>36.188739245864731</v>
      </c>
      <c r="AU207" s="61">
        <f t="shared" si="153"/>
        <v>37.345889441383065</v>
      </c>
    </row>
    <row r="208" spans="14:47" x14ac:dyDescent="0.35">
      <c r="N208" s="10">
        <v>90</v>
      </c>
      <c r="O208" s="50">
        <f t="shared" si="154"/>
        <v>794.32823472428208</v>
      </c>
      <c r="P208" s="48" t="str">
        <f t="shared" si="122"/>
        <v>547.187404092767</v>
      </c>
      <c r="Q208" s="17" t="str">
        <f t="shared" si="123"/>
        <v>1+95.7173530087133i</v>
      </c>
      <c r="R208" s="17">
        <f t="shared" si="131"/>
        <v>95.722576579376693</v>
      </c>
      <c r="S208" s="17">
        <f t="shared" si="132"/>
        <v>1.5603492804856929</v>
      </c>
      <c r="T208" s="17" t="str">
        <f t="shared" si="124"/>
        <v>1+0.00181115776079282i</v>
      </c>
      <c r="U208" s="17">
        <f t="shared" si="133"/>
        <v>1.0000016401448721</v>
      </c>
      <c r="V208" s="17">
        <f t="shared" si="134"/>
        <v>1.8111557804210178E-3</v>
      </c>
      <c r="W208" s="31" t="str">
        <f t="shared" si="125"/>
        <v>1-0.0314512035636757i</v>
      </c>
      <c r="X208" s="17">
        <f t="shared" si="135"/>
        <v>1.000494466854067</v>
      </c>
      <c r="Y208" s="17">
        <f t="shared" si="136"/>
        <v>-3.1440839432462564E-2</v>
      </c>
      <c r="Z208" s="31" t="str">
        <f t="shared" si="126"/>
        <v>0.999791419059676+0.150483511133608i</v>
      </c>
      <c r="AA208" s="17">
        <f t="shared" si="137"/>
        <v>1.0110529999700606</v>
      </c>
      <c r="AB208" s="17">
        <f t="shared" si="138"/>
        <v>0.14939348476306949</v>
      </c>
      <c r="AC208" s="66" t="str">
        <f t="shared" si="139"/>
        <v>-0.949074583946491-5.57651496162839i</v>
      </c>
      <c r="AD208" s="64">
        <f t="shared" si="140"/>
        <v>15.051263857599711</v>
      </c>
      <c r="AE208" s="61">
        <f t="shared" si="141"/>
        <v>-99.658700323350487</v>
      </c>
      <c r="AF208" s="31" t="str">
        <f t="shared" si="127"/>
        <v>-0.000106860158311346</v>
      </c>
      <c r="AG208" s="31" t="str">
        <f t="shared" si="128"/>
        <v>0.0000230580110999585i</v>
      </c>
      <c r="AH208" s="31">
        <f t="shared" si="142"/>
        <v>2.3058011099958499E-5</v>
      </c>
      <c r="AI208" s="31">
        <f t="shared" si="143"/>
        <v>1.5707963267948966</v>
      </c>
      <c r="AJ208" s="31" t="str">
        <f t="shared" si="129"/>
        <v>1+0.364012453863403i</v>
      </c>
      <c r="AK208" s="31">
        <f t="shared" si="144"/>
        <v>1.0641922131681176</v>
      </c>
      <c r="AL208" s="31">
        <f t="shared" si="145"/>
        <v>0.34910313073550081</v>
      </c>
      <c r="AM208" s="31" t="str">
        <f t="shared" si="130"/>
        <v>1+2.33574657895683i</v>
      </c>
      <c r="AN208" s="31">
        <f t="shared" si="146"/>
        <v>2.5408093358433126</v>
      </c>
      <c r="AO208" s="31">
        <f t="shared" si="147"/>
        <v>1.166278682729804</v>
      </c>
      <c r="AP208" s="58" t="str">
        <f t="shared" si="148"/>
        <v>-8.06867399376364+7.57150266288291i</v>
      </c>
      <c r="AQ208" s="49">
        <f t="shared" si="149"/>
        <v>20.878919380484394</v>
      </c>
      <c r="AR208" s="61">
        <f t="shared" si="150"/>
        <v>136.82071025054688</v>
      </c>
      <c r="AS208" s="58" t="str">
        <f t="shared" si="151"/>
        <v>49.8803712952068+37.8091605070995i</v>
      </c>
      <c r="AT208" s="64">
        <f t="shared" si="152"/>
        <v>35.930183238084098</v>
      </c>
      <c r="AU208" s="61">
        <f t="shared" si="153"/>
        <v>37.162009927196443</v>
      </c>
    </row>
    <row r="209" spans="14:47" x14ac:dyDescent="0.35">
      <c r="N209" s="10">
        <v>91</v>
      </c>
      <c r="O209" s="50">
        <f t="shared" si="154"/>
        <v>812.83051616409978</v>
      </c>
      <c r="P209" s="48" t="str">
        <f t="shared" si="122"/>
        <v>547.187404092767</v>
      </c>
      <c r="Q209" s="17" t="str">
        <f t="shared" si="123"/>
        <v>1+97.9468965734794i</v>
      </c>
      <c r="R209" s="17">
        <f t="shared" si="131"/>
        <v>97.952001247426665</v>
      </c>
      <c r="S209" s="17">
        <f t="shared" si="132"/>
        <v>1.5605870675763858</v>
      </c>
      <c r="T209" s="17" t="str">
        <f t="shared" si="124"/>
        <v>1+0.0018533450445342i</v>
      </c>
      <c r="U209" s="17">
        <f t="shared" si="133"/>
        <v>1.0000017174424523</v>
      </c>
      <c r="V209" s="17">
        <f t="shared" si="134"/>
        <v>1.853342922527779E-3</v>
      </c>
      <c r="W209" s="31" t="str">
        <f t="shared" si="125"/>
        <v>1-0.0321837962055048i</v>
      </c>
      <c r="X209" s="17">
        <f t="shared" si="135"/>
        <v>1.0005177643291485</v>
      </c>
      <c r="Y209" s="17">
        <f t="shared" si="136"/>
        <v>-3.2172691149192759E-2</v>
      </c>
      <c r="Z209" s="31" t="str">
        <f t="shared" si="126"/>
        <v>0.999781588942807+0.153988722396823i</v>
      </c>
      <c r="AA209" s="17">
        <f t="shared" si="137"/>
        <v>1.0115709328635385</v>
      </c>
      <c r="AB209" s="17">
        <f t="shared" si="138"/>
        <v>0.15282145838242295</v>
      </c>
      <c r="AC209" s="66" t="str">
        <f t="shared" si="139"/>
        <v>-0.950734892240604-5.44283916870489i</v>
      </c>
      <c r="AD209" s="64">
        <f t="shared" si="140"/>
        <v>14.847039730341047</v>
      </c>
      <c r="AE209" s="61">
        <f t="shared" si="141"/>
        <v>-99.908247810146634</v>
      </c>
      <c r="AF209" s="31" t="str">
        <f t="shared" si="127"/>
        <v>-0.000106860158311346</v>
      </c>
      <c r="AG209" s="31" t="str">
        <f t="shared" si="128"/>
        <v>0.0000235951011745194i</v>
      </c>
      <c r="AH209" s="31">
        <f t="shared" si="142"/>
        <v>2.3595101174519399E-5</v>
      </c>
      <c r="AI209" s="31">
        <f t="shared" si="143"/>
        <v>1.5707963267948966</v>
      </c>
      <c r="AJ209" s="31" t="str">
        <f t="shared" si="129"/>
        <v>1+0.372491393141341i</v>
      </c>
      <c r="AK209" s="31">
        <f t="shared" si="144"/>
        <v>1.0671222225988817</v>
      </c>
      <c r="AL209" s="31">
        <f t="shared" si="145"/>
        <v>0.35656953187817808</v>
      </c>
      <c r="AM209" s="31" t="str">
        <f t="shared" si="130"/>
        <v>1+2.39015310599027i</v>
      </c>
      <c r="AN209" s="31">
        <f t="shared" si="146"/>
        <v>2.5909133273953673</v>
      </c>
      <c r="AO209" s="31">
        <f t="shared" si="147"/>
        <v>1.174543456817543</v>
      </c>
      <c r="AP209" s="58" t="str">
        <f t="shared" si="148"/>
        <v>-8.02442632593891+7.51794265085593i</v>
      </c>
      <c r="AQ209" s="49">
        <f t="shared" si="149"/>
        <v>20.824653804401958</v>
      </c>
      <c r="AR209" s="61">
        <f t="shared" si="150"/>
        <v>136.86645365077641</v>
      </c>
      <c r="AS209" s="58" t="str">
        <f t="shared" si="151"/>
        <v>48.5480548264399+36.5280915171744i</v>
      </c>
      <c r="AT209" s="64">
        <f t="shared" si="152"/>
        <v>35.671693534743</v>
      </c>
      <c r="AU209" s="61">
        <f t="shared" si="153"/>
        <v>36.958205840629773</v>
      </c>
    </row>
    <row r="210" spans="14:47" x14ac:dyDescent="0.35">
      <c r="N210" s="10">
        <v>92</v>
      </c>
      <c r="O210" s="50">
        <f t="shared" si="154"/>
        <v>831.7637711026714</v>
      </c>
      <c r="P210" s="48" t="str">
        <f t="shared" si="122"/>
        <v>547.187404092767</v>
      </c>
      <c r="Q210" s="17" t="str">
        <f t="shared" si="123"/>
        <v>1+100.228372879289i</v>
      </c>
      <c r="R210" s="17">
        <f t="shared" si="131"/>
        <v>100.23336136252138</v>
      </c>
      <c r="S210" s="17">
        <f t="shared" si="132"/>
        <v>1.5608194430877123</v>
      </c>
      <c r="T210" s="17" t="str">
        <f t="shared" si="124"/>
        <v>1+0.00189651499635011i</v>
      </c>
      <c r="U210" s="17">
        <f t="shared" si="133"/>
        <v>1.0000017983829486</v>
      </c>
      <c r="V210" s="17">
        <f t="shared" si="134"/>
        <v>1.8965127225794849E-3</v>
      </c>
      <c r="W210" s="31" t="str">
        <f t="shared" si="125"/>
        <v>1-0.032933453122085i</v>
      </c>
      <c r="X210" s="17">
        <f t="shared" si="135"/>
        <v>1.0005421591989738</v>
      </c>
      <c r="Y210" s="17">
        <f t="shared" si="136"/>
        <v>-3.2921554188072265E-2</v>
      </c>
      <c r="Z210" s="31" t="str">
        <f t="shared" si="126"/>
        <v>0.999771295546804+0.157575580518936i</v>
      </c>
      <c r="AA210" s="17">
        <f t="shared" si="137"/>
        <v>1.0121129912095854</v>
      </c>
      <c r="AB210" s="17">
        <f t="shared" si="138"/>
        <v>0.15632564155467094</v>
      </c>
      <c r="AC210" s="66" t="str">
        <f t="shared" si="139"/>
        <v>-0.952227655049258-5.3120612601724i</v>
      </c>
      <c r="AD210" s="64">
        <f t="shared" si="140"/>
        <v>14.642619428138829</v>
      </c>
      <c r="AE210" s="61">
        <f t="shared" si="141"/>
        <v>-100.16277009683412</v>
      </c>
      <c r="AF210" s="31" t="str">
        <f t="shared" si="127"/>
        <v>-0.000106860158311346</v>
      </c>
      <c r="AG210" s="31" t="str">
        <f t="shared" si="128"/>
        <v>0.000024144701684041i</v>
      </c>
      <c r="AH210" s="31">
        <f t="shared" si="142"/>
        <v>2.4144701684041001E-5</v>
      </c>
      <c r="AI210" s="31">
        <f t="shared" si="143"/>
        <v>1.5707963267948966</v>
      </c>
      <c r="AJ210" s="31" t="str">
        <f t="shared" si="129"/>
        <v>1+0.38116783228643i</v>
      </c>
      <c r="AK210" s="31">
        <f t="shared" si="144"/>
        <v>1.0701817211903482</v>
      </c>
      <c r="AL210" s="31">
        <f t="shared" si="145"/>
        <v>0.36416708963352762</v>
      </c>
      <c r="AM210" s="31" t="str">
        <f t="shared" si="130"/>
        <v>1+2.44582692383792i</v>
      </c>
      <c r="AN210" s="31">
        <f t="shared" si="146"/>
        <v>2.6423605623325641</v>
      </c>
      <c r="AO210" s="31">
        <f t="shared" si="147"/>
        <v>1.1826757088051942</v>
      </c>
      <c r="AP210" s="58" t="str">
        <f t="shared" si="148"/>
        <v>-7.9786105041363+7.46701193619589i</v>
      </c>
      <c r="AQ210" s="49">
        <f t="shared" si="149"/>
        <v>20.770570384768035</v>
      </c>
      <c r="AR210" s="61">
        <f t="shared" si="150"/>
        <v>136.89708937361732</v>
      </c>
      <c r="AS210" s="58" t="str">
        <f t="shared" si="151"/>
        <v>47.2626784064162+35.2725725027984i</v>
      </c>
      <c r="AT210" s="64">
        <f t="shared" si="152"/>
        <v>35.413189812906872</v>
      </c>
      <c r="AU210" s="61">
        <f t="shared" si="153"/>
        <v>36.734319276783168</v>
      </c>
    </row>
    <row r="211" spans="14:47" x14ac:dyDescent="0.35">
      <c r="N211" s="10">
        <v>93</v>
      </c>
      <c r="O211" s="50">
        <f t="shared" si="154"/>
        <v>851.13803820237763</v>
      </c>
      <c r="P211" s="48" t="str">
        <f t="shared" ref="P211:P274" si="155">COMPLEX(Adc,0)</f>
        <v>547.187404092767</v>
      </c>
      <c r="Q211" s="17" t="str">
        <f t="shared" ref="Q211:Q274" si="156">IMSUM(COMPLEX(1,0),IMDIV(COMPLEX(0,2*PI()*O211),COMPLEX(wp_lf,0)))</f>
        <v>1+102.562991595079i</v>
      </c>
      <c r="R211" s="17">
        <f t="shared" si="131"/>
        <v>102.56786653202963</v>
      </c>
      <c r="S211" s="17">
        <f t="shared" si="132"/>
        <v>1.5610465301278031</v>
      </c>
      <c r="T211" s="17" t="str">
        <f t="shared" ref="T211:T274" si="157">IMSUM(COMPLEX(1,0),IMDIV(COMPLEX(0,2*PI()*O211),COMPLEX(wz_esr,0)))</f>
        <v>1+0.00194069050552043i</v>
      </c>
      <c r="U211" s="17">
        <f t="shared" si="133"/>
        <v>1.0000018831380459</v>
      </c>
      <c r="V211" s="17">
        <f t="shared" si="134"/>
        <v>1.9406880691315571E-3</v>
      </c>
      <c r="W211" s="31" t="str">
        <f t="shared" ref="W211:W274" si="158">IMSUB(COMPLEX(1,0),IMDIV(COMPLEX(0,2*PI()*O211),COMPLEX(wz_rhp,0)))</f>
        <v>1-0.0337005717914363i</v>
      </c>
      <c r="X211" s="17">
        <f t="shared" si="135"/>
        <v>1.0005677031261153</v>
      </c>
      <c r="Y211" s="17">
        <f t="shared" si="136"/>
        <v>-3.3687822244601623E-2</v>
      </c>
      <c r="Z211" s="31" t="str">
        <f t="shared" ref="Z211:Z274" si="159">IMSUM(COMPLEX(1,0),IMDIV(COMPLEX(0,2*PI()*O211),COMPLEX(Q*(wsl/2),0)),IMDIV(IMPOWER(COMPLEX(0,2*PI()*O211),2),IMPOWER(COMPLEX(wsl/2,0),2)))</f>
        <v>0.999760517037992+0.161245987299599i</v>
      </c>
      <c r="AA211" s="17">
        <f t="shared" si="137"/>
        <v>1.0126802851089258</v>
      </c>
      <c r="AB211" s="17">
        <f t="shared" si="138"/>
        <v>0.15990755757495223</v>
      </c>
      <c r="AC211" s="66" t="str">
        <f t="shared" si="139"/>
        <v>-0.953556347553361-5.18411304773773i</v>
      </c>
      <c r="AD211" s="64">
        <f t="shared" si="140"/>
        <v>14.437994252143929</v>
      </c>
      <c r="AE211" s="61">
        <f t="shared" si="141"/>
        <v>-100.42238276104479</v>
      </c>
      <c r="AF211" s="31" t="str">
        <f t="shared" ref="AF211:AF274" si="160">COMPLEX(Adc_ea,0)</f>
        <v>-0.000106860158311346</v>
      </c>
      <c r="AG211" s="31" t="str">
        <f t="shared" ref="AG211:AG274" si="161">COMPLEX(0,2*PI()*O211*wp0_ea)</f>
        <v>0.0000247071040339885i</v>
      </c>
      <c r="AH211" s="31">
        <f t="shared" si="142"/>
        <v>2.4707104033988498E-5</v>
      </c>
      <c r="AI211" s="31">
        <f t="shared" si="143"/>
        <v>1.5707963267948966</v>
      </c>
      <c r="AJ211" s="31" t="str">
        <f t="shared" ref="AJ211:AJ274" si="162">IMSUM(COMPLEX(1,0),IMDIV(COMPLEX(0,2*PI()*O211),COMPLEX(wp1_ea,0)))</f>
        <v>1+0.39004637166155i</v>
      </c>
      <c r="AK211" s="31">
        <f t="shared" si="144"/>
        <v>1.0733760627321349</v>
      </c>
      <c r="AL211" s="31">
        <f t="shared" si="145"/>
        <v>0.37189632290128755</v>
      </c>
      <c r="AM211" s="31" t="str">
        <f t="shared" ref="AM211:AM274" si="163">IMSUM(COMPLEX(1,0),IMDIV(COMPLEX(0,2*PI()*O211),COMPLEX(wz_ea,0)))</f>
        <v>1+2.50279755149494i</v>
      </c>
      <c r="AN211" s="31">
        <f t="shared" si="146"/>
        <v>2.695180065184712</v>
      </c>
      <c r="AO211" s="31">
        <f t="shared" si="147"/>
        <v>1.1906754469563487</v>
      </c>
      <c r="AP211" s="58" t="str">
        <f t="shared" si="148"/>
        <v>-7.93119285734265+7.41861124830857i</v>
      </c>
      <c r="AQ211" s="49">
        <f t="shared" si="149"/>
        <v>20.716596983536732</v>
      </c>
      <c r="AR211" s="61">
        <f t="shared" si="150"/>
        <v>136.91258816177344</v>
      </c>
      <c r="AS211" s="58" t="str">
        <f t="shared" si="151"/>
        <v>46.0217586612393+34.0421365300189i</v>
      </c>
      <c r="AT211" s="64">
        <f t="shared" si="152"/>
        <v>35.154591235680655</v>
      </c>
      <c r="AU211" s="61">
        <f t="shared" si="153"/>
        <v>36.490205400728662</v>
      </c>
    </row>
    <row r="212" spans="14:47" x14ac:dyDescent="0.35">
      <c r="N212" s="10">
        <v>94</v>
      </c>
      <c r="O212" s="50">
        <f t="shared" si="154"/>
        <v>870.96358995608091</v>
      </c>
      <c r="P212" s="48" t="str">
        <f t="shared" si="155"/>
        <v>547.187404092767</v>
      </c>
      <c r="Q212" s="17" t="str">
        <f t="shared" si="156"/>
        <v>1+104.951990566594i</v>
      </c>
      <c r="R212" s="17">
        <f t="shared" ref="R212:R275" si="164">IMABS(Q212)</f>
        <v>104.95675454152742</v>
      </c>
      <c r="S212" s="17">
        <f t="shared" ref="S212:S275" si="165">IMARGUMENT(Q212)</f>
        <v>1.5612684490074749</v>
      </c>
      <c r="T212" s="17" t="str">
        <f t="shared" si="157"/>
        <v>1+0.00198589499448484i</v>
      </c>
      <c r="U212" s="17">
        <f t="shared" ref="U212:U275" si="166">IMABS(T212)</f>
        <v>1.0000019718875204</v>
      </c>
      <c r="V212" s="17">
        <f t="shared" ref="V212:V275" si="167">IMARGUMENT(T212)</f>
        <v>1.9858923838474061E-3</v>
      </c>
      <c r="W212" s="31" t="str">
        <f t="shared" si="158"/>
        <v>1-0.0344855589500312i</v>
      </c>
      <c r="X212" s="17">
        <f t="shared" ref="X212:X275" si="168">IMABS(W212)</f>
        <v>1.0005944502025264</v>
      </c>
      <c r="Y212" s="17">
        <f t="shared" ref="Y212:Y275" si="169">IMARGUMENT(W212)</f>
        <v>-3.4471898002772963E-2</v>
      </c>
      <c r="Z212" s="31" t="str">
        <f t="shared" si="159"/>
        <v>0.999749230553709+0.165001888837071i</v>
      </c>
      <c r="AA212" s="17">
        <f t="shared" ref="AA212:AA275" si="170">IMABS(Z212)</f>
        <v>1.0132739744573205</v>
      </c>
      <c r="AB212" s="17">
        <f t="shared" ref="AB212:AB275" si="171">IMARGUMENT(Z212)</f>
        <v>0.16356874819607023</v>
      </c>
      <c r="AC212" s="66" t="str">
        <f t="shared" ref="AC212:AC275" si="172">(IMDIV(IMPRODUCT(P212,T212,W212),IMPRODUCT(Q212,Z212)))</f>
        <v>-0.95472412583077-5.0589278971603i</v>
      </c>
      <c r="AD212" s="64">
        <f t="shared" ref="AD212:AD275" si="173">20*LOG(IMABS(AC212))</f>
        <v>14.233155132111099</v>
      </c>
      <c r="AE212" s="61">
        <f t="shared" ref="AE212:AE275" si="174">(180/PI())*IMARGUMENT(AC212)</f>
        <v>-100.6872027621399</v>
      </c>
      <c r="AF212" s="31" t="str">
        <f t="shared" si="160"/>
        <v>-0.000106860158311346</v>
      </c>
      <c r="AG212" s="31" t="str">
        <f t="shared" si="161"/>
        <v>0.000025282606417532i</v>
      </c>
      <c r="AH212" s="31">
        <f t="shared" ref="AH212:AH275" si="175">IMABS(AG212)</f>
        <v>2.5282606417532E-5</v>
      </c>
      <c r="AI212" s="31">
        <f t="shared" ref="AI212:AI275" si="176">IMARGUMENT(AG212)</f>
        <v>1.5707963267948966</v>
      </c>
      <c r="AJ212" s="31" t="str">
        <f t="shared" si="162"/>
        <v>1+0.399131718785798i</v>
      </c>
      <c r="AK212" s="31">
        <f t="shared" ref="AK212:AK275" si="177">IMABS(AJ212)</f>
        <v>1.0767107916896279</v>
      </c>
      <c r="AL212" s="31">
        <f t="shared" ref="AL212:AL275" si="178">IMARGUMENT(AJ212)</f>
        <v>0.37975763478520663</v>
      </c>
      <c r="AM212" s="31" t="str">
        <f t="shared" si="163"/>
        <v>1+2.5610951955422i</v>
      </c>
      <c r="AN212" s="31">
        <f t="shared" ref="AN212:AN275" si="179">IMABS(AM212)</f>
        <v>2.7494014986228077</v>
      </c>
      <c r="AO212" s="31">
        <f t="shared" ref="AO212:AO275" si="180">IMARGUMENT(AM212)</f>
        <v>1.1985428161985752</v>
      </c>
      <c r="AP212" s="58" t="str">
        <f t="shared" ref="AP212:AP275" si="181">IMPRODUCT(AF212,IMDIV(AM212,IMPRODUCT(AG212,AJ212)))</f>
        <v>-7.88214083433507+7.37263986968954i</v>
      </c>
      <c r="AQ212" s="49">
        <f t="shared" ref="AQ212:AQ275" si="182">20*LOG(IMABS(AP212))</f>
        <v>20.662661369036993</v>
      </c>
      <c r="AR212" s="61">
        <f t="shared" ref="AR212:AR275" si="183">(180/PI())*IMARGUMENT(AP212)</f>
        <v>136.91293522283948</v>
      </c>
      <c r="AS212" s="58" t="str">
        <f t="shared" ref="AS212:AS275" si="184">IMPRODUCT(AC212,AP212)</f>
        <v>44.8229235302243+32.8363450015096i</v>
      </c>
      <c r="AT212" s="64">
        <f t="shared" ref="AT212:AT275" si="185">20*LOG(IMABS(AS212))</f>
        <v>34.89581650114809</v>
      </c>
      <c r="AU212" s="61">
        <f t="shared" ref="AU212:AU275" si="186">(180/PI())*IMARGUMENT(AS212)</f>
        <v>36.225732460699533</v>
      </c>
    </row>
    <row r="213" spans="14:47" x14ac:dyDescent="0.35">
      <c r="N213" s="10">
        <v>95</v>
      </c>
      <c r="O213" s="50">
        <f t="shared" si="154"/>
        <v>891.25093813374656</v>
      </c>
      <c r="P213" s="48" t="str">
        <f t="shared" si="155"/>
        <v>547.187404092767</v>
      </c>
      <c r="Q213" s="17" t="str">
        <f t="shared" si="156"/>
        <v>1+107.396636472712i</v>
      </c>
      <c r="R213" s="17">
        <f t="shared" si="164"/>
        <v>107.401292011092</v>
      </c>
      <c r="S213" s="17">
        <f t="shared" si="165"/>
        <v>1.5614853173035723</v>
      </c>
      <c r="T213" s="17" t="str">
        <f t="shared" si="157"/>
        <v>1+0.00203215243126177i</v>
      </c>
      <c r="U213" s="17">
        <f t="shared" si="166"/>
        <v>1.0000020648196202</v>
      </c>
      <c r="V213" s="17">
        <f t="shared" si="167"/>
        <v>2.0321496339136724E-3</v>
      </c>
      <c r="W213" s="31" t="str">
        <f t="shared" si="158"/>
        <v>1-0.0352888308084518i</v>
      </c>
      <c r="X213" s="17">
        <f t="shared" si="168"/>
        <v>1.0006224570635158</v>
      </c>
      <c r="Y213" s="17">
        <f t="shared" si="169"/>
        <v>-3.5274193331488159E-2</v>
      </c>
      <c r="Z213" s="31" t="str">
        <f t="shared" si="159"/>
        <v>0.99973741215381+0.168845276560063i</v>
      </c>
      <c r="AA213" s="17">
        <f t="shared" si="170"/>
        <v>1.0138952710594133</v>
      </c>
      <c r="AB213" s="17">
        <f t="shared" si="171"/>
        <v>0.1673107729561753</v>
      </c>
      <c r="AC213" s="66" t="str">
        <f t="shared" si="172"/>
        <v>-0.955733836073639-4.93644069761515i</v>
      </c>
      <c r="AD213" s="64">
        <f t="shared" si="173"/>
        <v>14.028092612943198</v>
      </c>
      <c r="AE213" s="61">
        <f t="shared" si="174"/>
        <v>-100.95734841686171</v>
      </c>
      <c r="AF213" s="31" t="str">
        <f t="shared" si="160"/>
        <v>-0.000106860158311346</v>
      </c>
      <c r="AG213" s="31" t="str">
        <f t="shared" si="161"/>
        <v>0.0000258715139736529i</v>
      </c>
      <c r="AH213" s="31">
        <f t="shared" si="175"/>
        <v>2.5871513973652901E-5</v>
      </c>
      <c r="AI213" s="31">
        <f t="shared" si="176"/>
        <v>1.5707963267948966</v>
      </c>
      <c r="AJ213" s="31" t="str">
        <f t="shared" si="162"/>
        <v>1+0.40842869083048i</v>
      </c>
      <c r="AK213" s="31">
        <f t="shared" si="177"/>
        <v>1.080191647576253</v>
      </c>
      <c r="AL213" s="31">
        <f t="shared" si="178"/>
        <v>0.38775130577898204</v>
      </c>
      <c r="AM213" s="31" t="str">
        <f t="shared" si="163"/>
        <v>1+2.62075076616224i</v>
      </c>
      <c r="AN213" s="31">
        <f t="shared" si="179"/>
        <v>2.8050551827620018</v>
      </c>
      <c r="AO213" s="31">
        <f t="shared" si="180"/>
        <v>1.2062780912455011</v>
      </c>
      <c r="AP213" s="58" t="str">
        <f t="shared" si="181"/>
        <v>-7.83142318631106+7.32899558333018i</v>
      </c>
      <c r="AQ213" s="49">
        <f t="shared" si="182"/>
        <v>20.60869127751414</v>
      </c>
      <c r="AR213" s="61">
        <f t="shared" si="183"/>
        <v>136.89813022564175</v>
      </c>
      <c r="AS213" s="58" t="str">
        <f t="shared" si="184"/>
        <v>43.6639081939619+31.6547870737299i</v>
      </c>
      <c r="AT213" s="64">
        <f t="shared" si="185"/>
        <v>34.636783890457338</v>
      </c>
      <c r="AU213" s="61">
        <f t="shared" si="186"/>
        <v>35.940781808780017</v>
      </c>
    </row>
    <row r="214" spans="14:47" x14ac:dyDescent="0.35">
      <c r="N214" s="10">
        <v>96</v>
      </c>
      <c r="O214" s="50">
        <f t="shared" si="154"/>
        <v>912.01083935590987</v>
      </c>
      <c r="P214" s="48" t="str">
        <f t="shared" si="155"/>
        <v>547.187404092767</v>
      </c>
      <c r="Q214" s="17" t="str">
        <f t="shared" si="156"/>
        <v>1+109.89822549705i</v>
      </c>
      <c r="R214" s="17">
        <f t="shared" si="164"/>
        <v>109.90277506687649</v>
      </c>
      <c r="S214" s="17">
        <f t="shared" si="165"/>
        <v>1.5616972499208921</v>
      </c>
      <c r="T214" s="17" t="str">
        <f t="shared" si="157"/>
        <v>1+0.00207948734215646i</v>
      </c>
      <c r="U214" s="17">
        <f t="shared" si="166"/>
        <v>1.0000021621314656</v>
      </c>
      <c r="V214" s="17">
        <f t="shared" si="167"/>
        <v>2.0794843447443198E-3</v>
      </c>
      <c r="W214" s="31" t="str">
        <f t="shared" si="158"/>
        <v>1-0.0361108132720698i</v>
      </c>
      <c r="X214" s="17">
        <f t="shared" si="168"/>
        <v>1.0006517830070409</v>
      </c>
      <c r="Y214" s="17">
        <f t="shared" si="169"/>
        <v>-3.6095129484632255E-2</v>
      </c>
      <c r="Z214" s="31" t="str">
        <f t="shared" si="159"/>
        <v>0.999725036769883+0.172778188283618i</v>
      </c>
      <c r="AA214" s="17">
        <f t="shared" si="170"/>
        <v>1.0145454408212149</v>
      </c>
      <c r="AB214" s="17">
        <f t="shared" si="171"/>
        <v>0.17113520842515029</v>
      </c>
      <c r="AC214" s="66" t="str">
        <f t="shared" si="172"/>
        <v>-0.956588023366961-4.81658783202263i</v>
      </c>
      <c r="AD214" s="64">
        <f t="shared" si="173"/>
        <v>13.822796840932902</v>
      </c>
      <c r="AE214" s="61">
        <f t="shared" si="174"/>
        <v>-101.23293937043749</v>
      </c>
      <c r="AF214" s="31" t="str">
        <f t="shared" si="160"/>
        <v>-0.000106860158311346</v>
      </c>
      <c r="AG214" s="31" t="str">
        <f t="shared" si="161"/>
        <v>0.0000264741389489326i</v>
      </c>
      <c r="AH214" s="31">
        <f t="shared" si="175"/>
        <v>2.6474138948932602E-5</v>
      </c>
      <c r="AI214" s="31">
        <f t="shared" si="176"/>
        <v>1.5707963267948966</v>
      </c>
      <c r="AJ214" s="31" t="str">
        <f t="shared" si="162"/>
        <v>1+0.417942217173232i</v>
      </c>
      <c r="AK214" s="31">
        <f t="shared" si="177"/>
        <v>1.0838245692434163</v>
      </c>
      <c r="AL214" s="31">
        <f t="shared" si="178"/>
        <v>0.395877486905158</v>
      </c>
      <c r="AM214" s="31" t="str">
        <f t="shared" si="163"/>
        <v>1+2.68179589352823i</v>
      </c>
      <c r="AN214" s="31">
        <f t="shared" si="179"/>
        <v>2.8621721147661394</v>
      </c>
      <c r="AO214" s="31">
        <f t="shared" si="180"/>
        <v>1.2138816697342609</v>
      </c>
      <c r="AP214" s="58" t="str">
        <f t="shared" si="181"/>
        <v>-7.77901015792577+7.2875746321763i</v>
      </c>
      <c r="AQ214" s="49">
        <f t="shared" si="182"/>
        <v>20.554614474485358</v>
      </c>
      <c r="AR214" s="61">
        <f t="shared" si="183"/>
        <v>136.86818730015537</v>
      </c>
      <c r="AS214" s="58" t="str">
        <f t="shared" si="184"/>
        <v>42.5425512490189+30.497079059313i</v>
      </c>
      <c r="AT214" s="64">
        <f t="shared" si="185"/>
        <v>34.377411315418271</v>
      </c>
      <c r="AU214" s="61">
        <f t="shared" si="186"/>
        <v>35.635247929717892</v>
      </c>
    </row>
    <row r="215" spans="14:47" x14ac:dyDescent="0.35">
      <c r="N215" s="10">
        <v>97</v>
      </c>
      <c r="O215" s="50">
        <f t="shared" si="154"/>
        <v>933.25430079699106</v>
      </c>
      <c r="P215" s="48" t="str">
        <f t="shared" si="155"/>
        <v>547.187404092767</v>
      </c>
      <c r="Q215" s="17" t="str">
        <f t="shared" si="156"/>
        <v>1+112.458084015221i</v>
      </c>
      <c r="R215" s="17">
        <f t="shared" si="164"/>
        <v>112.46253002833659</v>
      </c>
      <c r="S215" s="17">
        <f t="shared" si="165"/>
        <v>1.5619043591527166</v>
      </c>
      <c r="T215" s="17" t="str">
        <f t="shared" si="157"/>
        <v>1+0.00212792482476524i</v>
      </c>
      <c r="U215" s="17">
        <f t="shared" si="166"/>
        <v>1.000002264029467</v>
      </c>
      <c r="V215" s="17">
        <f t="shared" si="167"/>
        <v>2.1279216129806585E-3</v>
      </c>
      <c r="W215" s="31" t="str">
        <f t="shared" si="158"/>
        <v>1-0.0369519421668679i</v>
      </c>
      <c r="X215" s="17">
        <f t="shared" si="168"/>
        <v>1.0006824901185707</v>
      </c>
      <c r="Y215" s="17">
        <f t="shared" si="169"/>
        <v>-3.6935137304823916E-2</v>
      </c>
      <c r="Z215" s="31" t="str">
        <f t="shared" si="159"/>
        <v>0.999712078152081+0.176802709289591i</v>
      </c>
      <c r="AA215" s="17">
        <f t="shared" si="170"/>
        <v>1.0152258060231192</v>
      </c>
      <c r="AB215" s="17">
        <f t="shared" si="171"/>
        <v>0.17504364736457936</v>
      </c>
      <c r="AC215" s="66" t="str">
        <f t="shared" si="172"/>
        <v>-0.957288940063644-4.69930714833908i</v>
      </c>
      <c r="AD215" s="64">
        <f t="shared" si="173"/>
        <v>13.617257549716182</v>
      </c>
      <c r="AE215" s="61">
        <f t="shared" si="174"/>
        <v>-101.51409656284704</v>
      </c>
      <c r="AF215" s="31" t="str">
        <f t="shared" si="160"/>
        <v>-0.000106860158311346</v>
      </c>
      <c r="AG215" s="31" t="str">
        <f t="shared" si="161"/>
        <v>0.0000270908008631097i</v>
      </c>
      <c r="AH215" s="31">
        <f t="shared" si="175"/>
        <v>2.7090800863109699E-5</v>
      </c>
      <c r="AI215" s="31">
        <f t="shared" si="176"/>
        <v>1.5707963267948966</v>
      </c>
      <c r="AJ215" s="31" t="str">
        <f t="shared" si="162"/>
        <v>1+0.42767734201165i</v>
      </c>
      <c r="AK215" s="31">
        <f t="shared" si="177"/>
        <v>1.0876156990730457</v>
      </c>
      <c r="AL215" s="31">
        <f t="shared" si="178"/>
        <v>0.40413619283721064</v>
      </c>
      <c r="AM215" s="31" t="str">
        <f t="shared" si="163"/>
        <v>1+2.74426294457475i</v>
      </c>
      <c r="AN215" s="31">
        <f t="shared" si="179"/>
        <v>2.9207839887547444</v>
      </c>
      <c r="AO215" s="31">
        <f t="shared" si="180"/>
        <v>1.2213540654086639</v>
      </c>
      <c r="AP215" s="58" t="str">
        <f t="shared" si="181"/>
        <v>-7.72487368619252+7.24827169178397i</v>
      </c>
      <c r="AQ215" s="49">
        <f t="shared" si="182"/>
        <v>20.500358816265305</v>
      </c>
      <c r="AR215" s="61">
        <f t="shared" si="183"/>
        <v>136.82313504100418</v>
      </c>
      <c r="AS215" s="58" t="str">
        <f t="shared" si="184"/>
        <v>41.456791117485+29.3628638084198i</v>
      </c>
      <c r="AT215" s="64">
        <f t="shared" si="185"/>
        <v>34.11761636598149</v>
      </c>
      <c r="AU215" s="61">
        <f t="shared" si="186"/>
        <v>35.309038478157149</v>
      </c>
    </row>
    <row r="216" spans="14:47" x14ac:dyDescent="0.35">
      <c r="N216" s="10">
        <v>98</v>
      </c>
      <c r="O216" s="50">
        <f t="shared" si="154"/>
        <v>954.99258602143675</v>
      </c>
      <c r="P216" s="48" t="str">
        <f t="shared" si="155"/>
        <v>547.187404092767</v>
      </c>
      <c r="Q216" s="17" t="str">
        <f t="shared" si="156"/>
        <v>1+115.077569298096i</v>
      </c>
      <c r="R216" s="17">
        <f t="shared" si="164"/>
        <v>115.08191411146274</v>
      </c>
      <c r="S216" s="17">
        <f t="shared" si="165"/>
        <v>1.5621067547399916</v>
      </c>
      <c r="T216" s="17" t="str">
        <f t="shared" si="157"/>
        <v>1+0.00217749056128252i</v>
      </c>
      <c r="U216" s="17">
        <f t="shared" si="166"/>
        <v>1.0000023707297621</v>
      </c>
      <c r="V216" s="17">
        <f t="shared" si="167"/>
        <v>2.1774871197937774E-3</v>
      </c>
      <c r="W216" s="31" t="str">
        <f t="shared" si="158"/>
        <v>1-0.0378126634705197i</v>
      </c>
      <c r="X216" s="17">
        <f t="shared" si="168"/>
        <v>1.0007146434017715</v>
      </c>
      <c r="Y216" s="17">
        <f t="shared" si="169"/>
        <v>-3.779465743085629E-2</v>
      </c>
      <c r="Z216" s="31" t="str">
        <f t="shared" si="159"/>
        <v>0.999698508813436+0.18092097343229i</v>
      </c>
      <c r="AA216" s="17">
        <f t="shared" si="170"/>
        <v>1.0159377476752673</v>
      </c>
      <c r="AB216" s="17">
        <f t="shared" si="171"/>
        <v>0.17903769779597248</v>
      </c>
      <c r="AC216" s="66" t="str">
        <f t="shared" si="172"/>
        <v>-0.957838553791585-4.58453793180304i</v>
      </c>
      <c r="AD216" s="64">
        <f t="shared" si="173"/>
        <v>13.411464045954773</v>
      </c>
      <c r="AE216" s="61">
        <f t="shared" si="174"/>
        <v>-101.80094218994955</v>
      </c>
      <c r="AF216" s="31" t="str">
        <f t="shared" si="160"/>
        <v>-0.000106860158311346</v>
      </c>
      <c r="AG216" s="31" t="str">
        <f t="shared" si="161"/>
        <v>0.0000277218266784936i</v>
      </c>
      <c r="AH216" s="31">
        <f t="shared" si="175"/>
        <v>2.7721826678493602E-5</v>
      </c>
      <c r="AI216" s="31">
        <f t="shared" si="176"/>
        <v>1.5707963267948966</v>
      </c>
      <c r="AJ216" s="31" t="str">
        <f t="shared" si="162"/>
        <v>1+0.437639227037781i</v>
      </c>
      <c r="AK216" s="31">
        <f t="shared" si="177"/>
        <v>1.0915713870573132</v>
      </c>
      <c r="AL216" s="31">
        <f t="shared" si="178"/>
        <v>0.4125272950379249</v>
      </c>
      <c r="AM216" s="31" t="str">
        <f t="shared" si="163"/>
        <v>1+2.80818504015909i</v>
      </c>
      <c r="AN216" s="31">
        <f t="shared" si="179"/>
        <v>2.9809232160143462</v>
      </c>
      <c r="AO216" s="31">
        <f t="shared" si="180"/>
        <v>1.2286959013754932</v>
      </c>
      <c r="AP216" s="58" t="str">
        <f t="shared" si="181"/>
        <v>-7.66898760656933+7.2109798573225i</v>
      </c>
      <c r="AQ216" s="49">
        <f t="shared" si="182"/>
        <v>20.445852312014377</v>
      </c>
      <c r="AR216" s="61">
        <f t="shared" si="183"/>
        <v>136.76301651421696</v>
      </c>
      <c r="AS216" s="58" t="str">
        <f t="shared" si="184"/>
        <v>40.4046626794846+28.2518100628865i</v>
      </c>
      <c r="AT216" s="64">
        <f t="shared" si="185"/>
        <v>33.857316357969147</v>
      </c>
      <c r="AU216" s="61">
        <f t="shared" si="186"/>
        <v>34.962074324267462</v>
      </c>
    </row>
    <row r="217" spans="14:47" x14ac:dyDescent="0.35">
      <c r="N217" s="10">
        <v>99</v>
      </c>
      <c r="O217" s="50">
        <f t="shared" si="154"/>
        <v>977.23722095581138</v>
      </c>
      <c r="P217" s="48" t="str">
        <f t="shared" si="155"/>
        <v>547.187404092767</v>
      </c>
      <c r="Q217" s="17" t="str">
        <f t="shared" si="156"/>
        <v>1+117.758070231445i</v>
      </c>
      <c r="R217" s="17">
        <f t="shared" si="164"/>
        <v>117.76231614839246</v>
      </c>
      <c r="S217" s="17">
        <f t="shared" si="165"/>
        <v>1.5623045439291705</v>
      </c>
      <c r="T217" s="17" t="str">
        <f t="shared" si="157"/>
        <v>1+0.00222821083211789i</v>
      </c>
      <c r="U217" s="17">
        <f t="shared" si="166"/>
        <v>1.0000024824586748</v>
      </c>
      <c r="V217" s="17">
        <f t="shared" si="167"/>
        <v>2.2282071444967582E-3</v>
      </c>
      <c r="W217" s="31" t="str">
        <f t="shared" si="158"/>
        <v>1-0.0386934335488533i</v>
      </c>
      <c r="X217" s="17">
        <f t="shared" si="168"/>
        <v>1.0007483109152868</v>
      </c>
      <c r="Y217" s="17">
        <f t="shared" si="169"/>
        <v>-3.8674140508842755E-2</v>
      </c>
      <c r="Z217" s="31" t="str">
        <f t="shared" si="159"/>
        <v>0.999684299971563+0.185135164269875i</v>
      </c>
      <c r="AA217" s="17">
        <f t="shared" si="170"/>
        <v>1.0166827079570437</v>
      </c>
      <c r="AB217" s="17">
        <f t="shared" si="171"/>
        <v>0.18311898197174434</v>
      </c>
      <c r="AC217" s="66" t="str">
        <f t="shared" si="172"/>
        <v>-0.958238555128798-4.47222087813149i</v>
      </c>
      <c r="AD217" s="64">
        <f t="shared" si="173"/>
        <v>13.205405194768263</v>
      </c>
      <c r="AE217" s="61">
        <f t="shared" si="174"/>
        <v>-102.09359965915762</v>
      </c>
      <c r="AF217" s="31" t="str">
        <f t="shared" si="160"/>
        <v>-0.000106860158311346</v>
      </c>
      <c r="AG217" s="31" t="str">
        <f t="shared" si="161"/>
        <v>0.0000283675509733242i</v>
      </c>
      <c r="AH217" s="31">
        <f t="shared" si="175"/>
        <v>2.83675509733242E-5</v>
      </c>
      <c r="AI217" s="31">
        <f t="shared" si="176"/>
        <v>1.5707963267948966</v>
      </c>
      <c r="AJ217" s="31" t="str">
        <f t="shared" si="162"/>
        <v>1+0.447833154174928i</v>
      </c>
      <c r="AK217" s="31">
        <f t="shared" si="177"/>
        <v>1.0956981947499342</v>
      </c>
      <c r="AL217" s="31">
        <f t="shared" si="178"/>
        <v>0.42105051495015794</v>
      </c>
      <c r="AM217" s="31" t="str">
        <f t="shared" si="163"/>
        <v>1+2.87359607262245i</v>
      </c>
      <c r="AN217" s="31">
        <f t="shared" si="179"/>
        <v>3.0426229455177594</v>
      </c>
      <c r="AO217" s="31">
        <f t="shared" si="180"/>
        <v>1.2359079034585618</v>
      </c>
      <c r="AP217" s="58" t="str">
        <f t="shared" si="181"/>
        <v>-7.6113278654158+7.17559064606897i</v>
      </c>
      <c r="AQ217" s="49">
        <f t="shared" si="182"/>
        <v>20.391023186655929</v>
      </c>
      <c r="AR217" s="61">
        <f t="shared" si="183"/>
        <v>136.68788926658362</v>
      </c>
      <c r="AS217" s="58" t="str">
        <f t="shared" si="184"/>
        <v>39.3842941166423+27.1636117771317i</v>
      </c>
      <c r="AT217" s="64">
        <f t="shared" si="185"/>
        <v>33.596428381424197</v>
      </c>
      <c r="AU217" s="61">
        <f t="shared" si="186"/>
        <v>34.594289607425999</v>
      </c>
    </row>
    <row r="218" spans="14:47" x14ac:dyDescent="0.35">
      <c r="N218" s="10">
        <v>100</v>
      </c>
      <c r="O218" s="50">
        <f t="shared" si="154"/>
        <v>1000</v>
      </c>
      <c r="P218" s="48" t="str">
        <f t="shared" si="155"/>
        <v>547.187404092767</v>
      </c>
      <c r="Q218" s="17" t="str">
        <f t="shared" si="156"/>
        <v>1+120.501008052342i</v>
      </c>
      <c r="R218" s="17">
        <f t="shared" si="164"/>
        <v>120.50515732378675</v>
      </c>
      <c r="S218" s="17">
        <f t="shared" si="165"/>
        <v>1.5624978315287628</v>
      </c>
      <c r="T218" s="17" t="str">
        <f t="shared" si="157"/>
        <v>1+0.0022801125298303i</v>
      </c>
      <c r="U218" s="17">
        <f t="shared" si="166"/>
        <v>1.0000025994531958</v>
      </c>
      <c r="V218" s="17">
        <f t="shared" si="167"/>
        <v>2.2801085784736213E-3</v>
      </c>
      <c r="W218" s="31" t="str">
        <f t="shared" si="158"/>
        <v>1-0.0395947193978226i</v>
      </c>
      <c r="X218" s="17">
        <f t="shared" si="168"/>
        <v>1.0007835639158911</v>
      </c>
      <c r="Y218" s="17">
        <f t="shared" si="169"/>
        <v>-3.9574047407072786E-2</v>
      </c>
      <c r="Z218" s="31" t="str">
        <f t="shared" si="159"/>
        <v>0.999669421487603+0.189447516222109i</v>
      </c>
      <c r="AA218" s="17">
        <f t="shared" si="170"/>
        <v>1.0174621927423568</v>
      </c>
      <c r="AB218" s="17">
        <f t="shared" si="171"/>
        <v>0.18728913524325386</v>
      </c>
      <c r="AC218" s="66" t="str">
        <f t="shared" si="172"/>
        <v>-0.958490364982622-4.3622980676593i</v>
      </c>
      <c r="AD218" s="64">
        <f t="shared" si="173"/>
        <v>12.99906940493733</v>
      </c>
      <c r="AE218" s="61">
        <f t="shared" si="174"/>
        <v>-102.3921935393323</v>
      </c>
      <c r="AF218" s="31" t="str">
        <f t="shared" si="160"/>
        <v>-0.000106860158311346</v>
      </c>
      <c r="AG218" s="31" t="str">
        <f t="shared" si="161"/>
        <v>0.0000290283161191697i</v>
      </c>
      <c r="AH218" s="31">
        <f t="shared" si="175"/>
        <v>2.9028316119169701E-5</v>
      </c>
      <c r="AI218" s="31">
        <f t="shared" si="176"/>
        <v>1.5707963267948966</v>
      </c>
      <c r="AJ218" s="31" t="str">
        <f t="shared" si="162"/>
        <v>1+0.45826452837819i</v>
      </c>
      <c r="AK218" s="31">
        <f t="shared" si="177"/>
        <v>1.1000028990733091</v>
      </c>
      <c r="AL218" s="31">
        <f t="shared" si="178"/>
        <v>0.42970541727891692</v>
      </c>
      <c r="AM218" s="31" t="str">
        <f t="shared" si="163"/>
        <v>1+2.94053072376004i</v>
      </c>
      <c r="AN218" s="31">
        <f t="shared" si="179"/>
        <v>3.1059170847556032</v>
      </c>
      <c r="AO218" s="31">
        <f t="shared" si="180"/>
        <v>1.2429908936723111</v>
      </c>
      <c r="AP218" s="58" t="str">
        <f t="shared" si="181"/>
        <v>-7.55187273785507+7.14199401651452i</v>
      </c>
      <c r="AQ218" s="49">
        <f t="shared" si="182"/>
        <v>20.335799944992242</v>
      </c>
      <c r="AR218" s="61">
        <f t="shared" si="183"/>
        <v>136.59782533662809</v>
      </c>
      <c r="AS218" s="58" t="str">
        <f t="shared" si="184"/>
        <v>38.3939039542846+26.0979873999614i</v>
      </c>
      <c r="AT218" s="64">
        <f t="shared" si="185"/>
        <v>33.334869349929576</v>
      </c>
      <c r="AU218" s="61">
        <f t="shared" si="186"/>
        <v>34.205631797295744</v>
      </c>
    </row>
    <row r="219" spans="14:47" x14ac:dyDescent="0.35">
      <c r="N219" s="10">
        <v>1</v>
      </c>
      <c r="O219" s="50">
        <f>10^(3+(N219/100))</f>
        <v>1023.2929922807547</v>
      </c>
      <c r="P219" s="48" t="str">
        <f t="shared" si="155"/>
        <v>547.187404092767</v>
      </c>
      <c r="Q219" s="17" t="str">
        <f t="shared" si="156"/>
        <v>1+123.307837102728i</v>
      </c>
      <c r="R219" s="17">
        <f t="shared" si="164"/>
        <v>123.31189192836554</v>
      </c>
      <c r="S219" s="17">
        <f t="shared" si="165"/>
        <v>1.5626867199646093</v>
      </c>
      <c r="T219" s="17" t="str">
        <f t="shared" si="157"/>
        <v>1+0.00233322317338689i</v>
      </c>
      <c r="U219" s="17">
        <f t="shared" si="166"/>
        <v>1.000002721961484</v>
      </c>
      <c r="V219" s="17">
        <f t="shared" si="167"/>
        <v>2.3332189394325497E-3</v>
      </c>
      <c r="W219" s="31" t="str">
        <f t="shared" si="158"/>
        <v>1-0.0405169988911147i</v>
      </c>
      <c r="X219" s="17">
        <f t="shared" si="168"/>
        <v>1.0008204770083107</v>
      </c>
      <c r="Y219" s="17">
        <f t="shared" si="169"/>
        <v>-4.049484943457942E-2</v>
      </c>
      <c r="Z219" s="31" t="str">
        <f t="shared" si="159"/>
        <v>0.999653841802297+0.193860315755079i</v>
      </c>
      <c r="AA219" s="17">
        <f t="shared" si="170"/>
        <v>1.0182777742122977</v>
      </c>
      <c r="AB219" s="17">
        <f t="shared" si="171"/>
        <v>0.19154980482004078</v>
      </c>
      <c r="AC219" s="66" t="str">
        <f t="shared" si="172"/>
        <v>-0.958595141710379-4.25471294041653i</v>
      </c>
      <c r="AD219" s="64">
        <f t="shared" si="173"/>
        <v>12.792444613906749</v>
      </c>
      <c r="AE219" s="61">
        <f t="shared" si="174"/>
        <v>-102.69684950456674</v>
      </c>
      <c r="AF219" s="31" t="str">
        <f t="shared" si="160"/>
        <v>-0.000106860158311346</v>
      </c>
      <c r="AG219" s="31" t="str">
        <f t="shared" si="161"/>
        <v>0.0000297044724624568i</v>
      </c>
      <c r="AH219" s="31">
        <f t="shared" si="175"/>
        <v>2.9704472462456801E-5</v>
      </c>
      <c r="AI219" s="31">
        <f t="shared" si="176"/>
        <v>1.5707963267948966</v>
      </c>
      <c r="AJ219" s="31" t="str">
        <f t="shared" si="162"/>
        <v>1+0.468938880500246i</v>
      </c>
      <c r="AK219" s="31">
        <f t="shared" si="177"/>
        <v>1.1044924959658278</v>
      </c>
      <c r="AL219" s="31">
        <f t="shared" si="178"/>
        <v>0.43849140340654164</v>
      </c>
      <c r="AM219" s="31" t="str">
        <f t="shared" si="163"/>
        <v>1+3.00902448320991i</v>
      </c>
      <c r="AN219" s="31">
        <f t="shared" si="179"/>
        <v>3.170840320886037</v>
      </c>
      <c r="AO219" s="31">
        <f t="shared" si="180"/>
        <v>1.2499457838341506</v>
      </c>
      <c r="AP219" s="58" t="str">
        <f t="shared" si="181"/>
        <v>-7.49060304992615+7.1100784051645i</v>
      </c>
      <c r="AQ219" s="49">
        <f t="shared" si="182"/>
        <v>20.280111437332209</v>
      </c>
      <c r="AR219" s="61">
        <f t="shared" si="183"/>
        <v>136.49291126590509</v>
      </c>
      <c r="AS219" s="58" t="str">
        <f t="shared" si="184"/>
        <v>37.4317982899697+25.0546791116737i</v>
      </c>
      <c r="AT219" s="64">
        <f t="shared" si="185"/>
        <v>33.072556051238962</v>
      </c>
      <c r="AU219" s="61">
        <f t="shared" si="186"/>
        <v>33.796061761338287</v>
      </c>
    </row>
    <row r="220" spans="14:47" x14ac:dyDescent="0.35">
      <c r="N220" s="10">
        <v>2</v>
      </c>
      <c r="O220" s="50">
        <f t="shared" ref="O220:O283" si="187">10^(3+(N220/100))</f>
        <v>1047.1285480509</v>
      </c>
      <c r="P220" s="48" t="str">
        <f t="shared" si="155"/>
        <v>547.187404092767</v>
      </c>
      <c r="Q220" s="17" t="str">
        <f t="shared" si="156"/>
        <v>1+126.180045600519i</v>
      </c>
      <c r="R220" s="17">
        <f t="shared" si="164"/>
        <v>126.1840081299887</v>
      </c>
      <c r="S220" s="17">
        <f t="shared" si="165"/>
        <v>1.5628713093339135</v>
      </c>
      <c r="T220" s="17" t="str">
        <f t="shared" si="157"/>
        <v>1+0.00238757092275387i</v>
      </c>
      <c r="U220" s="17">
        <f t="shared" si="166"/>
        <v>1.0000028502433937</v>
      </c>
      <c r="V220" s="17">
        <f t="shared" si="167"/>
        <v>2.3875663859907557E-3</v>
      </c>
      <c r="W220" s="31" t="str">
        <f t="shared" si="158"/>
        <v>1-0.0414607610335247i</v>
      </c>
      <c r="X220" s="17">
        <f t="shared" si="168"/>
        <v>1.0008591283020198</v>
      </c>
      <c r="Y220" s="17">
        <f t="shared" si="169"/>
        <v>-4.1437028563413837E-2</v>
      </c>
      <c r="Z220" s="31" t="str">
        <f t="shared" si="159"/>
        <v>0.999637527869044+0.198375902593506i</v>
      </c>
      <c r="AA220" s="17">
        <f t="shared" si="170"/>
        <v>1.0191310935566249</v>
      </c>
      <c r="AB220" s="17">
        <f t="shared" si="171"/>
        <v>0.19590264841422633</v>
      </c>
      <c r="AC220" s="66" t="str">
        <f t="shared" si="172"/>
        <v>-0.958553788018774-4.14941027213666i</v>
      </c>
      <c r="AD220" s="64">
        <f t="shared" si="173"/>
        <v>12.58551827261822</v>
      </c>
      <c r="AE220" s="61">
        <f t="shared" si="174"/>
        <v>-103.00769427151066</v>
      </c>
      <c r="AF220" s="31" t="str">
        <f t="shared" si="160"/>
        <v>-0.000106860158311346</v>
      </c>
      <c r="AG220" s="31" t="str">
        <f t="shared" si="161"/>
        <v>0.0000303963785102287i</v>
      </c>
      <c r="AH220" s="31">
        <f t="shared" si="175"/>
        <v>3.0396378510228699E-5</v>
      </c>
      <c r="AI220" s="31">
        <f t="shared" si="176"/>
        <v>1.5707963267948966</v>
      </c>
      <c r="AJ220" s="31" t="str">
        <f t="shared" si="162"/>
        <v>1+0.479861870223884i</v>
      </c>
      <c r="AK220" s="31">
        <f t="shared" si="177"/>
        <v>1.1091742038538237</v>
      </c>
      <c r="AL220" s="31">
        <f t="shared" si="178"/>
        <v>0.4474077049854327</v>
      </c>
      <c r="AM220" s="31" t="str">
        <f t="shared" si="163"/>
        <v>1+3.07911366726992i</v>
      </c>
      <c r="AN220" s="31">
        <f t="shared" si="179"/>
        <v>3.2374281422092475</v>
      </c>
      <c r="AO220" s="31">
        <f t="shared" si="180"/>
        <v>1.2567735693321174</v>
      </c>
      <c r="AP220" s="58" t="str">
        <f t="shared" si="181"/>
        <v>-7.42750240375398+7.07973078205601i</v>
      </c>
      <c r="AQ220" s="49">
        <f t="shared" si="182"/>
        <v>20.223886926916983</v>
      </c>
      <c r="AR220" s="61">
        <f t="shared" si="183"/>
        <v>136.373248109023</v>
      </c>
      <c r="AS220" s="58" t="str">
        <f t="shared" si="184"/>
        <v>36.4963681956622+24.0334520111636i</v>
      </c>
      <c r="AT220" s="64">
        <f t="shared" si="185"/>
        <v>32.809405199535192</v>
      </c>
      <c r="AU220" s="61">
        <f t="shared" si="186"/>
        <v>33.365553837512373</v>
      </c>
    </row>
    <row r="221" spans="14:47" x14ac:dyDescent="0.35">
      <c r="N221" s="10">
        <v>3</v>
      </c>
      <c r="O221" s="50">
        <f t="shared" si="187"/>
        <v>1071.5193052376069</v>
      </c>
      <c r="P221" s="48" t="str">
        <f t="shared" si="155"/>
        <v>547.187404092767</v>
      </c>
      <c r="Q221" s="17" t="str">
        <f t="shared" si="156"/>
        <v>1+129.119156428677i</v>
      </c>
      <c r="R221" s="17">
        <f t="shared" si="164"/>
        <v>129.12302876270044</v>
      </c>
      <c r="S221" s="17">
        <f t="shared" si="165"/>
        <v>1.5630516974580568</v>
      </c>
      <c r="T221" s="17" t="str">
        <f t="shared" si="157"/>
        <v>1+0.00244318459382733i</v>
      </c>
      <c r="U221" s="17">
        <f t="shared" si="166"/>
        <v>1.0000029845710259</v>
      </c>
      <c r="V221" s="17">
        <f t="shared" si="167"/>
        <v>2.4431797325988529E-3</v>
      </c>
      <c r="W221" s="31" t="str">
        <f t="shared" si="158"/>
        <v>1-0.0424265062202328i</v>
      </c>
      <c r="X221" s="17">
        <f t="shared" si="168"/>
        <v>1.0008995995753298</v>
      </c>
      <c r="Y221" s="17">
        <f t="shared" si="169"/>
        <v>-4.2401077654616516E-2</v>
      </c>
      <c r="Z221" s="31" t="str">
        <f t="shared" si="159"/>
        <v>0.999620445083803+0.202996670961304i</v>
      </c>
      <c r="AA221" s="17">
        <f t="shared" si="170"/>
        <v>1.0200238637654084</v>
      </c>
      <c r="AB221" s="17">
        <f t="shared" si="171"/>
        <v>0.20034933276392311</v>
      </c>
      <c r="AC221" s="66" t="str">
        <f t="shared" si="172"/>
        <v>-0.95836695768082-4.04633615118843i</v>
      </c>
      <c r="AD221" s="64">
        <f t="shared" si="173"/>
        <v>12.378277330207819</v>
      </c>
      <c r="AE221" s="61">
        <f t="shared" si="174"/>
        <v>-103.32485552988693</v>
      </c>
      <c r="AF221" s="31" t="str">
        <f t="shared" si="160"/>
        <v>-0.000106860158311346</v>
      </c>
      <c r="AG221" s="31" t="str">
        <f t="shared" si="161"/>
        <v>0.0000311044011202303i</v>
      </c>
      <c r="AH221" s="31">
        <f t="shared" si="175"/>
        <v>3.1104401120230299E-5</v>
      </c>
      <c r="AI221" s="31">
        <f t="shared" si="176"/>
        <v>1.5707963267948966</v>
      </c>
      <c r="AJ221" s="31" t="str">
        <f t="shared" si="162"/>
        <v>1+0.491039289062837i</v>
      </c>
      <c r="AK221" s="31">
        <f t="shared" si="177"/>
        <v>1.1140554669330143</v>
      </c>
      <c r="AL221" s="31">
        <f t="shared" si="178"/>
        <v>0.45645337775530975</v>
      </c>
      <c r="AM221" s="31" t="str">
        <f t="shared" si="163"/>
        <v>1+3.1508354381532i</v>
      </c>
      <c r="AN221" s="31">
        <f t="shared" si="179"/>
        <v>3.3057168599748628</v>
      </c>
      <c r="AO221" s="31">
        <f t="shared" si="180"/>
        <v>1.2634753230620881</v>
      </c>
      <c r="AP221" s="58" t="str">
        <f t="shared" si="181"/>
        <v>-7.36255740430973+7.05083672593903i</v>
      </c>
      <c r="AQ221" s="49">
        <f t="shared" si="182"/>
        <v>20.167056159401405</v>
      </c>
      <c r="AR221" s="61">
        <f t="shared" si="183"/>
        <v>136.23895144051599</v>
      </c>
      <c r="AS221" s="58" t="str">
        <f t="shared" si="184"/>
        <v>35.5860872806129+23.0340932481161i</v>
      </c>
      <c r="AT221" s="64">
        <f t="shared" si="185"/>
        <v>32.545333489609227</v>
      </c>
      <c r="AU221" s="61">
        <f t="shared" si="186"/>
        <v>32.914095910628994</v>
      </c>
    </row>
    <row r="222" spans="14:47" x14ac:dyDescent="0.35">
      <c r="N222" s="10">
        <v>4</v>
      </c>
      <c r="O222" s="50">
        <f t="shared" si="187"/>
        <v>1096.4781961431863</v>
      </c>
      <c r="P222" s="48" t="str">
        <f t="shared" si="155"/>
        <v>547.187404092767</v>
      </c>
      <c r="Q222" s="17" t="str">
        <f t="shared" si="156"/>
        <v>1+132.126727942667i</v>
      </c>
      <c r="R222" s="17">
        <f t="shared" si="164"/>
        <v>132.13051213416054</v>
      </c>
      <c r="S222" s="17">
        <f t="shared" si="165"/>
        <v>1.563227979934225</v>
      </c>
      <c r="T222" s="17" t="str">
        <f t="shared" si="157"/>
        <v>1+0.00250009367371181i</v>
      </c>
      <c r="U222" s="17">
        <f t="shared" si="166"/>
        <v>1.0000031252293051</v>
      </c>
      <c r="V222" s="17">
        <f t="shared" si="167"/>
        <v>2.5000884648125289E-3</v>
      </c>
      <c r="W222" s="31" t="str">
        <f t="shared" si="158"/>
        <v>1-0.0434147465021201i</v>
      </c>
      <c r="X222" s="17">
        <f t="shared" si="168"/>
        <v>1.0009419764471081</v>
      </c>
      <c r="Y222" s="17">
        <f t="shared" si="169"/>
        <v>-4.3387500687865989E-2</v>
      </c>
      <c r="Z222" s="31" t="str">
        <f t="shared" si="159"/>
        <v>0.999602557211697+0.207725070851025i</v>
      </c>
      <c r="AA222" s="17">
        <f t="shared" si="170"/>
        <v>1.020957872511999</v>
      </c>
      <c r="AB222" s="17">
        <f t="shared" si="171"/>
        <v>0.20489153202933369</v>
      </c>
      <c r="AC222" s="66" t="str">
        <f t="shared" si="172"/>
        <v>-0.95803506210924-3.94543795642316i</v>
      </c>
      <c r="AD222" s="64">
        <f t="shared" si="173"/>
        <v>12.170708218606789</v>
      </c>
      <c r="AE222" s="61">
        <f t="shared" si="174"/>
        <v>-103.64846186583536</v>
      </c>
      <c r="AF222" s="31" t="str">
        <f t="shared" si="160"/>
        <v>-0.000106860158311346</v>
      </c>
      <c r="AG222" s="31" t="str">
        <f t="shared" si="161"/>
        <v>0.0000318289156954214i</v>
      </c>
      <c r="AH222" s="31">
        <f t="shared" si="175"/>
        <v>3.1828915695421399E-5</v>
      </c>
      <c r="AI222" s="31">
        <f t="shared" si="176"/>
        <v>1.5707963267948966</v>
      </c>
      <c r="AJ222" s="31" t="str">
        <f t="shared" si="162"/>
        <v>1+0.502477063432525i</v>
      </c>
      <c r="AK222" s="31">
        <f t="shared" si="177"/>
        <v>1.1191439582447709</v>
      </c>
      <c r="AL222" s="31">
        <f t="shared" si="178"/>
        <v>0.46562729563427679</v>
      </c>
      <c r="AM222" s="31" t="str">
        <f t="shared" si="163"/>
        <v>1+3.22422782369203i</v>
      </c>
      <c r="AN222" s="31">
        <f t="shared" si="179"/>
        <v>3.3757436305308861</v>
      </c>
      <c r="AO222" s="31">
        <f t="shared" si="180"/>
        <v>1.2700521895464365</v>
      </c>
      <c r="AP222" s="58" t="str">
        <f t="shared" si="181"/>
        <v>-7.29575788617668+7.02328051996779i</v>
      </c>
      <c r="AQ222" s="49">
        <f t="shared" si="182"/>
        <v>20.10954943461314</v>
      </c>
      <c r="AR222" s="61">
        <f t="shared" si="183"/>
        <v>136.09015135642576</v>
      </c>
      <c r="AS222" s="58" t="str">
        <f t="shared" si="184"/>
        <v>34.6995094017056+22.0564110958371i</v>
      </c>
      <c r="AT222" s="64">
        <f t="shared" si="185"/>
        <v>32.280257653219941</v>
      </c>
      <c r="AU222" s="61">
        <f t="shared" si="186"/>
        <v>32.441689490590356</v>
      </c>
    </row>
    <row r="223" spans="14:47" x14ac:dyDescent="0.35">
      <c r="N223" s="10">
        <v>5</v>
      </c>
      <c r="O223" s="50">
        <f t="shared" si="187"/>
        <v>1122.0184543019636</v>
      </c>
      <c r="P223" s="48" t="str">
        <f t="shared" si="155"/>
        <v>547.187404092767</v>
      </c>
      <c r="Q223" s="17" t="str">
        <f t="shared" si="156"/>
        <v>1+135.204354796717i</v>
      </c>
      <c r="R223" s="17">
        <f t="shared" si="164"/>
        <v>135.2080528518791</v>
      </c>
      <c r="S223" s="17">
        <f t="shared" si="165"/>
        <v>1.5634002501858708</v>
      </c>
      <c r="T223" s="17" t="str">
        <f t="shared" si="157"/>
        <v>1+0.00255832833635474i</v>
      </c>
      <c r="U223" s="17">
        <f t="shared" si="166"/>
        <v>1.0000032725165837</v>
      </c>
      <c r="V223" s="17">
        <f t="shared" si="167"/>
        <v>2.5583227549195878E-3</v>
      </c>
      <c r="W223" s="31" t="str">
        <f t="shared" si="158"/>
        <v>1-0.0444260058572648i</v>
      </c>
      <c r="X223" s="17">
        <f t="shared" si="168"/>
        <v>1.0009863485564774</v>
      </c>
      <c r="Y223" s="17">
        <f t="shared" si="169"/>
        <v>-4.4396812994780425E-2</v>
      </c>
      <c r="Z223" s="31" t="str">
        <f t="shared" si="159"/>
        <v>0.999583826310151+0.212563609322877i</v>
      </c>
      <c r="AA223" s="17">
        <f t="shared" si="170"/>
        <v>1.0219349851283157</v>
      </c>
      <c r="AB223" s="17">
        <f t="shared" si="171"/>
        <v>0.20953092605515011</v>
      </c>
      <c r="AC223" s="66" t="str">
        <f t="shared" si="172"/>
        <v>-0.957558276826889-3.8466643359292i</v>
      </c>
      <c r="AD223" s="64">
        <f t="shared" si="173"/>
        <v>11.962796837090631</v>
      </c>
      <c r="AE223" s="61">
        <f t="shared" si="174"/>
        <v>-103.9786426777186</v>
      </c>
      <c r="AF223" s="31" t="str">
        <f t="shared" si="160"/>
        <v>-0.000106860158311346</v>
      </c>
      <c r="AG223" s="31" t="str">
        <f t="shared" si="161"/>
        <v>0.0000325703063830195i</v>
      </c>
      <c r="AH223" s="31">
        <f t="shared" si="175"/>
        <v>3.2570306383019502E-5</v>
      </c>
      <c r="AI223" s="31">
        <f t="shared" si="176"/>
        <v>1.5707963267948966</v>
      </c>
      <c r="AJ223" s="31" t="str">
        <f t="shared" si="162"/>
        <v>1+0.514181257792315i</v>
      </c>
      <c r="AK223" s="31">
        <f t="shared" si="177"/>
        <v>1.1244475825332576</v>
      </c>
      <c r="AL223" s="31">
        <f t="shared" si="178"/>
        <v>0.47492814513497261</v>
      </c>
      <c r="AM223" s="31" t="str">
        <f t="shared" si="163"/>
        <v>1+3.29932973750068i</v>
      </c>
      <c r="AN223" s="31">
        <f t="shared" si="179"/>
        <v>3.4475464778239471</v>
      </c>
      <c r="AO223" s="31">
        <f t="shared" si="180"/>
        <v>1.2765053792439254</v>
      </c>
      <c r="AP223" s="58" t="str">
        <f t="shared" si="181"/>
        <v>-7.22709713858548+6.99694526862875i</v>
      </c>
      <c r="AQ223" s="49">
        <f t="shared" si="182"/>
        <v>20.051297680772233</v>
      </c>
      <c r="AR223" s="61">
        <f t="shared" si="183"/>
        <v>135.92699246821297</v>
      </c>
      <c r="AS223" s="58" t="str">
        <f t="shared" si="184"/>
        <v>33.8352665077672+21.1002339608125i</v>
      </c>
      <c r="AT223" s="64">
        <f t="shared" si="185"/>
        <v>32.014094517862858</v>
      </c>
      <c r="AU223" s="61">
        <f t="shared" si="186"/>
        <v>31.948349790494362</v>
      </c>
    </row>
    <row r="224" spans="14:47" x14ac:dyDescent="0.35">
      <c r="N224" s="10">
        <v>6</v>
      </c>
      <c r="O224" s="50">
        <f t="shared" si="187"/>
        <v>1148.1536214968839</v>
      </c>
      <c r="P224" s="48" t="str">
        <f t="shared" si="155"/>
        <v>547.187404092767</v>
      </c>
      <c r="Q224" s="17" t="str">
        <f t="shared" si="156"/>
        <v>1+138.353668789322i</v>
      </c>
      <c r="R224" s="17">
        <f t="shared" si="164"/>
        <v>138.35728266869586</v>
      </c>
      <c r="S224" s="17">
        <f t="shared" si="165"/>
        <v>1.5635685995120383</v>
      </c>
      <c r="T224" s="17" t="str">
        <f t="shared" si="157"/>
        <v>1+0.00261791945854508i</v>
      </c>
      <c r="U224" s="17">
        <f t="shared" si="166"/>
        <v>1.0000034267452744</v>
      </c>
      <c r="V224" s="17">
        <f t="shared" si="167"/>
        <v>2.6179134779306702E-3</v>
      </c>
      <c r="W224" s="31" t="str">
        <f t="shared" si="158"/>
        <v>1-0.0454608204687629i</v>
      </c>
      <c r="X224" s="17">
        <f t="shared" si="168"/>
        <v>1.0010328097508558</v>
      </c>
      <c r="Y224" s="17">
        <f t="shared" si="169"/>
        <v>-4.5429541495838298E-2</v>
      </c>
      <c r="Z224" s="31" t="str">
        <f t="shared" si="159"/>
        <v>0.999564212648411+0.217514851834004i</v>
      </c>
      <c r="AA224" s="17">
        <f t="shared" si="170"/>
        <v>1.0229571476732575</v>
      </c>
      <c r="AB224" s="17">
        <f t="shared" si="171"/>
        <v>0.21426919849276843</v>
      </c>
      <c r="AC224" s="66" t="str">
        <f t="shared" si="172"/>
        <v>-0.956936547875474-3.74996518668363i</v>
      </c>
      <c r="AD224" s="64">
        <f t="shared" si="173"/>
        <v>11.754528536825667</v>
      </c>
      <c r="AE224" s="61">
        <f t="shared" si="174"/>
        <v>-104.31552808401726</v>
      </c>
      <c r="AF224" s="31" t="str">
        <f t="shared" si="160"/>
        <v>-0.000106860158311346</v>
      </c>
      <c r="AG224" s="31" t="str">
        <f t="shared" si="161"/>
        <v>0.000033328966278181i</v>
      </c>
      <c r="AH224" s="31">
        <f t="shared" si="175"/>
        <v>3.3328966278181001E-5</v>
      </c>
      <c r="AI224" s="31">
        <f t="shared" si="176"/>
        <v>1.5707963267948966</v>
      </c>
      <c r="AJ224" s="31" t="str">
        <f t="shared" si="162"/>
        <v>1+0.526158077860979i</v>
      </c>
      <c r="AK224" s="31">
        <f t="shared" si="177"/>
        <v>1.1299744788703681</v>
      </c>
      <c r="AL224" s="31">
        <f t="shared" si="178"/>
        <v>0.48435442015878871</v>
      </c>
      <c r="AM224" s="31" t="str">
        <f t="shared" si="163"/>
        <v>1+3.37618099960794i</v>
      </c>
      <c r="AN224" s="31">
        <f t="shared" si="179"/>
        <v>3.5211643162615505</v>
      </c>
      <c r="AO224" s="31">
        <f t="shared" si="180"/>
        <v>1.2828361630586405</v>
      </c>
      <c r="AP224" s="58" t="str">
        <f t="shared" si="181"/>
        <v>-7.15657212683686+6.97171303648657i</v>
      </c>
      <c r="AQ224" s="49">
        <f t="shared" si="182"/>
        <v>19.99223253130932</v>
      </c>
      <c r="AR224" s="61">
        <f t="shared" si="183"/>
        <v>135.74963388641163</v>
      </c>
      <c r="AS224" s="58" t="str">
        <f t="shared" si="184"/>
        <v>32.9920666040502+20.1654093257148i</v>
      </c>
      <c r="AT224" s="64">
        <f t="shared" si="185"/>
        <v>31.746761068135001</v>
      </c>
      <c r="AU224" s="61">
        <f t="shared" si="186"/>
        <v>31.434105802394381</v>
      </c>
    </row>
    <row r="225" spans="14:47" x14ac:dyDescent="0.35">
      <c r="N225" s="10">
        <v>7</v>
      </c>
      <c r="O225" s="50">
        <f t="shared" si="187"/>
        <v>1174.8975549395295</v>
      </c>
      <c r="P225" s="48" t="str">
        <f t="shared" si="155"/>
        <v>547.187404092767</v>
      </c>
      <c r="Q225" s="17" t="str">
        <f t="shared" si="156"/>
        <v>1+141.576339728445i</v>
      </c>
      <c r="R225" s="17">
        <f t="shared" si="164"/>
        <v>141.57987134795707</v>
      </c>
      <c r="S225" s="17">
        <f t="shared" si="165"/>
        <v>1.5637331171355766</v>
      </c>
      <c r="T225" s="17" t="str">
        <f t="shared" si="157"/>
        <v>1+0.00267889863628461i</v>
      </c>
      <c r="U225" s="17">
        <f t="shared" si="166"/>
        <v>1.000003588242514</v>
      </c>
      <c r="V225" s="17">
        <f t="shared" si="167"/>
        <v>2.6788922279420545E-3</v>
      </c>
      <c r="W225" s="31" t="str">
        <f t="shared" si="158"/>
        <v>1-0.0465197390090185i</v>
      </c>
      <c r="X225" s="17">
        <f t="shared" si="168"/>
        <v>1.001081458282725</v>
      </c>
      <c r="Y225" s="17">
        <f t="shared" si="169"/>
        <v>-4.6486224940872962E-2</v>
      </c>
      <c r="Z225" s="31" t="str">
        <f t="shared" si="159"/>
        <v>0.999543674623272+0.222581423598722i</v>
      </c>
      <c r="AA225" s="17">
        <f t="shared" si="170"/>
        <v>1.0240263900948192</v>
      </c>
      <c r="AB225" s="17">
        <f t="shared" si="171"/>
        <v>0.21910803477577573</v>
      </c>
      <c r="AC225" s="66" t="str">
        <f t="shared" si="172"/>
        <v>-0.956169598204899-3.65529163508975i</v>
      </c>
      <c r="AD225" s="64">
        <f t="shared" si="173"/>
        <v>11.545888105466997</v>
      </c>
      <c r="AE225" s="61">
        <f t="shared" si="174"/>
        <v>-104.65924882293891</v>
      </c>
      <c r="AF225" s="31" t="str">
        <f t="shared" si="160"/>
        <v>-0.000106860158311346</v>
      </c>
      <c r="AG225" s="31" t="str">
        <f t="shared" si="161"/>
        <v>0.0000341052976324242i</v>
      </c>
      <c r="AH225" s="31">
        <f t="shared" si="175"/>
        <v>3.4105297632424199E-5</v>
      </c>
      <c r="AI225" s="31">
        <f t="shared" si="176"/>
        <v>1.5707963267948966</v>
      </c>
      <c r="AJ225" s="31" t="str">
        <f t="shared" si="162"/>
        <v>1+0.538413873907051i</v>
      </c>
      <c r="AK225" s="31">
        <f t="shared" si="177"/>
        <v>1.135733023036487</v>
      </c>
      <c r="AL225" s="31">
        <f t="shared" si="178"/>
        <v>0.49390441722241718</v>
      </c>
      <c r="AM225" s="31" t="str">
        <f t="shared" si="163"/>
        <v>1+3.45482235757024i</v>
      </c>
      <c r="AN225" s="31">
        <f t="shared" si="179"/>
        <v>3.5966369739476338</v>
      </c>
      <c r="AO225" s="31">
        <f t="shared" si="180"/>
        <v>1.2890458670539209</v>
      </c>
      <c r="AP225" s="58" t="str">
        <f t="shared" si="181"/>
        <v>-7.0841837080953+6.94746500916396i</v>
      </c>
      <c r="AQ225" s="49">
        <f t="shared" si="182"/>
        <v>19.932286404373631</v>
      </c>
      <c r="AR225" s="61">
        <f t="shared" si="183"/>
        <v>135.5582491912584</v>
      </c>
      <c r="AS225" s="58" t="str">
        <f t="shared" si="184"/>
        <v>32.1686918228549+19.2518026232849i</v>
      </c>
      <c r="AT225" s="64">
        <f t="shared" si="185"/>
        <v>31.478174509840613</v>
      </c>
      <c r="AU225" s="61">
        <f t="shared" si="186"/>
        <v>30.899000368319449</v>
      </c>
    </row>
    <row r="226" spans="14:47" x14ac:dyDescent="0.35">
      <c r="N226" s="10">
        <v>8</v>
      </c>
      <c r="O226" s="50">
        <f t="shared" si="187"/>
        <v>1202.2644346174138</v>
      </c>
      <c r="P226" s="48" t="str">
        <f t="shared" si="155"/>
        <v>547.187404092767</v>
      </c>
      <c r="Q226" s="17" t="str">
        <f t="shared" si="156"/>
        <v>1+144.874076316877i</v>
      </c>
      <c r="R226" s="17">
        <f t="shared" si="164"/>
        <v>144.87752754885173</v>
      </c>
      <c r="S226" s="17">
        <f t="shared" si="165"/>
        <v>1.5638938902502642</v>
      </c>
      <c r="T226" s="17" t="str">
        <f t="shared" si="157"/>
        <v>1+0.00274129820154051i</v>
      </c>
      <c r="U226" s="17">
        <f t="shared" si="166"/>
        <v>1.000003757350856</v>
      </c>
      <c r="V226" s="17">
        <f t="shared" si="167"/>
        <v>2.7412913348791408E-3</v>
      </c>
      <c r="W226" s="31" t="str">
        <f t="shared" si="158"/>
        <v>1-0.0476033229306583i</v>
      </c>
      <c r="X226" s="17">
        <f t="shared" si="168"/>
        <v>1.0011323970155199</v>
      </c>
      <c r="Y226" s="17">
        <f t="shared" si="169"/>
        <v>-4.7567414153092083E-2</v>
      </c>
      <c r="Z226" s="31" t="str">
        <f t="shared" si="159"/>
        <v>0.999522168670828+0.227766010980447i</v>
      </c>
      <c r="AA226" s="17">
        <f t="shared" si="170"/>
        <v>1.025144829486244</v>
      </c>
      <c r="AB226" s="17">
        <f t="shared" si="171"/>
        <v>0.22404911994217805</v>
      </c>
      <c r="AC226" s="66" t="str">
        <f t="shared" si="172"/>
        <v>-0.955256934086625-3.5625960183878i</v>
      </c>
      <c r="AD226" s="64">
        <f t="shared" si="173"/>
        <v>11.336859751867935</v>
      </c>
      <c r="AE226" s="61">
        <f t="shared" si="174"/>
        <v>-105.0099361433616</v>
      </c>
      <c r="AF226" s="31" t="str">
        <f t="shared" si="160"/>
        <v>-0.000106860158311346</v>
      </c>
      <c r="AG226" s="31" t="str">
        <f t="shared" si="161"/>
        <v>0.0000348997120669091i</v>
      </c>
      <c r="AH226" s="31">
        <f t="shared" si="175"/>
        <v>3.4899712066909098E-5</v>
      </c>
      <c r="AI226" s="31">
        <f t="shared" si="176"/>
        <v>1.5707963267948966</v>
      </c>
      <c r="AJ226" s="31" t="str">
        <f t="shared" si="162"/>
        <v>1+0.55095514411582i</v>
      </c>
      <c r="AK226" s="31">
        <f t="shared" si="177"/>
        <v>1.1417318296463859</v>
      </c>
      <c r="AL226" s="31">
        <f t="shared" si="178"/>
        <v>0.50357623117182448</v>
      </c>
      <c r="AM226" s="31" t="str">
        <f t="shared" si="163"/>
        <v>1+3.5352955080765i</v>
      </c>
      <c r="AN226" s="31">
        <f t="shared" si="179"/>
        <v>3.6740052163035752</v>
      </c>
      <c r="AO226" s="31">
        <f t="shared" si="180"/>
        <v>1.2951358673755677</v>
      </c>
      <c r="AP226" s="58" t="str">
        <f t="shared" si="181"/>
        <v>-7.00993683941328+6.92408167677936i</v>
      </c>
      <c r="AQ226" s="49">
        <f t="shared" si="182"/>
        <v>19.871392585068126</v>
      </c>
      <c r="AR226" s="61">
        <f t="shared" si="183"/>
        <v>135.35302638738537</v>
      </c>
      <c r="AS226" s="58" t="str">
        <f t="shared" si="184"/>
        <v>31.3639965860449+18.3592960393181i</v>
      </c>
      <c r="AT226" s="64">
        <f t="shared" si="185"/>
        <v>31.208252336936066</v>
      </c>
      <c r="AU226" s="61">
        <f t="shared" si="186"/>
        <v>30.343090244023784</v>
      </c>
    </row>
    <row r="227" spans="14:47" x14ac:dyDescent="0.35">
      <c r="N227" s="10">
        <v>9</v>
      </c>
      <c r="O227" s="50">
        <f t="shared" si="187"/>
        <v>1230.2687708123824</v>
      </c>
      <c r="P227" s="48" t="str">
        <f t="shared" si="155"/>
        <v>547.187404092767</v>
      </c>
      <c r="Q227" s="17" t="str">
        <f t="shared" si="156"/>
        <v>1+148.248627058208i</v>
      </c>
      <c r="R227" s="17">
        <f t="shared" si="164"/>
        <v>148.25199973235991</v>
      </c>
      <c r="S227" s="17">
        <f t="shared" si="165"/>
        <v>1.5640510040668703</v>
      </c>
      <c r="T227" s="17" t="str">
        <f t="shared" si="157"/>
        <v>1+0.00280515123938824i</v>
      </c>
      <c r="U227" s="17">
        <f t="shared" si="166"/>
        <v>1.0000039344289982</v>
      </c>
      <c r="V227" s="17">
        <f t="shared" si="167"/>
        <v>2.8051438816295835E-3</v>
      </c>
      <c r="W227" s="31" t="str">
        <f t="shared" si="158"/>
        <v>1-0.0487121467642203i</v>
      </c>
      <c r="X227" s="17">
        <f t="shared" si="168"/>
        <v>1.0011857336390579</v>
      </c>
      <c r="Y227" s="17">
        <f t="shared" si="169"/>
        <v>-4.8673672276554378E-2</v>
      </c>
      <c r="Z227" s="31" t="str">
        <f t="shared" si="159"/>
        <v>0.999499649174071+0.233071362916033i</v>
      </c>
      <c r="AA227" s="17">
        <f t="shared" si="170"/>
        <v>1.0263146734362849</v>
      </c>
      <c r="AB227" s="17">
        <f t="shared" si="171"/>
        <v>0.22909413629682535</v>
      </c>
      <c r="AC227" s="66" t="str">
        <f t="shared" si="172"/>
        <v>-0.954197851596064-3.4718318669253i</v>
      </c>
      <c r="AD227" s="64">
        <f t="shared" si="173"/>
        <v>11.127427090969315</v>
      </c>
      <c r="AE227" s="61">
        <f t="shared" si="174"/>
        <v>-105.36772168673852</v>
      </c>
      <c r="AF227" s="31" t="str">
        <f t="shared" si="160"/>
        <v>-0.000106860158311346</v>
      </c>
      <c r="AG227" s="31" t="str">
        <f t="shared" si="161"/>
        <v>0.0000357126307906842i</v>
      </c>
      <c r="AH227" s="31">
        <f t="shared" si="175"/>
        <v>3.5712630790684199E-5</v>
      </c>
      <c r="AI227" s="31">
        <f t="shared" si="176"/>
        <v>1.5707963267948966</v>
      </c>
      <c r="AJ227" s="31" t="str">
        <f t="shared" si="162"/>
        <v>1+0.563788538034751i</v>
      </c>
      <c r="AK227" s="31">
        <f t="shared" si="177"/>
        <v>1.1479797540110896</v>
      </c>
      <c r="AL227" s="31">
        <f t="shared" si="178"/>
        <v>0.51336775143909374</v>
      </c>
      <c r="AM227" s="31" t="str">
        <f t="shared" si="163"/>
        <v>1+3.61764311905631i</v>
      </c>
      <c r="AN227" s="31">
        <f t="shared" si="179"/>
        <v>3.7533107700875861</v>
      </c>
      <c r="AO227" s="31">
        <f t="shared" si="180"/>
        <v>1.3011075853870808</v>
      </c>
      <c r="AP227" s="58" t="str">
        <f t="shared" si="181"/>
        <v>-6.93384077574232+6.90144303985616i</v>
      </c>
      <c r="AQ227" s="49">
        <f t="shared" si="182"/>
        <v>19.809485310396166</v>
      </c>
      <c r="AR227" s="61">
        <f t="shared" si="183"/>
        <v>135.13416783955594</v>
      </c>
      <c r="AS227" s="58" t="str">
        <f t="shared" si="184"/>
        <v>30.5769058450649+17.4877872438649i</v>
      </c>
      <c r="AT227" s="64">
        <f t="shared" si="185"/>
        <v>30.936912401365475</v>
      </c>
      <c r="AU227" s="61">
        <f t="shared" si="186"/>
        <v>29.76644615281749</v>
      </c>
    </row>
    <row r="228" spans="14:47" x14ac:dyDescent="0.35">
      <c r="N228" s="10">
        <v>10</v>
      </c>
      <c r="O228" s="50">
        <f t="shared" si="187"/>
        <v>1258.925411794168</v>
      </c>
      <c r="P228" s="48" t="str">
        <f t="shared" si="155"/>
        <v>547.187404092767</v>
      </c>
      <c r="Q228" s="17" t="str">
        <f t="shared" si="156"/>
        <v>1+151.701781183907i</v>
      </c>
      <c r="R228" s="17">
        <f t="shared" si="164"/>
        <v>151.70507708830974</v>
      </c>
      <c r="S228" s="17">
        <f t="shared" si="165"/>
        <v>1.5642045418581756</v>
      </c>
      <c r="T228" s="17" t="str">
        <f t="shared" si="157"/>
        <v>1+0.00287049160555366i</v>
      </c>
      <c r="U228" s="17">
        <f t="shared" si="166"/>
        <v>1.0000041198525422</v>
      </c>
      <c r="V228" s="17">
        <f t="shared" si="167"/>
        <v>2.8704837215749708E-3</v>
      </c>
      <c r="W228" s="31" t="str">
        <f t="shared" si="158"/>
        <v>1-0.0498467984227783i</v>
      </c>
      <c r="X228" s="17">
        <f t="shared" si="168"/>
        <v>1.0012415808949413</v>
      </c>
      <c r="Y228" s="17">
        <f t="shared" si="169"/>
        <v>-4.9805575027032395E-2</v>
      </c>
      <c r="Z228" s="31" t="str">
        <f t="shared" si="159"/>
        <v>0.999476068366129+0.238500292373301i</v>
      </c>
      <c r="AA228" s="17">
        <f t="shared" si="170"/>
        <v>1.0275382234733483</v>
      </c>
      <c r="AB228" s="17">
        <f t="shared" si="171"/>
        <v>0.23424476090761034</v>
      </c>
      <c r="AC228" s="66" t="str">
        <f t="shared" si="172"/>
        <v>-0.952991443209626-3.38295388727023i</v>
      </c>
      <c r="AD228" s="64">
        <f t="shared" si="173"/>
        <v>10.917573128940226</v>
      </c>
      <c r="AE228" s="61">
        <f t="shared" si="174"/>
        <v>-105.73273735958901</v>
      </c>
      <c r="AF228" s="31" t="str">
        <f t="shared" si="160"/>
        <v>-0.000106860158311346</v>
      </c>
      <c r="AG228" s="31" t="str">
        <f t="shared" si="161"/>
        <v>0.000036544484824017i</v>
      </c>
      <c r="AH228" s="31">
        <f t="shared" si="175"/>
        <v>3.6544484824017E-5</v>
      </c>
      <c r="AI228" s="31">
        <f t="shared" si="176"/>
        <v>1.5707963267948966</v>
      </c>
      <c r="AJ228" s="31" t="str">
        <f t="shared" si="162"/>
        <v>1+0.576920860099173i</v>
      </c>
      <c r="AK228" s="31">
        <f t="shared" si="177"/>
        <v>1.1544858937282731</v>
      </c>
      <c r="AL228" s="31">
        <f t="shared" si="178"/>
        <v>0.52327665889735064</v>
      </c>
      <c r="AM228" s="31" t="str">
        <f t="shared" si="163"/>
        <v>1+3.70190885230302i</v>
      </c>
      <c r="AN228" s="31">
        <f t="shared" si="179"/>
        <v>3.8345963478258649</v>
      </c>
      <c r="AO228" s="31">
        <f t="shared" si="180"/>
        <v>1.306962483018268</v>
      </c>
      <c r="AP228" s="58" t="str">
        <f t="shared" si="181"/>
        <v>-6.85590925560168+6.87942883748221i</v>
      </c>
      <c r="AQ228" s="49">
        <f t="shared" si="182"/>
        <v>19.746499856845304</v>
      </c>
      <c r="AR228" s="61">
        <f t="shared" si="183"/>
        <v>134.90189018636028</v>
      </c>
      <c r="AS228" s="58" t="str">
        <f t="shared" si="184"/>
        <v>29.8064133839694+16.6371880507196i</v>
      </c>
      <c r="AT228" s="64">
        <f t="shared" si="185"/>
        <v>30.664072985785523</v>
      </c>
      <c r="AU228" s="61">
        <f t="shared" si="186"/>
        <v>29.169152826771352</v>
      </c>
    </row>
    <row r="229" spans="14:47" x14ac:dyDescent="0.35">
      <c r="N229" s="10">
        <v>11</v>
      </c>
      <c r="O229" s="50">
        <f t="shared" si="187"/>
        <v>1288.2495516931347</v>
      </c>
      <c r="P229" s="48" t="str">
        <f t="shared" si="155"/>
        <v>547.187404092767</v>
      </c>
      <c r="Q229" s="17" t="str">
        <f t="shared" si="156"/>
        <v>1+155.235369602i</v>
      </c>
      <c r="R229" s="17">
        <f t="shared" si="164"/>
        <v>155.23859048403381</v>
      </c>
      <c r="S229" s="17">
        <f t="shared" si="165"/>
        <v>1.564354585002977</v>
      </c>
      <c r="T229" s="17" t="str">
        <f t="shared" si="157"/>
        <v>1+0.00293735394436379i</v>
      </c>
      <c r="U229" s="17">
        <f t="shared" si="166"/>
        <v>1.0000043140147918</v>
      </c>
      <c r="V229" s="17">
        <f t="shared" si="167"/>
        <v>2.9373454965303911E-3</v>
      </c>
      <c r="W229" s="31" t="str">
        <f t="shared" si="158"/>
        <v>1-0.0510078795136603i</v>
      </c>
      <c r="X229" s="17">
        <f t="shared" si="168"/>
        <v>1.0013000568123822</v>
      </c>
      <c r="Y229" s="17">
        <f t="shared" si="169"/>
        <v>-5.0963710946170776E-2</v>
      </c>
      <c r="Z229" s="31" t="str">
        <f t="shared" si="159"/>
        <v>0.999451376228946+0.244055677842509i</v>
      </c>
      <c r="AA229" s="17">
        <f t="shared" si="170"/>
        <v>1.0288178786029627</v>
      </c>
      <c r="AB229" s="17">
        <f t="shared" si="171"/>
        <v>0.23950266292908859</v>
      </c>
      <c r="AC229" s="66" t="str">
        <f t="shared" si="172"/>
        <v>-0.951636604563259-3.29591794614837i</v>
      </c>
      <c r="AD229" s="64">
        <f t="shared" si="173"/>
        <v>10.707280248649365</v>
      </c>
      <c r="AE229" s="61">
        <f t="shared" si="174"/>
        <v>-106.10511519620846</v>
      </c>
      <c r="AF229" s="31" t="str">
        <f t="shared" si="160"/>
        <v>-0.000106860158311346</v>
      </c>
      <c r="AG229" s="31" t="str">
        <f t="shared" si="161"/>
        <v>0.0000373957152269269i</v>
      </c>
      <c r="AH229" s="31">
        <f t="shared" si="175"/>
        <v>3.7395715226926902E-5</v>
      </c>
      <c r="AI229" s="31">
        <f t="shared" si="176"/>
        <v>1.5707963267948966</v>
      </c>
      <c r="AJ229" s="31" t="str">
        <f t="shared" si="162"/>
        <v>1+0.590359073240068i</v>
      </c>
      <c r="AK229" s="31">
        <f t="shared" si="177"/>
        <v>1.1612595899956528</v>
      </c>
      <c r="AL229" s="31">
        <f t="shared" si="178"/>
        <v>0.53330042336810968</v>
      </c>
      <c r="AM229" s="31" t="str">
        <f t="shared" si="163"/>
        <v>1+3.78813738662376i</v>
      </c>
      <c r="AN229" s="31">
        <f t="shared" si="179"/>
        <v>3.9179056726696073</v>
      </c>
      <c r="AO229" s="31">
        <f t="shared" si="180"/>
        <v>1.312702058327329</v>
      </c>
      <c r="AP229" s="58" t="str">
        <f t="shared" si="181"/>
        <v>-6.77616067201496+6.85791879724634i</v>
      </c>
      <c r="AQ229" s="49">
        <f t="shared" si="182"/>
        <v>19.682372630474131</v>
      </c>
      <c r="AR229" s="61">
        <f t="shared" si="183"/>
        <v>134.65642422875925</v>
      </c>
      <c r="AS229" s="58" t="str">
        <f t="shared" si="184"/>
        <v>29.0515801709639+15.8074230062969i</v>
      </c>
      <c r="AT229" s="64">
        <f t="shared" si="185"/>
        <v>30.38965287912351</v>
      </c>
      <c r="AU229" s="61">
        <f t="shared" si="186"/>
        <v>28.551309032550837</v>
      </c>
    </row>
    <row r="230" spans="14:47" x14ac:dyDescent="0.35">
      <c r="N230" s="10">
        <v>12</v>
      </c>
      <c r="O230" s="50">
        <f t="shared" si="187"/>
        <v>1318.2567385564089</v>
      </c>
      <c r="P230" s="48" t="str">
        <f t="shared" si="155"/>
        <v>547.187404092767</v>
      </c>
      <c r="Q230" s="17" t="str">
        <f t="shared" si="156"/>
        <v>1+158.85126586784i</v>
      </c>
      <c r="R230" s="17">
        <f t="shared" si="164"/>
        <v>158.85441343511735</v>
      </c>
      <c r="S230" s="17">
        <f t="shared" si="165"/>
        <v>1.5645012130290969</v>
      </c>
      <c r="T230" s="17" t="str">
        <f t="shared" si="157"/>
        <v>1+0.0030057737071157i</v>
      </c>
      <c r="U230" s="17">
        <f t="shared" si="166"/>
        <v>1.000004517327586</v>
      </c>
      <c r="V230" s="17">
        <f t="shared" si="167"/>
        <v>3.005764655101334E-3</v>
      </c>
      <c r="W230" s="31" t="str">
        <f t="shared" si="158"/>
        <v>1-0.0521960056574297i</v>
      </c>
      <c r="X230" s="17">
        <f t="shared" si="168"/>
        <v>1.0013612849549309</v>
      </c>
      <c r="Y230" s="17">
        <f t="shared" si="169"/>
        <v>-5.214868165884258E-2</v>
      </c>
      <c r="Z230" s="31" t="str">
        <f t="shared" si="159"/>
        <v>0.99942552038719+0.24974046486257i</v>
      </c>
      <c r="AA230" s="17">
        <f t="shared" si="170"/>
        <v>1.0301561389376748</v>
      </c>
      <c r="AB230" s="17">
        <f t="shared" si="171"/>
        <v>0.24486950074738476</v>
      </c>
      <c r="AC230" s="66" t="str">
        <f t="shared" si="172"/>
        <v>-0.950132041420984-3.21068105518487i</v>
      </c>
      <c r="AD230" s="64">
        <f t="shared" si="173"/>
        <v>10.496530195556566</v>
      </c>
      <c r="AE230" s="61">
        <f t="shared" si="174"/>
        <v>-106.48498721124179</v>
      </c>
      <c r="AF230" s="31" t="str">
        <f t="shared" si="160"/>
        <v>-0.000106860158311346</v>
      </c>
      <c r="AG230" s="31" t="str">
        <f t="shared" si="161"/>
        <v>0.0000382667733330411i</v>
      </c>
      <c r="AH230" s="31">
        <f t="shared" si="175"/>
        <v>3.82667733330411E-5</v>
      </c>
      <c r="AI230" s="31">
        <f t="shared" si="176"/>
        <v>1.5707963267948966</v>
      </c>
      <c r="AJ230" s="31" t="str">
        <f t="shared" si="162"/>
        <v>1+0.604110302575923i</v>
      </c>
      <c r="AK230" s="31">
        <f t="shared" si="177"/>
        <v>1.1683104286440198</v>
      </c>
      <c r="AL230" s="31">
        <f t="shared" si="178"/>
        <v>0.54343630183393699</v>
      </c>
      <c r="AM230" s="31" t="str">
        <f t="shared" si="163"/>
        <v>1+3.87637444152883i</v>
      </c>
      <c r="AN230" s="31">
        <f t="shared" si="179"/>
        <v>4.003283503692681</v>
      </c>
      <c r="AO230" s="31">
        <f t="shared" si="180"/>
        <v>1.318327841275406</v>
      </c>
      <c r="AP230" s="58" t="str">
        <f t="shared" si="181"/>
        <v>-6.69461822629395+6.83679290620928i</v>
      </c>
      <c r="AQ230" s="49">
        <f t="shared" si="182"/>
        <v>19.617041259308404</v>
      </c>
      <c r="AR230" s="61">
        <f t="shared" si="183"/>
        <v>134.39801479039139</v>
      </c>
      <c r="AS230" s="58" t="str">
        <f t="shared" si="184"/>
        <v>28.3115327440712+14.9984279101082i</v>
      </c>
      <c r="AT230" s="64">
        <f t="shared" si="185"/>
        <v>30.11357145486496</v>
      </c>
      <c r="AU230" s="61">
        <f t="shared" si="186"/>
        <v>27.913027579149645</v>
      </c>
    </row>
    <row r="231" spans="14:47" x14ac:dyDescent="0.35">
      <c r="N231" s="10">
        <v>13</v>
      </c>
      <c r="O231" s="50">
        <f t="shared" si="187"/>
        <v>1348.9628825916541</v>
      </c>
      <c r="P231" s="48" t="str">
        <f t="shared" si="155"/>
        <v>547.187404092767</v>
      </c>
      <c r="Q231" s="17" t="str">
        <f t="shared" si="156"/>
        <v>1+162.551387177487i</v>
      </c>
      <c r="R231" s="17">
        <f t="shared" si="164"/>
        <v>162.5544630987574</v>
      </c>
      <c r="S231" s="17">
        <f t="shared" si="165"/>
        <v>1.5646445036554217</v>
      </c>
      <c r="T231" s="17" t="str">
        <f t="shared" si="157"/>
        <v>1+0.00307578717087323i</v>
      </c>
      <c r="U231" s="17">
        <f t="shared" si="166"/>
        <v>1.0000047302221726</v>
      </c>
      <c r="V231" s="17">
        <f t="shared" si="167"/>
        <v>3.0757774714675634E-3</v>
      </c>
      <c r="W231" s="31" t="str">
        <f t="shared" si="158"/>
        <v>1-0.0534118068142944i</v>
      </c>
      <c r="X231" s="17">
        <f t="shared" si="168"/>
        <v>1.0014253946785889</v>
      </c>
      <c r="Y231" s="17">
        <f t="shared" si="169"/>
        <v>-5.3361102133584686E-2</v>
      </c>
      <c r="Z231" s="31" t="str">
        <f t="shared" si="159"/>
        <v>0.999398445997154+0.255557667582805i</v>
      </c>
      <c r="AA231" s="17">
        <f t="shared" si="170"/>
        <v>1.031555609418072</v>
      </c>
      <c r="AB231" s="17">
        <f t="shared" si="171"/>
        <v>0.25034691894045963</v>
      </c>
      <c r="AC231" s="66" t="str">
        <f t="shared" si="172"/>
        <v>-0.94847627690213-3.1272013564254i</v>
      </c>
      <c r="AD231" s="64">
        <f t="shared" si="173"/>
        <v>10.285304064116589</v>
      </c>
      <c r="AE231" s="61">
        <f t="shared" si="174"/>
        <v>-106.87248524177367</v>
      </c>
      <c r="AF231" s="31" t="str">
        <f t="shared" si="160"/>
        <v>-0.000106860158311346</v>
      </c>
      <c r="AG231" s="31" t="str">
        <f t="shared" si="161"/>
        <v>0.0000391581209888969i</v>
      </c>
      <c r="AH231" s="31">
        <f t="shared" si="175"/>
        <v>3.91581209888969E-5</v>
      </c>
      <c r="AI231" s="31">
        <f t="shared" si="176"/>
        <v>1.5707963267948966</v>
      </c>
      <c r="AJ231" s="31" t="str">
        <f t="shared" si="162"/>
        <v>1+0.618181839190547i</v>
      </c>
      <c r="AK231" s="31">
        <f t="shared" si="177"/>
        <v>1.1756482408888329</v>
      </c>
      <c r="AL231" s="31">
        <f t="shared" si="178"/>
        <v>0.5536813374070465</v>
      </c>
      <c r="AM231" s="31" t="str">
        <f t="shared" si="163"/>
        <v>1+3.96666680147267i</v>
      </c>
      <c r="AN231" s="31">
        <f t="shared" si="179"/>
        <v>4.0907756616447957</v>
      </c>
      <c r="AO231" s="31">
        <f t="shared" si="180"/>
        <v>1.3238413897115722</v>
      </c>
      <c r="AP231" s="58" t="str">
        <f t="shared" si="181"/>
        <v>-6.61131006224647+6.81593170188189i</v>
      </c>
      <c r="AQ231" s="49">
        <f t="shared" si="182"/>
        <v>19.55044468778949</v>
      </c>
      <c r="AR231" s="61">
        <f t="shared" si="183"/>
        <v>134.12692054662406</v>
      </c>
      <c r="AS231" s="58" t="str">
        <f t="shared" si="184"/>
        <v>27.5854616167131+14.2101482701859i</v>
      </c>
      <c r="AT231" s="64">
        <f t="shared" si="185"/>
        <v>29.835748751906085</v>
      </c>
      <c r="AU231" s="61">
        <f t="shared" si="186"/>
        <v>27.254435304850311</v>
      </c>
    </row>
    <row r="232" spans="14:47" x14ac:dyDescent="0.35">
      <c r="N232" s="10">
        <v>14</v>
      </c>
      <c r="O232" s="50">
        <f t="shared" si="187"/>
        <v>1380.3842646028863</v>
      </c>
      <c r="P232" s="48" t="str">
        <f t="shared" si="155"/>
        <v>547.187404092767</v>
      </c>
      <c r="Q232" s="17" t="str">
        <f t="shared" si="156"/>
        <v>1+166.337695384238i</v>
      </c>
      <c r="R232" s="17">
        <f t="shared" si="164"/>
        <v>166.34070129027216</v>
      </c>
      <c r="S232" s="17">
        <f t="shared" si="165"/>
        <v>1.5647845328329879</v>
      </c>
      <c r="T232" s="17" t="str">
        <f t="shared" si="157"/>
        <v>1+0.00314743145770163i</v>
      </c>
      <c r="U232" s="17">
        <f t="shared" si="166"/>
        <v>1.0000049531501236</v>
      </c>
      <c r="V232" s="17">
        <f t="shared" si="167"/>
        <v>3.1474210646039893E-3</v>
      </c>
      <c r="W232" s="31" t="str">
        <f t="shared" si="158"/>
        <v>1-0.0546559276181209i</v>
      </c>
      <c r="X232" s="17">
        <f t="shared" si="168"/>
        <v>1.0014925214018311</v>
      </c>
      <c r="Y232" s="17">
        <f t="shared" si="169"/>
        <v>-5.4601600945985096E-2</v>
      </c>
      <c r="Z232" s="31" t="str">
        <f t="shared" si="159"/>
        <v>0.999370095630425+0.261510370361099i</v>
      </c>
      <c r="AA232" s="17">
        <f t="shared" si="170"/>
        <v>1.0330190036232461</v>
      </c>
      <c r="AB232" s="17">
        <f t="shared" si="171"/>
        <v>0.25593654504817837</v>
      </c>
      <c r="AC232" s="66" t="str">
        <f t="shared" si="172"/>
        <v>-0.946667659017554-3.04543810861038i</v>
      </c>
      <c r="AD232" s="64">
        <f t="shared" si="173"/>
        <v>10.073582284798256</v>
      </c>
      <c r="AE232" s="61">
        <f t="shared" si="174"/>
        <v>-107.26774077861096</v>
      </c>
      <c r="AF232" s="31" t="str">
        <f t="shared" si="160"/>
        <v>-0.000106860158311346</v>
      </c>
      <c r="AG232" s="31" t="str">
        <f t="shared" si="161"/>
        <v>0.0000400702307988202i</v>
      </c>
      <c r="AH232" s="31">
        <f t="shared" si="175"/>
        <v>4.0070230798820201E-5</v>
      </c>
      <c r="AI232" s="31">
        <f t="shared" si="176"/>
        <v>1.5707963267948966</v>
      </c>
      <c r="AJ232" s="31" t="str">
        <f t="shared" si="162"/>
        <v>1+0.632581143998915i</v>
      </c>
      <c r="AK232" s="31">
        <f t="shared" si="177"/>
        <v>1.1832831038018654</v>
      </c>
      <c r="AL232" s="31">
        <f t="shared" si="178"/>
        <v>0.56403235910160554</v>
      </c>
      <c r="AM232" s="31" t="str">
        <f t="shared" si="163"/>
        <v>1+4.0590623406597i</v>
      </c>
      <c r="AN232" s="31">
        <f t="shared" si="179"/>
        <v>4.1804290551762513</v>
      </c>
      <c r="AO232" s="31">
        <f t="shared" si="180"/>
        <v>1.3292442855654103</v>
      </c>
      <c r="AP232" s="58" t="str">
        <f t="shared" si="181"/>
        <v>-6.52626937842009+6.79521658189077i</v>
      </c>
      <c r="AQ232" s="49">
        <f t="shared" si="182"/>
        <v>19.482523272958503</v>
      </c>
      <c r="AR232" s="61">
        <f t="shared" si="183"/>
        <v>133.84341381945117</v>
      </c>
      <c r="AS232" s="58" t="str">
        <f t="shared" si="184"/>
        <v>26.8726196893382+13.4425376980017i</v>
      </c>
      <c r="AT232" s="64">
        <f t="shared" si="185"/>
        <v>29.556105557756752</v>
      </c>
      <c r="AU232" s="61">
        <f t="shared" si="186"/>
        <v>26.57567304084019</v>
      </c>
    </row>
    <row r="233" spans="14:47" x14ac:dyDescent="0.35">
      <c r="N233" s="10">
        <v>15</v>
      </c>
      <c r="O233" s="50">
        <f t="shared" si="187"/>
        <v>1412.5375446227545</v>
      </c>
      <c r="P233" s="48" t="str">
        <f t="shared" si="155"/>
        <v>547.187404092767</v>
      </c>
      <c r="Q233" s="17" t="str">
        <f t="shared" si="156"/>
        <v>1+170.212198038822i</v>
      </c>
      <c r="R233" s="17">
        <f t="shared" si="164"/>
        <v>170.21513552327582</v>
      </c>
      <c r="S233" s="17">
        <f t="shared" si="165"/>
        <v>1.5649213747851407</v>
      </c>
      <c r="T233" s="17" t="str">
        <f t="shared" si="157"/>
        <v>1+0.00322074455435007i</v>
      </c>
      <c r="U233" s="17">
        <f t="shared" si="166"/>
        <v>1.0000051865842918</v>
      </c>
      <c r="V233" s="17">
        <f t="shared" si="167"/>
        <v>3.2207334179484262E-3</v>
      </c>
      <c r="W233" s="31" t="str">
        <f t="shared" si="158"/>
        <v>1-0.0559290277182272i</v>
      </c>
      <c r="X233" s="17">
        <f t="shared" si="168"/>
        <v>1.0015628068880684</v>
      </c>
      <c r="Y233" s="17">
        <f t="shared" si="169"/>
        <v>-5.5870820544871386E-2</v>
      </c>
      <c r="Z233" s="31" t="str">
        <f t="shared" si="159"/>
        <v>0.999340409152076+0.267601729399257i</v>
      </c>
      <c r="AA233" s="17">
        <f t="shared" si="170"/>
        <v>1.0345491476685444</v>
      </c>
      <c r="AB233" s="17">
        <f t="shared" si="171"/>
        <v>0.26163998614693046</v>
      </c>
      <c r="AC233" s="66" t="str">
        <f t="shared" si="172"/>
        <v>-0.944704368565544-2.9653516741722i</v>
      </c>
      <c r="AD233" s="64">
        <f t="shared" si="173"/>
        <v>9.861344611829562</v>
      </c>
      <c r="AE233" s="61">
        <f t="shared" si="174"/>
        <v>-107.67088478644828</v>
      </c>
      <c r="AF233" s="31" t="str">
        <f t="shared" si="160"/>
        <v>-0.000106860158311346</v>
      </c>
      <c r="AG233" s="31" t="str">
        <f t="shared" si="161"/>
        <v>0.0000410035863755051i</v>
      </c>
      <c r="AH233" s="31">
        <f t="shared" si="175"/>
        <v>4.1003586375505098E-5</v>
      </c>
      <c r="AI233" s="31">
        <f t="shared" si="176"/>
        <v>1.5707963267948966</v>
      </c>
      <c r="AJ233" s="31" t="str">
        <f t="shared" si="162"/>
        <v>1+0.647315851703032i</v>
      </c>
      <c r="AK233" s="31">
        <f t="shared" si="177"/>
        <v>1.1912253405070015</v>
      </c>
      <c r="AL233" s="31">
        <f t="shared" si="178"/>
        <v>0.57448598245375526</v>
      </c>
      <c r="AM233" s="31" t="str">
        <f t="shared" si="163"/>
        <v>1+4.15361004842778i</v>
      </c>
      <c r="AN233" s="31">
        <f t="shared" si="179"/>
        <v>4.272291707549968</v>
      </c>
      <c r="AO233" s="31">
        <f t="shared" si="180"/>
        <v>1.3345381312435256</v>
      </c>
      <c r="AP233" s="58" t="str">
        <f t="shared" si="181"/>
        <v>-6.43953451606341+6.77453013071177i</v>
      </c>
      <c r="AQ233" s="49">
        <f t="shared" si="182"/>
        <v>19.413218881998972</v>
      </c>
      <c r="AR233" s="61">
        <f t="shared" si="183"/>
        <v>133.54778033550312</v>
      </c>
      <c r="AS233" s="58" t="str">
        <f t="shared" si="184"/>
        <v>26.1723206536899+12.695556248636i</v>
      </c>
      <c r="AT233" s="64">
        <f t="shared" si="185"/>
        <v>29.274563493828545</v>
      </c>
      <c r="AU233" s="61">
        <f t="shared" si="186"/>
        <v>25.876895549054836</v>
      </c>
    </row>
    <row r="234" spans="14:47" x14ac:dyDescent="0.35">
      <c r="N234" s="10">
        <v>16</v>
      </c>
      <c r="O234" s="50">
        <f t="shared" si="187"/>
        <v>1445.4397707459289</v>
      </c>
      <c r="P234" s="48" t="str">
        <f t="shared" si="155"/>
        <v>547.187404092767</v>
      </c>
      <c r="Q234" s="17" t="str">
        <f t="shared" si="156"/>
        <v>1+174.17694945383i</v>
      </c>
      <c r="R234" s="17">
        <f t="shared" si="164"/>
        <v>174.17982007408909</v>
      </c>
      <c r="S234" s="17">
        <f t="shared" si="165"/>
        <v>1.5650551020467827</v>
      </c>
      <c r="T234" s="17" t="str">
        <f t="shared" si="157"/>
        <v>1+0.00329576533239283i</v>
      </c>
      <c r="U234" s="17">
        <f t="shared" si="166"/>
        <v>1.000005431019815</v>
      </c>
      <c r="V234" s="17">
        <f t="shared" si="167"/>
        <v>3.2957533995269777E-3</v>
      </c>
      <c r="W234" s="31" t="str">
        <f t="shared" si="158"/>
        <v>1-0.057231782129138i</v>
      </c>
      <c r="X234" s="17">
        <f t="shared" si="168"/>
        <v>1.0016363995411095</v>
      </c>
      <c r="Y234" s="17">
        <f t="shared" si="169"/>
        <v>-5.7169417521136398E-2</v>
      </c>
      <c r="Z234" s="31" t="str">
        <f t="shared" si="159"/>
        <v>0.999309323593106+0.273834974416471i</v>
      </c>
      <c r="AA234" s="17">
        <f t="shared" si="170"/>
        <v>1.0361489841879787</v>
      </c>
      <c r="AB234" s="17">
        <f t="shared" si="171"/>
        <v>0.2674588252241179</v>
      </c>
      <c r="AC234" s="66" t="str">
        <f t="shared" si="172"/>
        <v>-0.942584427438888-2.88690350692117i</v>
      </c>
      <c r="AD234" s="64">
        <f t="shared" si="173"/>
        <v>9.6485701117866842</v>
      </c>
      <c r="AE234" s="61">
        <f t="shared" si="174"/>
        <v>-108.08204751263965</v>
      </c>
      <c r="AF234" s="31" t="str">
        <f t="shared" si="160"/>
        <v>-0.000106860158311346</v>
      </c>
      <c r="AG234" s="31" t="str">
        <f t="shared" si="161"/>
        <v>0.000041958682596433i</v>
      </c>
      <c r="AH234" s="31">
        <f t="shared" si="175"/>
        <v>4.1958682596432998E-5</v>
      </c>
      <c r="AI234" s="31">
        <f t="shared" si="176"/>
        <v>1.5707963267948966</v>
      </c>
      <c r="AJ234" s="31" t="str">
        <f t="shared" si="162"/>
        <v>1+0.662393774839961i</v>
      </c>
      <c r="AK234" s="31">
        <f t="shared" si="177"/>
        <v>1.1994855201071553</v>
      </c>
      <c r="AL234" s="31">
        <f t="shared" si="178"/>
        <v>0.58503861102899546</v>
      </c>
      <c r="AM234" s="31" t="str">
        <f t="shared" si="163"/>
        <v>1+4.25036005522308i</v>
      </c>
      <c r="AN234" s="31">
        <f t="shared" si="179"/>
        <v>4.3664127838576992</v>
      </c>
      <c r="AO234" s="31">
        <f t="shared" si="180"/>
        <v>1.3397245462257308</v>
      </c>
      <c r="AP234" s="58" t="str">
        <f t="shared" si="181"/>
        <v>-6.35114902059676+6.75375646155049i</v>
      </c>
      <c r="AQ234" s="49">
        <f t="shared" si="182"/>
        <v>19.342474990702364</v>
      </c>
      <c r="AR234" s="61">
        <f t="shared" si="183"/>
        <v>133.24031894465648</v>
      </c>
      <c r="AS234" s="58" t="str">
        <f t="shared" si="184"/>
        <v>25.4839373768999+11.9691687131675i</v>
      </c>
      <c r="AT234" s="64">
        <f t="shared" si="185"/>
        <v>28.991045102489057</v>
      </c>
      <c r="AU234" s="61">
        <f t="shared" si="186"/>
        <v>25.158271432016857</v>
      </c>
    </row>
    <row r="235" spans="14:47" x14ac:dyDescent="0.35">
      <c r="N235" s="10">
        <v>17</v>
      </c>
      <c r="O235" s="50">
        <f t="shared" si="187"/>
        <v>1479.1083881682086</v>
      </c>
      <c r="P235" s="48" t="str">
        <f t="shared" si="155"/>
        <v>547.187404092767</v>
      </c>
      <c r="Q235" s="17" t="str">
        <f t="shared" si="156"/>
        <v>1+178.234051792944i</v>
      </c>
      <c r="R235" s="17">
        <f t="shared" si="164"/>
        <v>178.23685707094884</v>
      </c>
      <c r="S235" s="17">
        <f t="shared" si="165"/>
        <v>1.5651857855027358</v>
      </c>
      <c r="T235" s="17" t="str">
        <f t="shared" si="157"/>
        <v>1+0.00337253356883944i</v>
      </c>
      <c r="U235" s="17">
        <f t="shared" si="166"/>
        <v>1.0000056869751657</v>
      </c>
      <c r="V235" s="17">
        <f t="shared" si="167"/>
        <v>3.3725207825472401E-3</v>
      </c>
      <c r="W235" s="31" t="str">
        <f t="shared" si="158"/>
        <v>1-0.0585648815884858i</v>
      </c>
      <c r="X235" s="17">
        <f t="shared" si="168"/>
        <v>1.0017134547142079</v>
      </c>
      <c r="Y235" s="17">
        <f t="shared" si="169"/>
        <v>-5.8498062879014052E-2</v>
      </c>
      <c r="Z235" s="31" t="str">
        <f t="shared" si="159"/>
        <v>0.999276773016876+0.280213410361754i</v>
      </c>
      <c r="AA235" s="17">
        <f t="shared" si="170"/>
        <v>1.0378215763981715</v>
      </c>
      <c r="AB235" s="17">
        <f t="shared" si="171"/>
        <v>0.27339461734832038</v>
      </c>
      <c r="AC235" s="66" t="str">
        <f t="shared" si="172"/>
        <v>-0.940305707394829-2.81005614038206i</v>
      </c>
      <c r="AD235" s="64">
        <f t="shared" si="173"/>
        <v>9.4352371531536754</v>
      </c>
      <c r="AE235" s="61">
        <f t="shared" si="174"/>
        <v>-108.50135828432646</v>
      </c>
      <c r="AF235" s="31" t="str">
        <f t="shared" si="160"/>
        <v>-0.000106860158311346</v>
      </c>
      <c r="AG235" s="31" t="str">
        <f t="shared" si="161"/>
        <v>0.0000429360258662623i</v>
      </c>
      <c r="AH235" s="31">
        <f t="shared" si="175"/>
        <v>4.2936025866262301E-5</v>
      </c>
      <c r="AI235" s="31">
        <f t="shared" si="176"/>
        <v>1.5707963267948966</v>
      </c>
      <c r="AJ235" s="31" t="str">
        <f t="shared" si="162"/>
        <v>1+0.677822907924128i</v>
      </c>
      <c r="AK235" s="31">
        <f t="shared" si="177"/>
        <v>1.208074457352162</v>
      </c>
      <c r="AL235" s="31">
        <f t="shared" si="178"/>
        <v>0.59568643885133599</v>
      </c>
      <c r="AM235" s="31" t="str">
        <f t="shared" si="163"/>
        <v>1+4.34936365917981i</v>
      </c>
      <c r="AN235" s="31">
        <f t="shared" si="179"/>
        <v>4.4628426187570165</v>
      </c>
      <c r="AO235" s="31">
        <f t="shared" si="180"/>
        <v>1.3448051638560581</v>
      </c>
      <c r="AP235" s="58" t="str">
        <f t="shared" si="181"/>
        <v>-6.2611616745353+6.73278157115411i</v>
      </c>
      <c r="AQ235" s="49">
        <f t="shared" si="182"/>
        <v>19.270236782366883</v>
      </c>
      <c r="AR235" s="61">
        <f t="shared" si="183"/>
        <v>132.9213412969919</v>
      </c>
      <c r="AS235" s="58" t="str">
        <f t="shared" si="184"/>
        <v>24.8069002533601+11.2633428714538i</v>
      </c>
      <c r="AT235" s="64">
        <f t="shared" si="185"/>
        <v>28.705473935520558</v>
      </c>
      <c r="AU235" s="61">
        <f t="shared" si="186"/>
        <v>24.419983012665394</v>
      </c>
    </row>
    <row r="236" spans="14:47" x14ac:dyDescent="0.35">
      <c r="N236" s="10">
        <v>18</v>
      </c>
      <c r="O236" s="50">
        <f t="shared" si="187"/>
        <v>1513.5612484362093</v>
      </c>
      <c r="P236" s="48" t="str">
        <f t="shared" si="155"/>
        <v>547.187404092767</v>
      </c>
      <c r="Q236" s="17" t="str">
        <f t="shared" si="156"/>
        <v>1+182.385656185524i</v>
      </c>
      <c r="R236" s="17">
        <f t="shared" si="164"/>
        <v>182.38839760857644</v>
      </c>
      <c r="S236" s="17">
        <f t="shared" si="165"/>
        <v>1.5653134944252332</v>
      </c>
      <c r="T236" s="17" t="str">
        <f t="shared" si="157"/>
        <v>1+0.003451089967225i</v>
      </c>
      <c r="U236" s="17">
        <f t="shared" si="166"/>
        <v>1.0000059549932501</v>
      </c>
      <c r="V236" s="17">
        <f t="shared" si="167"/>
        <v>3.4510762664704715E-3</v>
      </c>
      <c r="W236" s="31" t="str">
        <f t="shared" si="158"/>
        <v>1-0.0599290329232497i</v>
      </c>
      <c r="X236" s="17">
        <f t="shared" si="168"/>
        <v>1.0017941350332991</v>
      </c>
      <c r="Y236" s="17">
        <f t="shared" si="169"/>
        <v>-5.9857442309600765E-2</v>
      </c>
      <c r="Z236" s="31" t="str">
        <f t="shared" si="159"/>
        <v>0.99924268837925+0.286740419166274i</v>
      </c>
      <c r="AA236" s="17">
        <f t="shared" si="170"/>
        <v>1.0395701122401708</v>
      </c>
      <c r="AB236" s="17">
        <f t="shared" si="171"/>
        <v>0.27944888563167136</v>
      </c>
      <c r="AC236" s="66" t="str">
        <f t="shared" si="172"/>
        <v>-0.937865939339912-2.73477317673904i</v>
      </c>
      <c r="AD236" s="64">
        <f t="shared" si="173"/>
        <v>9.2213233969894617</v>
      </c>
      <c r="AE236" s="61">
        <f t="shared" si="174"/>
        <v>-108.92894529371077</v>
      </c>
      <c r="AF236" s="31" t="str">
        <f t="shared" si="160"/>
        <v>-0.000106860158311346</v>
      </c>
      <c r="AG236" s="31" t="str">
        <f t="shared" si="161"/>
        <v>0.0000439361343853314i</v>
      </c>
      <c r="AH236" s="31">
        <f t="shared" si="175"/>
        <v>4.3936134385331402E-5</v>
      </c>
      <c r="AI236" s="31">
        <f t="shared" si="176"/>
        <v>1.5707963267948966</v>
      </c>
      <c r="AJ236" s="31" t="str">
        <f t="shared" si="162"/>
        <v>1+0.693611431686123i</v>
      </c>
      <c r="AK236" s="31">
        <f t="shared" si="177"/>
        <v>1.2170032120605407</v>
      </c>
      <c r="AL236" s="31">
        <f t="shared" si="178"/>
        <v>0.60642545378272783</v>
      </c>
      <c r="AM236" s="31" t="str">
        <f t="shared" si="163"/>
        <v>1+4.45067335331928i</v>
      </c>
      <c r="AN236" s="31">
        <f t="shared" si="179"/>
        <v>4.5616327447468068</v>
      </c>
      <c r="AO236" s="31">
        <f t="shared" si="180"/>
        <v>1.3497816283233257</v>
      </c>
      <c r="AP236" s="58" t="str">
        <f t="shared" si="181"/>
        <v>-6.1696264999996+6.71149370505177i</v>
      </c>
      <c r="AQ236" s="49">
        <f t="shared" si="182"/>
        <v>19.196451246588119</v>
      </c>
      <c r="AR236" s="61">
        <f t="shared" si="183"/>
        <v>132.59117147616644</v>
      </c>
      <c r="AS236" s="58" t="str">
        <f t="shared" si="184"/>
        <v>24.140695513227+10.578047714635i</v>
      </c>
      <c r="AT236" s="64">
        <f t="shared" si="185"/>
        <v>28.417774643577573</v>
      </c>
      <c r="AU236" s="61">
        <f t="shared" si="186"/>
        <v>23.662226182455715</v>
      </c>
    </row>
    <row r="237" spans="14:47" x14ac:dyDescent="0.35">
      <c r="N237" s="10">
        <v>19</v>
      </c>
      <c r="O237" s="50">
        <f t="shared" si="187"/>
        <v>1548.8166189124822</v>
      </c>
      <c r="P237" s="48" t="str">
        <f t="shared" si="155"/>
        <v>547.187404092767</v>
      </c>
      <c r="Q237" s="17" t="str">
        <f t="shared" si="156"/>
        <v>1+186.633963867174i</v>
      </c>
      <c r="R237" s="17">
        <f t="shared" si="164"/>
        <v>186.63664288872536</v>
      </c>
      <c r="S237" s="17">
        <f t="shared" si="165"/>
        <v>1.5654382965105631</v>
      </c>
      <c r="T237" s="17" t="str">
        <f t="shared" si="157"/>
        <v>1+0.00353147617919176i</v>
      </c>
      <c r="U237" s="17">
        <f t="shared" si="166"/>
        <v>1.0000062356425605</v>
      </c>
      <c r="V237" s="17">
        <f t="shared" si="167"/>
        <v>3.5314614985737305E-3</v>
      </c>
      <c r="W237" s="31" t="str">
        <f t="shared" si="158"/>
        <v>1-0.061324959424524i</v>
      </c>
      <c r="X237" s="17">
        <f t="shared" si="168"/>
        <v>1.0018786107350628</v>
      </c>
      <c r="Y237" s="17">
        <f t="shared" si="169"/>
        <v>-6.1248256466391413E-2</v>
      </c>
      <c r="Z237" s="31" t="str">
        <f t="shared" si="159"/>
        <v>0.999206997382142+0.293419461536494i</v>
      </c>
      <c r="AA237" s="17">
        <f t="shared" si="170"/>
        <v>1.0413979085948859</v>
      </c>
      <c r="AB237" s="17">
        <f t="shared" si="171"/>
        <v>0.28562311698171</v>
      </c>
      <c r="AC237" s="66" t="str">
        <f t="shared" si="172"/>
        <v>-0.93526272318112-2.66101927634094i</v>
      </c>
      <c r="AD237" s="64">
        <f t="shared" si="173"/>
        <v>9.0068057888440372</v>
      </c>
      <c r="AE237" s="61">
        <f t="shared" si="174"/>
        <v>-109.36493537130562</v>
      </c>
      <c r="AF237" s="31" t="str">
        <f t="shared" si="160"/>
        <v>-0.000106860158311346</v>
      </c>
      <c r="AG237" s="31" t="str">
        <f t="shared" si="161"/>
        <v>0.0000449595384244151i</v>
      </c>
      <c r="AH237" s="31">
        <f t="shared" si="175"/>
        <v>4.49595384244151E-5</v>
      </c>
      <c r="AI237" s="31">
        <f t="shared" si="176"/>
        <v>1.5707963267948966</v>
      </c>
      <c r="AJ237" s="31" t="str">
        <f t="shared" si="162"/>
        <v>1+0.70976771741023i</v>
      </c>
      <c r="AK237" s="31">
        <f t="shared" si="177"/>
        <v>1.2262830883110669</v>
      </c>
      <c r="AL237" s="31">
        <f t="shared" si="178"/>
        <v>0.61725144187463943</v>
      </c>
      <c r="AM237" s="31" t="str">
        <f t="shared" si="163"/>
        <v>1+4.5543428533823i</v>
      </c>
      <c r="AN237" s="31">
        <f t="shared" si="179"/>
        <v>4.6628359209985533</v>
      </c>
      <c r="AO237" s="31">
        <f t="shared" si="180"/>
        <v>1.354655591825574</v>
      </c>
      <c r="AP237" s="58" t="str">
        <f t="shared" si="181"/>
        <v>-6.07660272918196+6.68978373045197i</v>
      </c>
      <c r="AQ237" s="49">
        <f t="shared" si="182"/>
        <v>19.121067277354072</v>
      </c>
      <c r="AR237" s="61">
        <f t="shared" si="183"/>
        <v>132.25014558762066</v>
      </c>
      <c r="AS237" s="58" t="str">
        <f t="shared" si="184"/>
        <v>23.4848634774692+9.9132516477839i</v>
      </c>
      <c r="AT237" s="64">
        <f t="shared" si="185"/>
        <v>28.127873066198102</v>
      </c>
      <c r="AU237" s="61">
        <f t="shared" si="186"/>
        <v>22.88521021631507</v>
      </c>
    </row>
    <row r="238" spans="14:47" x14ac:dyDescent="0.35">
      <c r="N238" s="10">
        <v>20</v>
      </c>
      <c r="O238" s="50">
        <f t="shared" si="187"/>
        <v>1584.8931924611156</v>
      </c>
      <c r="P238" s="48" t="str">
        <f t="shared" si="155"/>
        <v>547.187404092767</v>
      </c>
      <c r="Q238" s="17" t="str">
        <f t="shared" si="156"/>
        <v>1+190.981227346859i</v>
      </c>
      <c r="R238" s="17">
        <f t="shared" si="164"/>
        <v>190.98384538728041</v>
      </c>
      <c r="S238" s="17">
        <f t="shared" si="165"/>
        <v>1.565560257914884</v>
      </c>
      <c r="T238" s="17" t="str">
        <f t="shared" si="157"/>
        <v>1+0.00361373482657334i</v>
      </c>
      <c r="U238" s="17">
        <f t="shared" si="166"/>
        <v>1.0000065295183811</v>
      </c>
      <c r="V238" s="17">
        <f t="shared" si="167"/>
        <v>3.613719096013256E-3</v>
      </c>
      <c r="W238" s="31" t="str">
        <f t="shared" si="158"/>
        <v>1-0.062753401231017i</v>
      </c>
      <c r="X238" s="17">
        <f t="shared" si="168"/>
        <v>1.0019670600204684</v>
      </c>
      <c r="Y238" s="17">
        <f t="shared" si="169"/>
        <v>-6.2671221242578179E-2</v>
      </c>
      <c r="Z238" s="31" t="str">
        <f t="shared" si="159"/>
        <v>0.999169624320162+0.300254078789087i</v>
      </c>
      <c r="AA238" s="17">
        <f t="shared" si="170"/>
        <v>1.0433084155673129</v>
      </c>
      <c r="AB238" s="17">
        <f t="shared" si="171"/>
        <v>0.29191875764090042</v>
      </c>
      <c r="AC238" s="66" t="str">
        <f t="shared" si="172"/>
        <v>-0.932493538294619-2.58876014771513i</v>
      </c>
      <c r="AD238" s="64">
        <f t="shared" si="173"/>
        <v>8.7916605520789002</v>
      </c>
      <c r="AE238" s="61">
        <f t="shared" si="174"/>
        <v>-109.80945374704433</v>
      </c>
      <c r="AF238" s="31" t="str">
        <f t="shared" si="160"/>
        <v>-0.000106860158311346</v>
      </c>
      <c r="AG238" s="31" t="str">
        <f t="shared" si="161"/>
        <v>0.0000460067806058813i</v>
      </c>
      <c r="AH238" s="31">
        <f t="shared" si="175"/>
        <v>4.6006780605881298E-5</v>
      </c>
      <c r="AI238" s="31">
        <f t="shared" si="176"/>
        <v>1.5707963267948966</v>
      </c>
      <c r="AJ238" s="31" t="str">
        <f t="shared" si="162"/>
        <v>1+0.726300331372996i</v>
      </c>
      <c r="AK238" s="31">
        <f t="shared" si="177"/>
        <v>1.2359256334231943</v>
      </c>
      <c r="AL238" s="31">
        <f t="shared" si="178"/>
        <v>0.62815999270637801</v>
      </c>
      <c r="AM238" s="31" t="str">
        <f t="shared" si="163"/>
        <v>1+4.66042712631005i</v>
      </c>
      <c r="AN238" s="31">
        <f t="shared" si="179"/>
        <v>4.7665061627618348</v>
      </c>
      <c r="AO238" s="31">
        <f t="shared" si="180"/>
        <v>1.3594287119124246</v>
      </c>
      <c r="AP238" s="58" t="str">
        <f t="shared" si="181"/>
        <v>-5.98215474141134+6.66754551377818i</v>
      </c>
      <c r="AQ238" s="49">
        <f t="shared" si="182"/>
        <v>19.044035769817203</v>
      </c>
      <c r="AR238" s="61">
        <f t="shared" si="183"/>
        <v>131.89861130044375</v>
      </c>
      <c r="AS238" s="58" t="str">
        <f t="shared" si="184"/>
        <v>22.8389967505903+9.26892068414736i</v>
      </c>
      <c r="AT238" s="64">
        <f t="shared" si="185"/>
        <v>27.835696321896087</v>
      </c>
      <c r="AU238" s="61">
        <f t="shared" si="186"/>
        <v>22.089157553399449</v>
      </c>
    </row>
    <row r="239" spans="14:47" x14ac:dyDescent="0.35">
      <c r="N239" s="10">
        <v>21</v>
      </c>
      <c r="O239" s="50">
        <f t="shared" si="187"/>
        <v>1621.8100973589308</v>
      </c>
      <c r="P239" s="48" t="str">
        <f t="shared" si="155"/>
        <v>547.187404092767</v>
      </c>
      <c r="Q239" s="17" t="str">
        <f t="shared" si="156"/>
        <v>1+195.429751601217i</v>
      </c>
      <c r="R239" s="17">
        <f t="shared" si="164"/>
        <v>195.43231004855204</v>
      </c>
      <c r="S239" s="17">
        <f t="shared" si="165"/>
        <v>1.5656794432892247</v>
      </c>
      <c r="T239" s="17" t="str">
        <f t="shared" si="157"/>
        <v>1+0.00369790952399339i</v>
      </c>
      <c r="U239" s="17">
        <f t="shared" si="166"/>
        <v>1.0000068372440498</v>
      </c>
      <c r="V239" s="17">
        <f t="shared" si="167"/>
        <v>3.6978926684008021E-3</v>
      </c>
      <c r="W239" s="31" t="str">
        <f t="shared" si="158"/>
        <v>1-0.064215115721482i</v>
      </c>
      <c r="X239" s="17">
        <f t="shared" si="168"/>
        <v>1.0020596694244925</v>
      </c>
      <c r="Y239" s="17">
        <f t="shared" si="169"/>
        <v>-6.4127068049831676E-2</v>
      </c>
      <c r="Z239" s="31" t="str">
        <f t="shared" si="159"/>
        <v>0.999130489920035+0.307247894728585i</v>
      </c>
      <c r="AA239" s="17">
        <f t="shared" si="170"/>
        <v>1.0453052208340856</v>
      </c>
      <c r="AB239" s="17">
        <f t="shared" si="171"/>
        <v>0.29833720851299617</v>
      </c>
      <c r="AC239" s="66" t="str">
        <f t="shared" si="172"/>
        <v>-0.929555754661795-2.51796253803151i</v>
      </c>
      <c r="AD239" s="64">
        <f t="shared" si="173"/>
        <v>8.5758631827510463</v>
      </c>
      <c r="AE239" s="61">
        <f t="shared" si="174"/>
        <v>-110.26262379918587</v>
      </c>
      <c r="AF239" s="31" t="str">
        <f t="shared" si="160"/>
        <v>-0.000106860158311346</v>
      </c>
      <c r="AG239" s="31" t="str">
        <f t="shared" si="161"/>
        <v>0.0000470784161913964i</v>
      </c>
      <c r="AH239" s="31">
        <f t="shared" si="175"/>
        <v>4.7078416191396402E-5</v>
      </c>
      <c r="AI239" s="31">
        <f t="shared" si="176"/>
        <v>1.5707963267948966</v>
      </c>
      <c r="AJ239" s="31" t="str">
        <f t="shared" si="162"/>
        <v>1+0.743218039385174i</v>
      </c>
      <c r="AK239" s="31">
        <f t="shared" si="177"/>
        <v>1.2459426367483946</v>
      </c>
      <c r="AL239" s="31">
        <f t="shared" si="178"/>
        <v>0.63914650571687248</v>
      </c>
      <c r="AM239" s="31" t="str">
        <f t="shared" si="163"/>
        <v>1+4.76898241938819i</v>
      </c>
      <c r="AN239" s="31">
        <f t="shared" si="179"/>
        <v>4.8726987713620913</v>
      </c>
      <c r="AO239" s="31">
        <f t="shared" si="180"/>
        <v>1.364102648999151</v>
      </c>
      <c r="AP239" s="58" t="str">
        <f t="shared" si="181"/>
        <v>-5.88635196577073+6.64467629960585i</v>
      </c>
      <c r="AQ239" s="49">
        <f t="shared" si="182"/>
        <v>18.965309715081855</v>
      </c>
      <c r="AR239" s="61">
        <f t="shared" si="183"/>
        <v>131.53692734215591</v>
      </c>
      <c r="AS239" s="58" t="str">
        <f t="shared" si="184"/>
        <v>22.2027383435003+8.64501664331538i</v>
      </c>
      <c r="AT239" s="64">
        <f t="shared" si="185"/>
        <v>27.541172897832894</v>
      </c>
      <c r="AU239" s="61">
        <f t="shared" si="186"/>
        <v>21.274303542970031</v>
      </c>
    </row>
    <row r="240" spans="14:47" x14ac:dyDescent="0.35">
      <c r="N240" s="10">
        <v>22</v>
      </c>
      <c r="O240" s="50">
        <f t="shared" si="187"/>
        <v>1659.5869074375626</v>
      </c>
      <c r="P240" s="48" t="str">
        <f t="shared" si="155"/>
        <v>547.187404092767</v>
      </c>
      <c r="Q240" s="17" t="str">
        <f t="shared" si="156"/>
        <v>1+199.981895296695i</v>
      </c>
      <c r="R240" s="17">
        <f t="shared" si="164"/>
        <v>199.98439550739522</v>
      </c>
      <c r="S240" s="17">
        <f t="shared" si="165"/>
        <v>1.5657959158136967</v>
      </c>
      <c r="T240" s="17" t="str">
        <f t="shared" si="157"/>
        <v>1+0.00378404490199071i</v>
      </c>
      <c r="U240" s="17">
        <f t="shared" si="166"/>
        <v>1.0000071594722812</v>
      </c>
      <c r="V240" s="17">
        <f t="shared" si="167"/>
        <v>3.7840268409048343E-3</v>
      </c>
      <c r="W240" s="31" t="str">
        <f t="shared" si="158"/>
        <v>1-0.0657108779162904i</v>
      </c>
      <c r="X240" s="17">
        <f t="shared" si="168"/>
        <v>1.0021566342027226</v>
      </c>
      <c r="Y240" s="17">
        <f t="shared" si="169"/>
        <v>-6.5616544098258969E-2</v>
      </c>
      <c r="Z240" s="31" t="str">
        <f t="shared" si="159"/>
        <v>0.99908951117245+0.314404617568777i</v>
      </c>
      <c r="AA240" s="17">
        <f t="shared" si="170"/>
        <v>1.0473920540482318</v>
      </c>
      <c r="AB240" s="17">
        <f t="shared" si="171"/>
        <v>0.30487982027659949</v>
      </c>
      <c r="AC240" s="66" t="str">
        <f t="shared" si="172"/>
        <v>-0.926446644721079-2.44859422395318i</v>
      </c>
      <c r="AD240" s="64">
        <f t="shared" si="173"/>
        <v>8.359388446230728</v>
      </c>
      <c r="AE240" s="61">
        <f t="shared" si="174"/>
        <v>-110.7245667910188</v>
      </c>
      <c r="AF240" s="31" t="str">
        <f t="shared" si="160"/>
        <v>-0.000106860158311346</v>
      </c>
      <c r="AG240" s="31" t="str">
        <f t="shared" si="161"/>
        <v>0.0000481750133763328i</v>
      </c>
      <c r="AH240" s="31">
        <f t="shared" si="175"/>
        <v>4.8175013376332802E-5</v>
      </c>
      <c r="AI240" s="31">
        <f t="shared" si="176"/>
        <v>1.5707963267948966</v>
      </c>
      <c r="AJ240" s="31" t="str">
        <f t="shared" si="162"/>
        <v>1+0.760529811439492i</v>
      </c>
      <c r="AK240" s="31">
        <f t="shared" si="177"/>
        <v>1.2563461282975283</v>
      </c>
      <c r="AL240" s="31">
        <f t="shared" si="178"/>
        <v>0.6502061975283</v>
      </c>
      <c r="AM240" s="31" t="str">
        <f t="shared" si="163"/>
        <v>1+4.88006629007007i</v>
      </c>
      <c r="AN240" s="31">
        <f t="shared" si="179"/>
        <v>4.9814703648097982</v>
      </c>
      <c r="AO240" s="31">
        <f t="shared" si="180"/>
        <v>1.3686790640461171</v>
      </c>
      <c r="AP240" s="58" t="str">
        <f t="shared" si="181"/>
        <v>-5.78926874856823+6.62107708758154i</v>
      </c>
      <c r="AQ240" s="49">
        <f t="shared" si="182"/>
        <v>18.884844292320157</v>
      </c>
      <c r="AR240" s="61">
        <f t="shared" si="183"/>
        <v>131.16546294613707</v>
      </c>
      <c r="AS240" s="58" t="str">
        <f t="shared" si="184"/>
        <v>21.5757797205005+8.04149536642729i</v>
      </c>
      <c r="AT240" s="64">
        <f t="shared" si="185"/>
        <v>27.244232738550874</v>
      </c>
      <c r="AU240" s="61">
        <f t="shared" si="186"/>
        <v>20.440896155118271</v>
      </c>
    </row>
    <row r="241" spans="14:47" x14ac:dyDescent="0.35">
      <c r="N241" s="10">
        <v>23</v>
      </c>
      <c r="O241" s="50">
        <f t="shared" si="187"/>
        <v>1698.2436524617447</v>
      </c>
      <c r="P241" s="48" t="str">
        <f t="shared" si="155"/>
        <v>547.187404092767</v>
      </c>
      <c r="Q241" s="17" t="str">
        <f t="shared" si="156"/>
        <v>1+204.640072040131i</v>
      </c>
      <c r="R241" s="17">
        <f t="shared" si="164"/>
        <v>204.64251533977489</v>
      </c>
      <c r="S241" s="17">
        <f t="shared" si="165"/>
        <v>1.5659097372309261</v>
      </c>
      <c r="T241" s="17" t="str">
        <f t="shared" si="157"/>
        <v>1+0.00387218663068279i</v>
      </c>
      <c r="U241" s="17">
        <f t="shared" si="166"/>
        <v>1.0000074968865498</v>
      </c>
      <c r="V241" s="17">
        <f t="shared" si="167"/>
        <v>3.8721672778884368E-3</v>
      </c>
      <c r="W241" s="31" t="str">
        <f t="shared" si="158"/>
        <v>1-0.0672414808883559i</v>
      </c>
      <c r="X241" s="17">
        <f t="shared" si="168"/>
        <v>1.0022581587355919</v>
      </c>
      <c r="Y241" s="17">
        <f t="shared" si="169"/>
        <v>-6.7140412677197447E-2</v>
      </c>
      <c r="Z241" s="31" t="str">
        <f t="shared" si="159"/>
        <v>0.999046601155991+0.321728041898839i</v>
      </c>
      <c r="AA241" s="17">
        <f t="shared" si="170"/>
        <v>1.0495727912943431</v>
      </c>
      <c r="AB241" s="17">
        <f t="shared" si="171"/>
        <v>0.3115478882874898</v>
      </c>
      <c r="AC241" s="66" t="str">
        <f t="shared" si="172"/>
        <v>-0.923163395981829-2.38062400280435i</v>
      </c>
      <c r="AD241" s="64">
        <f t="shared" si="173"/>
        <v>8.1422103757311941</v>
      </c>
      <c r="AE241" s="61">
        <f t="shared" si="174"/>
        <v>-111.19540159543658</v>
      </c>
      <c r="AF241" s="31" t="str">
        <f t="shared" si="160"/>
        <v>-0.000106860158311346</v>
      </c>
      <c r="AG241" s="31" t="str">
        <f t="shared" si="161"/>
        <v>0.0000492971535910329i</v>
      </c>
      <c r="AH241" s="31">
        <f t="shared" si="175"/>
        <v>4.9297153591032903E-5</v>
      </c>
      <c r="AI241" s="31">
        <f t="shared" si="176"/>
        <v>1.5707963267948966</v>
      </c>
      <c r="AJ241" s="31" t="str">
        <f t="shared" si="162"/>
        <v>1+0.778244826466633i</v>
      </c>
      <c r="AK241" s="31">
        <f t="shared" si="177"/>
        <v>1.2671483772321535</v>
      </c>
      <c r="AL241" s="31">
        <f t="shared" si="178"/>
        <v>0.66133411025107514</v>
      </c>
      <c r="AM241" s="31" t="str">
        <f t="shared" si="163"/>
        <v>1+4.99373763649422i</v>
      </c>
      <c r="AN241" s="31">
        <f t="shared" si="179"/>
        <v>5.0928789090394524</v>
      </c>
      <c r="AO241" s="31">
        <f t="shared" si="180"/>
        <v>1.3731596163970796</v>
      </c>
      <c r="AP241" s="58" t="str">
        <f t="shared" si="181"/>
        <v>-5.69098418533978+6.59665300376174i</v>
      </c>
      <c r="AQ241" s="49">
        <f t="shared" si="182"/>
        <v>18.802596957510367</v>
      </c>
      <c r="AR241" s="61">
        <f t="shared" si="183"/>
        <v>130.78459725192965</v>
      </c>
      <c r="AS241" s="58" t="str">
        <f t="shared" si="184"/>
        <v>20.9578587659438+7.45830496213342i</v>
      </c>
      <c r="AT241" s="64">
        <f t="shared" si="185"/>
        <v>26.944807333241574</v>
      </c>
      <c r="AU241" s="61">
        <f t="shared" si="186"/>
        <v>19.589195656493061</v>
      </c>
    </row>
    <row r="242" spans="14:47" x14ac:dyDescent="0.35">
      <c r="N242" s="10">
        <v>24</v>
      </c>
      <c r="O242" s="50">
        <f t="shared" si="187"/>
        <v>1737.8008287493772</v>
      </c>
      <c r="P242" s="48" t="str">
        <f t="shared" si="155"/>
        <v>547.187404092767</v>
      </c>
      <c r="Q242" s="17" t="str">
        <f t="shared" si="156"/>
        <v>1+209.406751658495i</v>
      </c>
      <c r="R242" s="17">
        <f t="shared" si="164"/>
        <v>209.4091393424905</v>
      </c>
      <c r="S242" s="17">
        <f t="shared" si="165"/>
        <v>1.5660209678787318</v>
      </c>
      <c r="T242" s="17" t="str">
        <f t="shared" si="157"/>
        <v>1+0.00396238144398094i</v>
      </c>
      <c r="U242" s="17">
        <f t="shared" si="166"/>
        <v>1.0000078502025409</v>
      </c>
      <c r="V242" s="17">
        <f t="shared" si="167"/>
        <v>3.962360707096972E-3</v>
      </c>
      <c r="W242" s="31" t="str">
        <f t="shared" si="158"/>
        <v>1-0.0688077361836351i</v>
      </c>
      <c r="X242" s="17">
        <f t="shared" si="168"/>
        <v>1.0023644569510217</v>
      </c>
      <c r="Y242" s="17">
        <f t="shared" si="169"/>
        <v>-6.8699453436482885E-2</v>
      </c>
      <c r="Z242" s="31" t="str">
        <f t="shared" si="159"/>
        <v>0.99900166885276+0.329222050695292i</v>
      </c>
      <c r="AA242" s="17">
        <f t="shared" si="170"/>
        <v>1.0518514595866721</v>
      </c>
      <c r="AB242" s="17">
        <f t="shared" si="171"/>
        <v>0.31834264727280187</v>
      </c>
      <c r="AC242" s="66" t="str">
        <f t="shared" si="172"/>
        <v>-0.91970312444352-2.31402168397901i</v>
      </c>
      <c r="AD242" s="64">
        <f t="shared" si="173"/>
        <v>7.9243022729335184</v>
      </c>
      <c r="AE242" s="61">
        <f t="shared" si="174"/>
        <v>-111.67524440753785</v>
      </c>
      <c r="AF242" s="31" t="str">
        <f t="shared" si="160"/>
        <v>-0.000106860158311346</v>
      </c>
      <c r="AG242" s="31" t="str">
        <f t="shared" si="161"/>
        <v>0.000050445431809092i</v>
      </c>
      <c r="AH242" s="31">
        <f t="shared" si="175"/>
        <v>5.0445431809091998E-5</v>
      </c>
      <c r="AI242" s="31">
        <f t="shared" si="176"/>
        <v>1.5707963267948966</v>
      </c>
      <c r="AJ242" s="31" t="str">
        <f t="shared" si="162"/>
        <v>1+0.79637247720206i</v>
      </c>
      <c r="AK242" s="31">
        <f t="shared" si="177"/>
        <v>1.2783618902505447</v>
      </c>
      <c r="AL242" s="31">
        <f t="shared" si="178"/>
        <v>0.67252512075075821</v>
      </c>
      <c r="AM242" s="31" t="str">
        <f t="shared" si="163"/>
        <v>1+5.11005672871321i</v>
      </c>
      <c r="AN242" s="31">
        <f t="shared" si="179"/>
        <v>5.2069837497986438</v>
      </c>
      <c r="AO242" s="31">
        <f t="shared" si="180"/>
        <v>1.3775459617698591</v>
      </c>
      <c r="AP242" s="58" t="str">
        <f t="shared" si="181"/>
        <v>-5.59158191746532+6.57131366271443i</v>
      </c>
      <c r="AQ242" s="49">
        <f t="shared" si="182"/>
        <v>18.718527528084486</v>
      </c>
      <c r="AR242" s="61">
        <f t="shared" si="183"/>
        <v>130.39471865915831</v>
      </c>
      <c r="AS242" s="58" t="str">
        <f t="shared" si="184"/>
        <v>20.3487576678235+6.89538409746283i</v>
      </c>
      <c r="AT242" s="64">
        <f t="shared" si="185"/>
        <v>26.642829801018021</v>
      </c>
      <c r="AU242" s="61">
        <f t="shared" si="186"/>
        <v>18.719474251620412</v>
      </c>
    </row>
    <row r="243" spans="14:47" x14ac:dyDescent="0.35">
      <c r="N243" s="10">
        <v>25</v>
      </c>
      <c r="O243" s="50">
        <f t="shared" si="187"/>
        <v>1778.2794100389244</v>
      </c>
      <c r="P243" s="48" t="str">
        <f t="shared" si="155"/>
        <v>547.187404092767</v>
      </c>
      <c r="Q243" s="17" t="str">
        <f t="shared" si="156"/>
        <v>1+214.284461508415i</v>
      </c>
      <c r="R243" s="17">
        <f t="shared" si="164"/>
        <v>214.28679484268599</v>
      </c>
      <c r="S243" s="17">
        <f t="shared" si="165"/>
        <v>1.5661296667220594</v>
      </c>
      <c r="T243" s="17" t="str">
        <f t="shared" si="157"/>
        <v>1+0.00405467716436901i</v>
      </c>
      <c r="U243" s="17">
        <f t="shared" si="166"/>
        <v>1.0000082201696681</v>
      </c>
      <c r="V243" s="17">
        <f t="shared" si="167"/>
        <v>4.054654944407373E-3</v>
      </c>
      <c r="W243" s="31" t="str">
        <f t="shared" si="158"/>
        <v>1-0.0704104742514169i</v>
      </c>
      <c r="X243" s="17">
        <f t="shared" si="168"/>
        <v>1.0024757527662749</v>
      </c>
      <c r="Y243" s="17">
        <f t="shared" si="169"/>
        <v>-7.0294462667777557E-2</v>
      </c>
      <c r="Z243" s="31" t="str">
        <f t="shared" si="159"/>
        <v>0.998954618955316+0.336890617380793i</v>
      </c>
      <c r="AA243" s="17">
        <f t="shared" si="170"/>
        <v>1.0542322414019467</v>
      </c>
      <c r="AB243" s="17">
        <f t="shared" si="171"/>
        <v>0.32526526582158694</v>
      </c>
      <c r="AC243" s="66" t="str">
        <f t="shared" si="172"/>
        <v>-0.916062888860292-2.24875808050881i</v>
      </c>
      <c r="AD243" s="64">
        <f t="shared" si="173"/>
        <v>7.7056367109010857</v>
      </c>
      <c r="AE243" s="61">
        <f t="shared" si="174"/>
        <v>-112.16420844548911</v>
      </c>
      <c r="AF243" s="31" t="str">
        <f t="shared" si="160"/>
        <v>-0.000106860158311346</v>
      </c>
      <c r="AG243" s="31" t="str">
        <f t="shared" si="161"/>
        <v>0.0000516204568628205i</v>
      </c>
      <c r="AH243" s="31">
        <f t="shared" si="175"/>
        <v>5.1620456862820501E-5</v>
      </c>
      <c r="AI243" s="31">
        <f t="shared" si="176"/>
        <v>1.5707963267948966</v>
      </c>
      <c r="AJ243" s="31" t="str">
        <f t="shared" si="162"/>
        <v>1+0.814922375166136i</v>
      </c>
      <c r="AK243" s="31">
        <f t="shared" si="177"/>
        <v>1.2899994099015768</v>
      </c>
      <c r="AL243" s="31">
        <f t="shared" si="178"/>
        <v>0.68377395084801484</v>
      </c>
      <c r="AM243" s="31" t="str">
        <f t="shared" si="163"/>
        <v>1+5.22908524064936i</v>
      </c>
      <c r="AN243" s="31">
        <f t="shared" si="179"/>
        <v>5.3238456452058207</v>
      </c>
      <c r="AO243" s="31">
        <f t="shared" si="180"/>
        <v>1.3818397503927782</v>
      </c>
      <c r="AP243" s="58" t="str">
        <f t="shared" si="181"/>
        <v>-5.49114989390115+6.54497351667942i</v>
      </c>
      <c r="AQ243" s="49">
        <f t="shared" si="182"/>
        <v>18.632598262770291</v>
      </c>
      <c r="AR243" s="61">
        <f t="shared" si="183"/>
        <v>129.99622413634035</v>
      </c>
      <c r="AS243" s="58" t="str">
        <f t="shared" si="184"/>
        <v>19.748300717321+6.35266034799185i</v>
      </c>
      <c r="AT243" s="64">
        <f t="shared" si="185"/>
        <v>26.338234973671387</v>
      </c>
      <c r="AU243" s="61">
        <f t="shared" si="186"/>
        <v>17.832015690851193</v>
      </c>
    </row>
    <row r="244" spans="14:47" x14ac:dyDescent="0.35">
      <c r="N244" s="10">
        <v>26</v>
      </c>
      <c r="O244" s="50">
        <f t="shared" si="187"/>
        <v>1819.7008586099832</v>
      </c>
      <c r="P244" s="48" t="str">
        <f t="shared" si="155"/>
        <v>547.187404092767</v>
      </c>
      <c r="Q244" s="17" t="str">
        <f t="shared" si="156"/>
        <v>1+219.275787816215i</v>
      </c>
      <c r="R244" s="17">
        <f t="shared" si="164"/>
        <v>219.27806803787226</v>
      </c>
      <c r="S244" s="17">
        <f t="shared" si="165"/>
        <v>1.5662358913841945</v>
      </c>
      <c r="T244" s="17" t="str">
        <f t="shared" si="157"/>
        <v>1+0.00414912272825957i</v>
      </c>
      <c r="U244" s="17">
        <f t="shared" si="166"/>
        <v>1.000008607572662</v>
      </c>
      <c r="V244" s="17">
        <f t="shared" si="167"/>
        <v>4.149098919152782E-3</v>
      </c>
      <c r="W244" s="31" t="str">
        <f t="shared" si="158"/>
        <v>1-0.0720505448846389i</v>
      </c>
      <c r="X244" s="17">
        <f t="shared" si="168"/>
        <v>1.0025922805498622</v>
      </c>
      <c r="Y244" s="17">
        <f t="shared" si="169"/>
        <v>-7.1926253585528649E-2</v>
      </c>
      <c r="Z244" s="31" t="str">
        <f t="shared" si="159"/>
        <v>0.99890535166452+0.344737807930899i</v>
      </c>
      <c r="AA244" s="17">
        <f t="shared" si="170"/>
        <v>1.0567194792379953</v>
      </c>
      <c r="AB244" s="17">
        <f t="shared" si="171"/>
        <v>0.33231684067810124</v>
      </c>
      <c r="AC244" s="66" t="str">
        <f t="shared" si="172"/>
        <v>-0.912239705886541-2.18480500070086i</v>
      </c>
      <c r="AD244" s="64">
        <f t="shared" si="173"/>
        <v>7.4861855394808652</v>
      </c>
      <c r="AE244" s="61">
        <f t="shared" si="174"/>
        <v>-112.66240363999006</v>
      </c>
      <c r="AF244" s="31" t="str">
        <f t="shared" si="160"/>
        <v>-0.000106860158311346</v>
      </c>
      <c r="AG244" s="31" t="str">
        <f t="shared" si="161"/>
        <v>0.0000528228517660551i</v>
      </c>
      <c r="AH244" s="31">
        <f t="shared" si="175"/>
        <v>5.2822851766055098E-5</v>
      </c>
      <c r="AI244" s="31">
        <f t="shared" si="176"/>
        <v>1.5707963267948966</v>
      </c>
      <c r="AJ244" s="31" t="str">
        <f t="shared" si="162"/>
        <v>1+0.833904355760289i</v>
      </c>
      <c r="AK244" s="31">
        <f t="shared" si="177"/>
        <v>1.3020739128620857</v>
      </c>
      <c r="AL244" s="31">
        <f t="shared" si="178"/>
        <v>0.69507517841360489</v>
      </c>
      <c r="AM244" s="31" t="str">
        <f t="shared" si="163"/>
        <v>1+5.35088628279517i</v>
      </c>
      <c r="AN244" s="31">
        <f t="shared" si="179"/>
        <v>5.4435267989976417</v>
      </c>
      <c r="AO244" s="31">
        <f t="shared" si="180"/>
        <v>1.3860426252803728</v>
      </c>
      <c r="AP244" s="58" t="str">
        <f t="shared" si="181"/>
        <v>-5.38978009896662+6.51755218809366i</v>
      </c>
      <c r="AQ244" s="49">
        <f t="shared" si="182"/>
        <v>18.54477393592482</v>
      </c>
      <c r="AR244" s="61">
        <f t="shared" si="183"/>
        <v>129.58951848639578</v>
      </c>
      <c r="AS244" s="58" t="str">
        <f t="shared" si="184"/>
        <v>19.1563520251503+5.83004862173351i</v>
      </c>
      <c r="AT244" s="64">
        <f t="shared" si="185"/>
        <v>26.030959475405684</v>
      </c>
      <c r="AU244" s="61">
        <f t="shared" si="186"/>
        <v>16.92711484640574</v>
      </c>
    </row>
    <row r="245" spans="14:47" x14ac:dyDescent="0.35">
      <c r="N245" s="10">
        <v>27</v>
      </c>
      <c r="O245" s="50">
        <f t="shared" si="187"/>
        <v>1862.0871366628687</v>
      </c>
      <c r="P245" s="48" t="str">
        <f t="shared" si="155"/>
        <v>547.187404092767</v>
      </c>
      <c r="Q245" s="17" t="str">
        <f t="shared" si="156"/>
        <v>1+224.383377049174i</v>
      </c>
      <c r="R245" s="17">
        <f t="shared" si="164"/>
        <v>224.38560536717094</v>
      </c>
      <c r="S245" s="17">
        <f t="shared" si="165"/>
        <v>1.5663396981772642</v>
      </c>
      <c r="T245" s="17" t="str">
        <f t="shared" si="157"/>
        <v>1+0.00424576821194082i</v>
      </c>
      <c r="U245" s="17">
        <f t="shared" si="166"/>
        <v>1.0000090132332355</v>
      </c>
      <c r="V245" s="17">
        <f t="shared" si="167"/>
        <v>4.2457427000356764E-3</v>
      </c>
      <c r="W245" s="31" t="str">
        <f t="shared" si="158"/>
        <v>1-0.0737288176704609i</v>
      </c>
      <c r="X245" s="17">
        <f t="shared" si="168"/>
        <v>1.0027142856043711</v>
      </c>
      <c r="Y245" s="17">
        <f t="shared" si="169"/>
        <v>-7.3595656607074053E-2</v>
      </c>
      <c r="Z245" s="31" t="str">
        <f t="shared" si="159"/>
        <v>0.998853762477843+0.352767783029918i</v>
      </c>
      <c r="AA245" s="17">
        <f t="shared" si="170"/>
        <v>1.0593176801885196</v>
      </c>
      <c r="AB245" s="17">
        <f t="shared" si="171"/>
        <v>0.33949839084599315</v>
      </c>
      <c r="AC245" s="66" t="str">
        <f t="shared" si="172"/>
        <v>-0.908230566133868-2.12213523975i</v>
      </c>
      <c r="AD245" s="64">
        <f t="shared" si="173"/>
        <v>7.2659198933949263</v>
      </c>
      <c r="AE245" s="61">
        <f t="shared" si="174"/>
        <v>-113.16993631277958</v>
      </c>
      <c r="AF245" s="31" t="str">
        <f t="shared" si="160"/>
        <v>-0.000106860158311346</v>
      </c>
      <c r="AG245" s="31" t="str">
        <f t="shared" si="161"/>
        <v>0.0000540532540444893i</v>
      </c>
      <c r="AH245" s="31">
        <f t="shared" si="175"/>
        <v>5.4053254044489302E-5</v>
      </c>
      <c r="AI245" s="31">
        <f t="shared" si="176"/>
        <v>1.5707963267948966</v>
      </c>
      <c r="AJ245" s="31" t="str">
        <f t="shared" si="162"/>
        <v>1+0.853328483481899i</v>
      </c>
      <c r="AK245" s="31">
        <f t="shared" si="177"/>
        <v>1.3145986082152672</v>
      </c>
      <c r="AL245" s="31">
        <f t="shared" si="178"/>
        <v>0.70642324931106615</v>
      </c>
      <c r="AM245" s="31" t="str">
        <f t="shared" si="163"/>
        <v>1+5.47552443567551i</v>
      </c>
      <c r="AN245" s="31">
        <f t="shared" si="179"/>
        <v>5.5660908944859688</v>
      </c>
      <c r="AO245" s="31">
        <f t="shared" si="180"/>
        <v>1.390156220641888</v>
      </c>
      <c r="AP245" s="58" t="str">
        <f t="shared" si="181"/>
        <v>-5.28756824756189+6.48897478185313i</v>
      </c>
      <c r="AQ245" s="49">
        <f t="shared" si="182"/>
        <v>18.455021905675736</v>
      </c>
      <c r="AR245" s="61">
        <f t="shared" si="183"/>
        <v>129.17501357119539</v>
      </c>
      <c r="AS245" s="58" t="str">
        <f t="shared" si="184"/>
        <v>18.5728131573742+5.32744967098338i</v>
      </c>
      <c r="AT245" s="64">
        <f t="shared" si="185"/>
        <v>25.720941799070658</v>
      </c>
      <c r="AU245" s="61">
        <f t="shared" si="186"/>
        <v>16.00507725841581</v>
      </c>
    </row>
    <row r="246" spans="14:47" x14ac:dyDescent="0.35">
      <c r="N246" s="10">
        <v>28</v>
      </c>
      <c r="O246" s="50">
        <f t="shared" si="187"/>
        <v>1905.4607179632501</v>
      </c>
      <c r="P246" s="48" t="str">
        <f t="shared" si="155"/>
        <v>547.187404092767</v>
      </c>
      <c r="Q246" s="17" t="str">
        <f t="shared" si="156"/>
        <v>1+229.609937318712i</v>
      </c>
      <c r="R246" s="17">
        <f t="shared" si="164"/>
        <v>229.61211491448543</v>
      </c>
      <c r="S246" s="17">
        <f t="shared" si="165"/>
        <v>1.5664411421320505</v>
      </c>
      <c r="T246" s="17" t="str">
        <f t="shared" si="157"/>
        <v>1+0.00434466485812747i</v>
      </c>
      <c r="U246" s="17">
        <f t="shared" si="166"/>
        <v>1.0000094380118267</v>
      </c>
      <c r="V246" s="17">
        <f t="shared" si="167"/>
        <v>4.3446375216425288E-3</v>
      </c>
      <c r="W246" s="31" t="str">
        <f t="shared" si="158"/>
        <v>1-0.0754461824513286i</v>
      </c>
      <c r="X246" s="17">
        <f t="shared" si="168"/>
        <v>1.0028420246711238</v>
      </c>
      <c r="Y246" s="17">
        <f t="shared" si="169"/>
        <v>-7.5303519631368956E-2</v>
      </c>
      <c r="Z246" s="31" t="str">
        <f t="shared" si="159"/>
        <v>0.998799741967702+0.360984800276935i</v>
      </c>
      <c r="AA246" s="17">
        <f t="shared" si="170"/>
        <v>1.0620315205236268</v>
      </c>
      <c r="AB246" s="17">
        <f t="shared" si="171"/>
        <v>0.34681085151351171</v>
      </c>
      <c r="AC246" s="66" t="str">
        <f t="shared" si="172"/>
        <v>-0.904032451164108-2.06072257122421i</v>
      </c>
      <c r="AD246" s="64">
        <f t="shared" si="173"/>
        <v>7.0448102032329789</v>
      </c>
      <c r="AE246" s="61">
        <f t="shared" si="174"/>
        <v>-113.68690884473493</v>
      </c>
      <c r="AF246" s="31" t="str">
        <f t="shared" si="160"/>
        <v>-0.000106860158311346</v>
      </c>
      <c r="AG246" s="31" t="str">
        <f t="shared" si="161"/>
        <v>0.0000553123160736973i</v>
      </c>
      <c r="AH246" s="31">
        <f t="shared" si="175"/>
        <v>5.53123160736973E-5</v>
      </c>
      <c r="AI246" s="31">
        <f t="shared" si="176"/>
        <v>1.5707963267948966</v>
      </c>
      <c r="AJ246" s="31" t="str">
        <f t="shared" si="162"/>
        <v>1+0.873205057260598i</v>
      </c>
      <c r="AK246" s="31">
        <f t="shared" si="177"/>
        <v>1.3275869357693622</v>
      </c>
      <c r="AL246" s="31">
        <f t="shared" si="178"/>
        <v>0.71781249013075543</v>
      </c>
      <c r="AM246" s="31" t="str">
        <f t="shared" si="163"/>
        <v>1+5.60306578408882i</v>
      </c>
      <c r="AN246" s="31">
        <f t="shared" si="179"/>
        <v>5.6916031292445943</v>
      </c>
      <c r="AO246" s="31">
        <f t="shared" si="180"/>
        <v>1.3941821604161462</v>
      </c>
      <c r="AP246" s="58" t="str">
        <f t="shared" si="181"/>
        <v>-5.18461344962871+6.45917217380593i</v>
      </c>
      <c r="AQ246" s="49">
        <f t="shared" si="182"/>
        <v>18.363312175216233</v>
      </c>
      <c r="AR246" s="61">
        <f t="shared" si="183"/>
        <v>128.75312749800801</v>
      </c>
      <c r="AS246" s="58" t="str">
        <f t="shared" si="184"/>
        <v>17.9976206951915+4.84474870594572i</v>
      </c>
      <c r="AT246" s="64">
        <f t="shared" si="185"/>
        <v>25.408122378449228</v>
      </c>
      <c r="AU246" s="61">
        <f t="shared" si="186"/>
        <v>15.06621865327303</v>
      </c>
    </row>
    <row r="247" spans="14:47" x14ac:dyDescent="0.35">
      <c r="N247" s="10">
        <v>29</v>
      </c>
      <c r="O247" s="50">
        <f t="shared" si="187"/>
        <v>1949.8445997580463</v>
      </c>
      <c r="P247" s="48" t="str">
        <f t="shared" si="155"/>
        <v>547.187404092767</v>
      </c>
      <c r="Q247" s="17" t="str">
        <f t="shared" si="156"/>
        <v>1+234.958239816259i</v>
      </c>
      <c r="R247" s="17">
        <f t="shared" si="164"/>
        <v>234.96036784435515</v>
      </c>
      <c r="S247" s="17">
        <f t="shared" si="165"/>
        <v>1.5665402770271244</v>
      </c>
      <c r="T247" s="17" t="str">
        <f t="shared" si="157"/>
        <v>1+0.00444586510313027i</v>
      </c>
      <c r="U247" s="17">
        <f t="shared" si="166"/>
        <v>1.0000098828094226</v>
      </c>
      <c r="V247" s="17">
        <f t="shared" si="167"/>
        <v>4.4458358115745528E-3</v>
      </c>
      <c r="W247" s="31" t="str">
        <f t="shared" si="158"/>
        <v>1-0.0772035497967793i</v>
      </c>
      <c r="X247" s="17">
        <f t="shared" si="168"/>
        <v>1.0029757664576069</v>
      </c>
      <c r="Y247" s="17">
        <f t="shared" si="169"/>
        <v>-7.7050708315774472E-2</v>
      </c>
      <c r="Z247" s="31" t="str">
        <f t="shared" si="159"/>
        <v>0.998743175549354+0.369393216443253i</v>
      </c>
      <c r="AA247" s="17">
        <f t="shared" si="170"/>
        <v>1.0648658502650461</v>
      </c>
      <c r="AB247" s="17">
        <f t="shared" si="171"/>
        <v>0.35425506781214433</v>
      </c>
      <c r="AC247" s="66" t="str">
        <f t="shared" si="172"/>
        <v>-0.899642351435825-2.00054173831429i</v>
      </c>
      <c r="AD247" s="64">
        <f t="shared" si="173"/>
        <v>6.8228262095556156</v>
      </c>
      <c r="AE247" s="61">
        <f t="shared" si="174"/>
        <v>-114.21341933424176</v>
      </c>
      <c r="AF247" s="31" t="str">
        <f t="shared" si="160"/>
        <v>-0.000106860158311346</v>
      </c>
      <c r="AG247" s="31" t="str">
        <f t="shared" si="161"/>
        <v>0.0000566007054250325i</v>
      </c>
      <c r="AH247" s="31">
        <f t="shared" si="175"/>
        <v>5.6600705425032502E-5</v>
      </c>
      <c r="AI247" s="31">
        <f t="shared" si="176"/>
        <v>1.5707963267948966</v>
      </c>
      <c r="AJ247" s="31" t="str">
        <f t="shared" si="162"/>
        <v>1+0.893544615918879i</v>
      </c>
      <c r="AK247" s="31">
        <f t="shared" si="177"/>
        <v>1.3410525644573434</v>
      </c>
      <c r="AL247" s="31">
        <f t="shared" si="178"/>
        <v>0.72923712165039678</v>
      </c>
      <c r="AM247" s="31" t="str">
        <f t="shared" si="163"/>
        <v>1+5.73357795214613i</v>
      </c>
      <c r="AN247" s="31">
        <f t="shared" si="179"/>
        <v>5.8201302505473373</v>
      </c>
      <c r="AO247" s="31">
        <f t="shared" si="180"/>
        <v>1.3981220569265298</v>
      </c>
      <c r="AP247" s="58" t="str">
        <f t="shared" si="181"/>
        <v>-5.08101784608986+6.42808127215499i</v>
      </c>
      <c r="AQ247" s="49">
        <f t="shared" si="182"/>
        <v>18.269617446640368</v>
      </c>
      <c r="AR247" s="61">
        <f t="shared" si="183"/>
        <v>128.32428377120368</v>
      </c>
      <c r="AS247" s="58" t="str">
        <f t="shared" si="184"/>
        <v>17.4307437249661+4.38181412332043i</v>
      </c>
      <c r="AT247" s="64">
        <f t="shared" si="185"/>
        <v>25.092443656195957</v>
      </c>
      <c r="AU247" s="61">
        <f t="shared" si="186"/>
        <v>14.110864436961936</v>
      </c>
    </row>
    <row r="248" spans="14:47" x14ac:dyDescent="0.35">
      <c r="N248" s="10">
        <v>30</v>
      </c>
      <c r="O248" s="50">
        <f t="shared" si="187"/>
        <v>1995.2623149688804</v>
      </c>
      <c r="P248" s="48" t="str">
        <f t="shared" si="155"/>
        <v>547.187404092767</v>
      </c>
      <c r="Q248" s="17" t="str">
        <f t="shared" si="156"/>
        <v>1+240.4311202826i</v>
      </c>
      <c r="R248" s="17">
        <f t="shared" si="164"/>
        <v>240.4331998712866</v>
      </c>
      <c r="S248" s="17">
        <f t="shared" si="165"/>
        <v>1.5666371554173211</v>
      </c>
      <c r="T248" s="17" t="str">
        <f t="shared" si="157"/>
        <v>1+0.00454942260465876i</v>
      </c>
      <c r="U248" s="17">
        <f t="shared" si="166"/>
        <v>1.0000103485694714</v>
      </c>
      <c r="V248" s="17">
        <f t="shared" si="167"/>
        <v>4.5493912182088701E-3</v>
      </c>
      <c r="W248" s="31" t="str">
        <f t="shared" si="158"/>
        <v>1-0.0790018514862427i</v>
      </c>
      <c r="X248" s="17">
        <f t="shared" si="168"/>
        <v>1.0031157921886458</v>
      </c>
      <c r="Y248" s="17">
        <f t="shared" si="169"/>
        <v>-7.8838106350297948E-2</v>
      </c>
      <c r="Z248" s="31" t="str">
        <f t="shared" si="159"/>
        <v>0.99868394323784+0.377997489782429i</v>
      </c>
      <c r="AA248" s="17">
        <f t="shared" si="170"/>
        <v>1.0678256977442051</v>
      </c>
      <c r="AB248" s="17">
        <f t="shared" si="171"/>
        <v>0.36183178842331648</v>
      </c>
      <c r="AC248" s="66" t="str">
        <f t="shared" si="172"/>
        <v>-0.895057285213706-1.94156844473332i</v>
      </c>
      <c r="AD248" s="64">
        <f t="shared" si="173"/>
        <v>6.5999369803215746</v>
      </c>
      <c r="AE248" s="61">
        <f t="shared" si="174"/>
        <v>-114.74956124663824</v>
      </c>
      <c r="AF248" s="31" t="str">
        <f t="shared" si="160"/>
        <v>-0.000106860158311346</v>
      </c>
      <c r="AG248" s="31" t="str">
        <f t="shared" si="161"/>
        <v>0.000057919105219583i</v>
      </c>
      <c r="AH248" s="31">
        <f t="shared" si="175"/>
        <v>5.7919105219582998E-5</v>
      </c>
      <c r="AI248" s="31">
        <f t="shared" si="176"/>
        <v>1.5707963267948966</v>
      </c>
      <c r="AJ248" s="31" t="str">
        <f t="shared" si="162"/>
        <v>1+0.914357943759989i</v>
      </c>
      <c r="AK248" s="31">
        <f t="shared" si="177"/>
        <v>1.3550093908593384</v>
      </c>
      <c r="AL248" s="31">
        <f t="shared" si="178"/>
        <v>0.74069127294922266</v>
      </c>
      <c r="AM248" s="31" t="str">
        <f t="shared" si="163"/>
        <v>1+5.86713013912658i</v>
      </c>
      <c r="AN248" s="31">
        <f t="shared" si="179"/>
        <v>5.9517405915788606</v>
      </c>
      <c r="AO248" s="31">
        <f t="shared" si="180"/>
        <v>1.4019775096499281</v>
      </c>
      <c r="AP248" s="58" t="str">
        <f t="shared" si="181"/>
        <v>-4.97688621890495+6.39564524868722i</v>
      </c>
      <c r="AQ248" s="49">
        <f t="shared" si="182"/>
        <v>18.17391316675376</v>
      </c>
      <c r="AR248" s="61">
        <f t="shared" si="183"/>
        <v>127.8889104130395</v>
      </c>
      <c r="AS248" s="58" t="str">
        <f t="shared" si="184"/>
        <v>16.8721812664703+3.93849636217406i</v>
      </c>
      <c r="AT248" s="64">
        <f t="shared" si="185"/>
        <v>24.773850147075358</v>
      </c>
      <c r="AU248" s="61">
        <f t="shared" si="186"/>
        <v>13.139349166401237</v>
      </c>
    </row>
    <row r="249" spans="14:47" x14ac:dyDescent="0.35">
      <c r="N249" s="10">
        <v>31</v>
      </c>
      <c r="O249" s="50">
        <f t="shared" si="187"/>
        <v>2041.7379446695318</v>
      </c>
      <c r="P249" s="48" t="str">
        <f t="shared" si="155"/>
        <v>547.187404092767</v>
      </c>
      <c r="Q249" s="17" t="str">
        <f t="shared" si="156"/>
        <v>1+246.031480511394i</v>
      </c>
      <c r="R249" s="17">
        <f t="shared" si="164"/>
        <v>246.03351276325841</v>
      </c>
      <c r="S249" s="17">
        <f t="shared" si="165"/>
        <v>1.5667318286615668</v>
      </c>
      <c r="T249" s="17" t="str">
        <f t="shared" si="157"/>
        <v>1+0.00465539227027095i</v>
      </c>
      <c r="U249" s="17">
        <f t="shared" si="166"/>
        <v>1.0000108362798825</v>
      </c>
      <c r="V249" s="17">
        <f t="shared" si="167"/>
        <v>4.6553586391036529E-3</v>
      </c>
      <c r="W249" s="31" t="str">
        <f t="shared" si="158"/>
        <v>1-0.0808420410030767i</v>
      </c>
      <c r="X249" s="17">
        <f t="shared" si="168"/>
        <v>1.0032623961823464</v>
      </c>
      <c r="Y249" s="17">
        <f t="shared" si="169"/>
        <v>-8.0666615728604854E-2</v>
      </c>
      <c r="Z249" s="31" t="str">
        <f t="shared" si="159"/>
        <v>0.998621919393487+0.386802182394075i</v>
      </c>
      <c r="AA249" s="17">
        <f t="shared" si="170"/>
        <v>1.0709162741306864</v>
      </c>
      <c r="AB249" s="17">
        <f t="shared" si="171"/>
        <v>0.3695416590501901</v>
      </c>
      <c r="AC249" s="66" t="str">
        <f t="shared" si="172"/>
        <v>-0.890274318441562-1.88377934514651i</v>
      </c>
      <c r="AD249" s="64">
        <f t="shared" si="173"/>
        <v>6.3761109318562239</v>
      </c>
      <c r="AE249" s="61">
        <f t="shared" si="174"/>
        <v>-115.29542305567199</v>
      </c>
      <c r="AF249" s="31" t="str">
        <f t="shared" si="160"/>
        <v>-0.000106860158311346</v>
      </c>
      <c r="AG249" s="31" t="str">
        <f t="shared" si="161"/>
        <v>0.000059268214490371i</v>
      </c>
      <c r="AH249" s="31">
        <f t="shared" si="175"/>
        <v>5.9268214490371003E-5</v>
      </c>
      <c r="AI249" s="31">
        <f t="shared" si="176"/>
        <v>1.5707963267948966</v>
      </c>
      <c r="AJ249" s="31" t="str">
        <f t="shared" si="162"/>
        <v>1+0.935656076285833i</v>
      </c>
      <c r="AK249" s="31">
        <f t="shared" si="177"/>
        <v>1.3694715378899265</v>
      </c>
      <c r="AL249" s="31">
        <f t="shared" si="178"/>
        <v>0.75216899609522858</v>
      </c>
      <c r="AM249" s="31" t="str">
        <f t="shared" si="163"/>
        <v>1+6.00379315616742i</v>
      </c>
      <c r="AN249" s="31">
        <f t="shared" si="179"/>
        <v>6.0865041084388292</v>
      </c>
      <c r="AO249" s="31">
        <f t="shared" si="180"/>
        <v>1.4057501040936151</v>
      </c>
      <c r="AP249" s="58" t="str">
        <f t="shared" si="181"/>
        <v>-4.87232557825375+6.36181373703893i</v>
      </c>
      <c r="AQ249" s="49">
        <f t="shared" si="182"/>
        <v>18.076177564352346</v>
      </c>
      <c r="AR249" s="61">
        <f t="shared" si="183"/>
        <v>127.44743905779158</v>
      </c>
      <c r="AS249" s="58" t="str">
        <f t="shared" si="184"/>
        <v>16.3219596489085+3.51462689834894i</v>
      </c>
      <c r="AT249" s="64">
        <f t="shared" si="185"/>
        <v>24.45228849620856</v>
      </c>
      <c r="AU249" s="61">
        <f t="shared" si="186"/>
        <v>12.152016002119607</v>
      </c>
    </row>
    <row r="250" spans="14:47" x14ac:dyDescent="0.35">
      <c r="N250" s="10">
        <v>32</v>
      </c>
      <c r="O250" s="50">
        <f t="shared" si="187"/>
        <v>2089.2961308540398</v>
      </c>
      <c r="P250" s="48" t="str">
        <f t="shared" si="155"/>
        <v>547.187404092767</v>
      </c>
      <c r="Q250" s="17" t="str">
        <f t="shared" si="156"/>
        <v>1+251.76228988777i</v>
      </c>
      <c r="R250" s="17">
        <f t="shared" si="164"/>
        <v>251.76427588030342</v>
      </c>
      <c r="S250" s="17">
        <f t="shared" si="165"/>
        <v>1.5668243469500771</v>
      </c>
      <c r="T250" s="17" t="str">
        <f t="shared" si="157"/>
        <v>1+0.00476383028648628i</v>
      </c>
      <c r="U250" s="17">
        <f t="shared" si="166"/>
        <v>1.0000113469751224</v>
      </c>
      <c r="V250" s="17">
        <f t="shared" si="167"/>
        <v>4.7637942500633476E-3</v>
      </c>
      <c r="W250" s="31" t="str">
        <f t="shared" si="158"/>
        <v>1-0.0827250940401223i</v>
      </c>
      <c r="X250" s="17">
        <f t="shared" si="168"/>
        <v>1.0034158864518476</v>
      </c>
      <c r="Y250" s="17">
        <f t="shared" si="169"/>
        <v>-8.2537157015105667E-2</v>
      </c>
      <c r="Z250" s="31" t="str">
        <f t="shared" si="159"/>
        <v>0.998556972455404+0.395811962642761i</v>
      </c>
      <c r="AA250" s="17">
        <f t="shared" si="170"/>
        <v>1.0741429779179386</v>
      </c>
      <c r="AB250" s="17">
        <f t="shared" si="171"/>
        <v>0.37738521577430062</v>
      </c>
      <c r="AC250" s="66" t="str">
        <f t="shared" si="172"/>
        <v>-0.885290585568855-1.82715203500468i</v>
      </c>
      <c r="AD250" s="64">
        <f t="shared" si="173"/>
        <v>6.1513158535682697</v>
      </c>
      <c r="AE250" s="61">
        <f t="shared" si="174"/>
        <v>-115.85108787805898</v>
      </c>
      <c r="AF250" s="31" t="str">
        <f t="shared" si="160"/>
        <v>-0.000106860158311346</v>
      </c>
      <c r="AG250" s="31" t="str">
        <f t="shared" si="161"/>
        <v>0.0000606487485529892i</v>
      </c>
      <c r="AH250" s="31">
        <f t="shared" si="175"/>
        <v>6.0648748552989199E-5</v>
      </c>
      <c r="AI250" s="31">
        <f t="shared" si="176"/>
        <v>1.5707963267948966</v>
      </c>
      <c r="AJ250" s="31" t="str">
        <f t="shared" si="162"/>
        <v>1+0.957450306048205i</v>
      </c>
      <c r="AK250" s="31">
        <f t="shared" si="177"/>
        <v>1.3844533536930024</v>
      </c>
      <c r="AL250" s="31">
        <f t="shared" si="178"/>
        <v>0.76366428131876063</v>
      </c>
      <c r="AM250" s="31" t="str">
        <f t="shared" si="163"/>
        <v>1+6.1436394638093i</v>
      </c>
      <c r="AN250" s="31">
        <f t="shared" si="179"/>
        <v>6.2244924179626899</v>
      </c>
      <c r="AO250" s="31">
        <f t="shared" si="180"/>
        <v>1.4094414107742586</v>
      </c>
      <c r="AP250" s="58" t="str">
        <f t="shared" si="181"/>
        <v>-4.76744473019367+6.32654299555296i</v>
      </c>
      <c r="AQ250" s="49">
        <f t="shared" si="182"/>
        <v>17.976391678528806</v>
      </c>
      <c r="AR250" s="61">
        <f t="shared" si="183"/>
        <v>127.00030402387351</v>
      </c>
      <c r="AS250" s="58" t="str">
        <f t="shared" si="184"/>
        <v>15.7801298457295+3.11001738738608i</v>
      </c>
      <c r="AT250" s="64">
        <f t="shared" si="185"/>
        <v>24.12770753209707</v>
      </c>
      <c r="AU250" s="61">
        <f t="shared" si="186"/>
        <v>11.149216145814519</v>
      </c>
    </row>
    <row r="251" spans="14:47" x14ac:dyDescent="0.35">
      <c r="N251" s="10">
        <v>33</v>
      </c>
      <c r="O251" s="50">
        <f t="shared" si="187"/>
        <v>2137.9620895022344</v>
      </c>
      <c r="P251" s="48" t="str">
        <f t="shared" si="155"/>
        <v>547.187404092767</v>
      </c>
      <c r="Q251" s="17" t="str">
        <f t="shared" si="156"/>
        <v>1+257.62658696271i</v>
      </c>
      <c r="R251" s="17">
        <f t="shared" si="164"/>
        <v>257.62852774887875</v>
      </c>
      <c r="S251" s="17">
        <f t="shared" si="165"/>
        <v>1.5669147593309336</v>
      </c>
      <c r="T251" s="17" t="str">
        <f t="shared" si="157"/>
        <v>1+0.00487479414857622i</v>
      </c>
      <c r="U251" s="17">
        <f t="shared" si="166"/>
        <v>1.0000118817384076</v>
      </c>
      <c r="V251" s="17">
        <f t="shared" si="167"/>
        <v>4.8747555348781354E-3</v>
      </c>
      <c r="W251" s="31" t="str">
        <f t="shared" si="158"/>
        <v>1-0.0846520090170233i</v>
      </c>
      <c r="X251" s="17">
        <f t="shared" si="168"/>
        <v>1.0035765853339835</v>
      </c>
      <c r="Y251" s="17">
        <f t="shared" si="169"/>
        <v>-8.4450669607319923E-2</v>
      </c>
      <c r="Z251" s="31" t="str">
        <f t="shared" si="159"/>
        <v>0.99848896466243+0.405031607633228i</v>
      </c>
      <c r="AA251" s="17">
        <f t="shared" si="170"/>
        <v>1.0775113993525121</v>
      </c>
      <c r="AB251" s="17">
        <f t="shared" si="171"/>
        <v>0.38536287831930488</v>
      </c>
      <c r="AC251" s="66" t="str">
        <f t="shared" si="172"/>
        <v>-0.880103311310214-1.77166503965256i</v>
      </c>
      <c r="AD251" s="64">
        <f t="shared" si="173"/>
        <v>5.925518936628511</v>
      </c>
      <c r="AE251" s="61">
        <f t="shared" si="174"/>
        <v>-116.41663310237598</v>
      </c>
      <c r="AF251" s="31" t="str">
        <f t="shared" si="160"/>
        <v>-0.000106860158311346</v>
      </c>
      <c r="AG251" s="31" t="str">
        <f t="shared" si="161"/>
        <v>0.0000620614393848714i</v>
      </c>
      <c r="AH251" s="31">
        <f t="shared" si="175"/>
        <v>6.2061439384871397E-5</v>
      </c>
      <c r="AI251" s="31">
        <f t="shared" si="176"/>
        <v>1.5707963267948966</v>
      </c>
      <c r="AJ251" s="31" t="str">
        <f t="shared" si="162"/>
        <v>1+0.979752188636189i</v>
      </c>
      <c r="AK251" s="31">
        <f t="shared" si="177"/>
        <v>1.3999694107863223</v>
      </c>
      <c r="AL251" s="31">
        <f t="shared" si="178"/>
        <v>0.77517107257969164</v>
      </c>
      <c r="AM251" s="31" t="str">
        <f t="shared" si="163"/>
        <v>1+6.28674321041553i</v>
      </c>
      <c r="AN251" s="31">
        <f t="shared" si="179"/>
        <v>6.3657788363801773</v>
      </c>
      <c r="AO251" s="31">
        <f t="shared" si="180"/>
        <v>1.4130529842933612</v>
      </c>
      <c r="AP251" s="58" t="str">
        <f t="shared" si="181"/>
        <v>-4.66235382842983+6.28979603266946i</v>
      </c>
      <c r="AQ251" s="49">
        <f t="shared" si="182"/>
        <v>17.874539377638214</v>
      </c>
      <c r="AR251" s="61">
        <f t="shared" si="183"/>
        <v>126.54794136892993</v>
      </c>
      <c r="AS251" s="58" t="str">
        <f t="shared" si="184"/>
        <v>15.2467647805268+2.72445896450116i</v>
      </c>
      <c r="AT251" s="64">
        <f t="shared" si="185"/>
        <v>23.800058314266725</v>
      </c>
      <c r="AU251" s="61">
        <f t="shared" si="186"/>
        <v>10.131308266553946</v>
      </c>
    </row>
    <row r="252" spans="14:47" x14ac:dyDescent="0.35">
      <c r="N252" s="10">
        <v>34</v>
      </c>
      <c r="O252" s="50">
        <f t="shared" si="187"/>
        <v>2187.7616239495528</v>
      </c>
      <c r="P252" s="48" t="str">
        <f t="shared" si="155"/>
        <v>547.187404092767</v>
      </c>
      <c r="Q252" s="17" t="str">
        <f t="shared" si="156"/>
        <v>1+263.62748106415i</v>
      </c>
      <c r="R252" s="17">
        <f t="shared" si="164"/>
        <v>263.62937767295352</v>
      </c>
      <c r="S252" s="17">
        <f t="shared" si="165"/>
        <v>1.5670031137360616</v>
      </c>
      <c r="T252" s="17" t="str">
        <f t="shared" si="157"/>
        <v>1+0.00498834269104927i</v>
      </c>
      <c r="U252" s="17">
        <f t="shared" si="166"/>
        <v>1.0000124417040037</v>
      </c>
      <c r="V252" s="17">
        <f t="shared" si="167"/>
        <v>4.9883013157541274E-3</v>
      </c>
      <c r="W252" s="31" t="str">
        <f t="shared" si="158"/>
        <v>1-0.0866238076096072i</v>
      </c>
      <c r="X252" s="17">
        <f t="shared" si="168"/>
        <v>1.0037448301459819</v>
      </c>
      <c r="Y252" s="17">
        <f t="shared" si="169"/>
        <v>-8.6408111992702097E-2</v>
      </c>
      <c r="Z252" s="31" t="str">
        <f t="shared" si="159"/>
        <v>0.998417751760917+0.414466005743291i</v>
      </c>
      <c r="AA252" s="17">
        <f t="shared" si="170"/>
        <v>1.0810273247925426</v>
      </c>
      <c r="AB252" s="17">
        <f t="shared" si="171"/>
        <v>0.39347494324703053</v>
      </c>
      <c r="AC252" s="66" t="str">
        <f t="shared" si="172"/>
        <v>-0.87470983330445-1.71729780257711i</v>
      </c>
      <c r="AD252" s="64">
        <f t="shared" si="173"/>
        <v>5.6986868068093717</v>
      </c>
      <c r="AE252" s="61">
        <f t="shared" si="174"/>
        <v>-116.99213001368251</v>
      </c>
      <c r="AF252" s="31" t="str">
        <f t="shared" si="160"/>
        <v>-0.000106860158311346</v>
      </c>
      <c r="AG252" s="31" t="str">
        <f t="shared" si="161"/>
        <v>0.0000635070360133957i</v>
      </c>
      <c r="AH252" s="31">
        <f t="shared" si="175"/>
        <v>6.3507036013395703E-5</v>
      </c>
      <c r="AI252" s="31">
        <f t="shared" si="176"/>
        <v>1.5707963267948966</v>
      </c>
      <c r="AJ252" s="31" t="str">
        <f t="shared" si="162"/>
        <v>1+1.00257354880314i</v>
      </c>
      <c r="AK252" s="31">
        <f t="shared" si="177"/>
        <v>1.4160345054975609</v>
      </c>
      <c r="AL252" s="31">
        <f t="shared" si="178"/>
        <v>0.7866832834310723</v>
      </c>
      <c r="AM252" s="31" t="str">
        <f t="shared" si="163"/>
        <v>1+6.43318027148683i</v>
      </c>
      <c r="AN252" s="31">
        <f t="shared" si="179"/>
        <v>6.5104384188353519</v>
      </c>
      <c r="AO252" s="31">
        <f t="shared" si="180"/>
        <v>1.4165863625036896</v>
      </c>
      <c r="AP252" s="58" t="str">
        <f t="shared" si="181"/>
        <v>-4.55716391407531+6.25154269322174i</v>
      </c>
      <c r="AQ252" s="49">
        <f t="shared" si="182"/>
        <v>17.770607368635122</v>
      </c>
      <c r="AR252" s="61">
        <f t="shared" si="183"/>
        <v>126.09078793315635</v>
      </c>
      <c r="AS252" s="58" t="str">
        <f t="shared" si="184"/>
        <v>14.7219566174086+2.35772170854159i</v>
      </c>
      <c r="AT252" s="64">
        <f t="shared" si="185"/>
        <v>23.469294175444521</v>
      </c>
      <c r="AU252" s="61">
        <f t="shared" si="186"/>
        <v>9.0986579194737924</v>
      </c>
    </row>
    <row r="253" spans="14:47" x14ac:dyDescent="0.35">
      <c r="N253" s="10">
        <v>35</v>
      </c>
      <c r="O253" s="50">
        <f t="shared" si="187"/>
        <v>2238.7211385683418</v>
      </c>
      <c r="P253" s="48" t="str">
        <f t="shared" si="155"/>
        <v>547.187404092767</v>
      </c>
      <c r="Q253" s="17" t="str">
        <f t="shared" si="156"/>
        <v>1+269.768153945573i</v>
      </c>
      <c r="R253" s="17">
        <f t="shared" si="164"/>
        <v>269.77000738258948</v>
      </c>
      <c r="S253" s="17">
        <f t="shared" si="165"/>
        <v>1.5670894570066154</v>
      </c>
      <c r="T253" s="17" t="str">
        <f t="shared" si="157"/>
        <v>1+0.00510453611884565i</v>
      </c>
      <c r="U253" s="17">
        <f t="shared" si="166"/>
        <v>1.0000130280596291</v>
      </c>
      <c r="V253" s="17">
        <f t="shared" si="167"/>
        <v>5.1044917844493398E-3</v>
      </c>
      <c r="W253" s="31" t="str">
        <f t="shared" si="158"/>
        <v>1-0.0886415352915876i</v>
      </c>
      <c r="X253" s="17">
        <f t="shared" si="168"/>
        <v>1.0039209738713748</v>
      </c>
      <c r="Y253" s="17">
        <f t="shared" si="169"/>
        <v>-8.8410461999007053E-2</v>
      </c>
      <c r="Z253" s="31" t="str">
        <f t="shared" si="159"/>
        <v>0.998343182698753+0.424120159215705i</v>
      </c>
      <c r="AA253" s="17">
        <f t="shared" si="170"/>
        <v>1.0846967409807362</v>
      </c>
      <c r="AB253" s="17">
        <f t="shared" si="171"/>
        <v>0.4017215771137439</v>
      </c>
      <c r="AC253" s="66" t="str">
        <f t="shared" si="172"/>
        <v>-0.869107625626597-1.6640306726599i</v>
      </c>
      <c r="AD253" s="64">
        <f t="shared" si="173"/>
        <v>5.4707855616822378</v>
      </c>
      <c r="AE253" s="61">
        <f t="shared" si="174"/>
        <v>-117.57764341542037</v>
      </c>
      <c r="AF253" s="31" t="str">
        <f t="shared" si="160"/>
        <v>-0.000106860158311346</v>
      </c>
      <c r="AG253" s="31" t="str">
        <f t="shared" si="161"/>
        <v>0.0000649863049130293i</v>
      </c>
      <c r="AH253" s="31">
        <f t="shared" si="175"/>
        <v>6.4986304913029305E-5</v>
      </c>
      <c r="AI253" s="31">
        <f t="shared" si="176"/>
        <v>1.5707963267948966</v>
      </c>
      <c r="AJ253" s="31" t="str">
        <f t="shared" si="162"/>
        <v>1+1.02592648673631i</v>
      </c>
      <c r="AK253" s="31">
        <f t="shared" si="177"/>
        <v>1.4326636577323753</v>
      </c>
      <c r="AL253" s="31">
        <f t="shared" si="178"/>
        <v>0.79819481307839879</v>
      </c>
      <c r="AM253" s="31" t="str">
        <f t="shared" si="163"/>
        <v>1+6.58302828989129i</v>
      </c>
      <c r="AN253" s="31">
        <f t="shared" si="179"/>
        <v>6.6585479997901222</v>
      </c>
      <c r="AO253" s="31">
        <f t="shared" si="180"/>
        <v>1.420043065761367</v>
      </c>
      <c r="AP253" s="58" t="str">
        <f t="shared" si="181"/>
        <v>-4.4519864474621+6.21175970446395i</v>
      </c>
      <c r="AQ253" s="49">
        <f t="shared" si="182"/>
        <v>17.6645851965764</v>
      </c>
      <c r="AR253" s="61">
        <f t="shared" si="183"/>
        <v>125.62928037631883</v>
      </c>
      <c r="AS253" s="58" t="str">
        <f t="shared" si="184"/>
        <v>14.2058140500964+2.00955427513348i</v>
      </c>
      <c r="AT253" s="64">
        <f t="shared" si="185"/>
        <v>23.135370758258645</v>
      </c>
      <c r="AU253" s="61">
        <f t="shared" si="186"/>
        <v>8.0516369608984348</v>
      </c>
    </row>
    <row r="254" spans="14:47" x14ac:dyDescent="0.35">
      <c r="N254" s="10">
        <v>36</v>
      </c>
      <c r="O254" s="50">
        <f t="shared" si="187"/>
        <v>2290.8676527677749</v>
      </c>
      <c r="P254" s="48" t="str">
        <f t="shared" si="155"/>
        <v>547.187404092767</v>
      </c>
      <c r="Q254" s="17" t="str">
        <f t="shared" si="156"/>
        <v>1+276.05186147302i</v>
      </c>
      <c r="R254" s="17">
        <f t="shared" si="164"/>
        <v>276.05367272093923</v>
      </c>
      <c r="S254" s="17">
        <f t="shared" si="165"/>
        <v>1.5671738349177868</v>
      </c>
      <c r="T254" s="17" t="str">
        <f t="shared" si="157"/>
        <v>1+0.00522343603925875i</v>
      </c>
      <c r="U254" s="17">
        <f t="shared" si="166"/>
        <v>1.0000136420489754</v>
      </c>
      <c r="V254" s="17">
        <f t="shared" si="167"/>
        <v>5.2233885341322183E-3</v>
      </c>
      <c r="W254" s="31" t="str">
        <f t="shared" si="158"/>
        <v>1-0.0907062618888886i</v>
      </c>
      <c r="X254" s="17">
        <f t="shared" si="168"/>
        <v>1.0041053858763309</v>
      </c>
      <c r="Y254" s="17">
        <f t="shared" si="169"/>
        <v>-9.0458717037236694E-2</v>
      </c>
      <c r="Z254" s="31" t="str">
        <f t="shared" si="159"/>
        <v>0.998265099304959+0.433999186810428i</v>
      </c>
      <c r="AA254" s="17">
        <f t="shared" si="170"/>
        <v>1.0885258392167145</v>
      </c>
      <c r="AB254" s="17">
        <f t="shared" si="171"/>
        <v>0.41010280961758522</v>
      </c>
      <c r="AC254" s="66" t="str">
        <f t="shared" si="172"/>
        <v>-0.863294323091797-1.61184489029502i</v>
      </c>
      <c r="AD254" s="64">
        <f t="shared" si="173"/>
        <v>5.2417808123541807</v>
      </c>
      <c r="AE254" s="61">
        <f t="shared" si="174"/>
        <v>-118.17323125030508</v>
      </c>
      <c r="AF254" s="31" t="str">
        <f t="shared" si="160"/>
        <v>-0.000106860158311346</v>
      </c>
      <c r="AG254" s="31" t="str">
        <f t="shared" si="161"/>
        <v>0.0000665000304117232i</v>
      </c>
      <c r="AH254" s="31">
        <f t="shared" si="175"/>
        <v>6.6500030411723206E-5</v>
      </c>
      <c r="AI254" s="31">
        <f t="shared" si="176"/>
        <v>1.5707963267948966</v>
      </c>
      <c r="AJ254" s="31" t="str">
        <f t="shared" si="162"/>
        <v>1+1.04982338447248i</v>
      </c>
      <c r="AK254" s="31">
        <f t="shared" si="177"/>
        <v>1.4498721111136845</v>
      </c>
      <c r="AL254" s="31">
        <f t="shared" si="178"/>
        <v>0.80969956253142461</v>
      </c>
      <c r="AM254" s="31" t="str">
        <f t="shared" si="163"/>
        <v>1+6.73636671703171i</v>
      </c>
      <c r="AN254" s="31">
        <f t="shared" si="179"/>
        <v>6.8101862343354886</v>
      </c>
      <c r="AO254" s="31">
        <f t="shared" si="180"/>
        <v>1.4234245962585659</v>
      </c>
      <c r="AP254" s="58" t="str">
        <f t="shared" si="181"/>
        <v>-4.3469328361862+6.17043068113958i</v>
      </c>
      <c r="AQ254" s="49">
        <f t="shared" si="182"/>
        <v>17.556465234174478</v>
      </c>
      <c r="AR254" s="61">
        <f t="shared" si="183"/>
        <v>125.16385421408931</v>
      </c>
      <c r="AS254" s="58" t="str">
        <f t="shared" si="184"/>
        <v>13.6984596046553+1.67968370240312i</v>
      </c>
      <c r="AT254" s="64">
        <f t="shared" si="185"/>
        <v>22.798246046528647</v>
      </c>
      <c r="AU254" s="61">
        <f t="shared" si="186"/>
        <v>6.9906229637842543</v>
      </c>
    </row>
    <row r="255" spans="14:47" x14ac:dyDescent="0.35">
      <c r="N255" s="10">
        <v>37</v>
      </c>
      <c r="O255" s="50">
        <f t="shared" si="187"/>
        <v>2344.2288153199238</v>
      </c>
      <c r="P255" s="48" t="str">
        <f t="shared" si="155"/>
        <v>547.187404092767</v>
      </c>
      <c r="Q255" s="17" t="str">
        <f t="shared" si="156"/>
        <v>1+282.481935351399i</v>
      </c>
      <c r="R255" s="17">
        <f t="shared" si="164"/>
        <v>282.48370537054336</v>
      </c>
      <c r="S255" s="17">
        <f t="shared" si="165"/>
        <v>1.5672562922030531</v>
      </c>
      <c r="T255" s="17" t="str">
        <f t="shared" si="157"/>
        <v>1+0.00534510549460022i</v>
      </c>
      <c r="U255" s="17">
        <f t="shared" si="166"/>
        <v>1.0000142849743441</v>
      </c>
      <c r="V255" s="17">
        <f t="shared" si="167"/>
        <v>5.3450545919793155E-3</v>
      </c>
      <c r="W255" s="31" t="str">
        <f t="shared" si="158"/>
        <v>1-0.0928190821468827i</v>
      </c>
      <c r="X255" s="17">
        <f t="shared" si="168"/>
        <v>1.0042984526576699</v>
      </c>
      <c r="Y255" s="17">
        <f t="shared" si="169"/>
        <v>-9.2553894336121018E-2</v>
      </c>
      <c r="Z255" s="31" t="str">
        <f t="shared" si="159"/>
        <v>0.99818333595419+0.444108326518658i</v>
      </c>
      <c r="AA255" s="17">
        <f t="shared" si="170"/>
        <v>1.0925210194132826</v>
      </c>
      <c r="AB255" s="17">
        <f t="shared" si="171"/>
        <v>0.41861852677097078</v>
      </c>
      <c r="AC255" s="66" t="str">
        <f t="shared" si="172"/>
        <v>-0.857267746274812-1.56072257223432i</v>
      </c>
      <c r="AD255" s="64">
        <f t="shared" si="173"/>
        <v>5.0116377299144377</v>
      </c>
      <c r="AE255" s="61">
        <f t="shared" si="174"/>
        <v>-118.77894422208993</v>
      </c>
      <c r="AF255" s="31" t="str">
        <f t="shared" si="160"/>
        <v>-0.000106860158311346</v>
      </c>
      <c r="AG255" s="31" t="str">
        <f t="shared" si="161"/>
        <v>0.0000680490151067734i</v>
      </c>
      <c r="AH255" s="31">
        <f t="shared" si="175"/>
        <v>6.8049015106773402E-5</v>
      </c>
      <c r="AI255" s="31">
        <f t="shared" si="176"/>
        <v>1.5707963267948966</v>
      </c>
      <c r="AJ255" s="31" t="str">
        <f t="shared" si="162"/>
        <v>1+1.07427691246315i</v>
      </c>
      <c r="AK255" s="31">
        <f t="shared" si="177"/>
        <v>1.4676753335296462</v>
      </c>
      <c r="AL255" s="31">
        <f t="shared" si="178"/>
        <v>0.82119145074438182</v>
      </c>
      <c r="AM255" s="31" t="str">
        <f t="shared" si="163"/>
        <v>1+6.89327685497186i</v>
      </c>
      <c r="AN255" s="31">
        <f t="shared" si="179"/>
        <v>6.9654336404340782</v>
      </c>
      <c r="AO255" s="31">
        <f t="shared" si="180"/>
        <v>1.4267324374318977</v>
      </c>
      <c r="AP255" s="58" t="str">
        <f t="shared" si="181"/>
        <v>-4.24211396362615+6.12754608939121i</v>
      </c>
      <c r="AQ255" s="49">
        <f t="shared" si="182"/>
        <v>17.44624266137258</v>
      </c>
      <c r="AR255" s="61">
        <f t="shared" si="183"/>
        <v>124.69494285938229</v>
      </c>
      <c r="AS255" s="58" t="str">
        <f t="shared" si="184"/>
        <v>13.2000269711577+1.36781539077429i</v>
      </c>
      <c r="AT255" s="64">
        <f t="shared" si="185"/>
        <v>22.45788039128702</v>
      </c>
      <c r="AU255" s="61">
        <f t="shared" si="186"/>
        <v>5.9159986372923363</v>
      </c>
    </row>
    <row r="256" spans="14:47" x14ac:dyDescent="0.35">
      <c r="N256" s="10">
        <v>38</v>
      </c>
      <c r="O256" s="50">
        <f t="shared" si="187"/>
        <v>2398.8329190194918</v>
      </c>
      <c r="P256" s="48" t="str">
        <f t="shared" si="155"/>
        <v>547.187404092767</v>
      </c>
      <c r="Q256" s="17" t="str">
        <f t="shared" si="156"/>
        <v>1+289.061784890991i</v>
      </c>
      <c r="R256" s="17">
        <f t="shared" si="164"/>
        <v>289.06351461982462</v>
      </c>
      <c r="S256" s="17">
        <f t="shared" si="165"/>
        <v>1.5673368725778702</v>
      </c>
      <c r="T256" s="17" t="str">
        <f t="shared" si="157"/>
        <v>1+0.00546960899562575i</v>
      </c>
      <c r="U256" s="17">
        <f t="shared" si="166"/>
        <v>1.0000149581994087</v>
      </c>
      <c r="V256" s="17">
        <f t="shared" si="167"/>
        <v>5.4695544525288275E-3</v>
      </c>
      <c r="W256" s="31" t="str">
        <f t="shared" si="158"/>
        <v>1-0.0949811163108364i</v>
      </c>
      <c r="X256" s="17">
        <f t="shared" si="168"/>
        <v>1.0045005786238517</v>
      </c>
      <c r="Y256" s="17">
        <f t="shared" si="169"/>
        <v>-9.4697031167004703E-2</v>
      </c>
      <c r="Z256" s="31" t="str">
        <f t="shared" si="159"/>
        <v>0.998097719215414+0.454452938340074i</v>
      </c>
      <c r="AA256" s="17">
        <f t="shared" si="170"/>
        <v>1.09668889402097</v>
      </c>
      <c r="AB256" s="17">
        <f t="shared" si="171"/>
        <v>0.42726846413471126</v>
      </c>
      <c r="AC256" s="66" t="str">
        <f t="shared" si="172"/>
        <v>-0.851025927152597-1.51064669502301i</v>
      </c>
      <c r="AD256" s="64">
        <f t="shared" si="173"/>
        <v>4.7803210967430783</v>
      </c>
      <c r="AE256" s="61">
        <f t="shared" si="174"/>
        <v>-119.3948254202427</v>
      </c>
      <c r="AF256" s="31" t="str">
        <f t="shared" si="160"/>
        <v>-0.000106860158311346</v>
      </c>
      <c r="AG256" s="31" t="str">
        <f t="shared" si="161"/>
        <v>0.0000696340802903684i</v>
      </c>
      <c r="AH256" s="31">
        <f t="shared" si="175"/>
        <v>6.9634080290368407E-5</v>
      </c>
      <c r="AI256" s="31">
        <f t="shared" si="176"/>
        <v>1.5707963267948966</v>
      </c>
      <c r="AJ256" s="31" t="str">
        <f t="shared" si="162"/>
        <v>1+1.09930003629254i</v>
      </c>
      <c r="AK256" s="31">
        <f t="shared" si="177"/>
        <v>1.4860890181253543</v>
      </c>
      <c r="AL256" s="31">
        <f t="shared" si="178"/>
        <v>0.83266443064043372</v>
      </c>
      <c r="AM256" s="31" t="str">
        <f t="shared" si="163"/>
        <v>1+7.05384189954381i</v>
      </c>
      <c r="AN256" s="31">
        <f t="shared" si="179"/>
        <v>7.1243726421180291</v>
      </c>
      <c r="AO256" s="31">
        <f t="shared" si="180"/>
        <v>1.4299680534418016</v>
      </c>
      <c r="AP256" s="58" t="str">
        <f t="shared" si="181"/>
        <v>-4.13763972216966+6.08310316980992i</v>
      </c>
      <c r="AQ256" s="49">
        <f t="shared" si="182"/>
        <v>17.333915435006947</v>
      </c>
      <c r="AR256" s="61">
        <f t="shared" si="183"/>
        <v>124.22297667439247</v>
      </c>
      <c r="AS256" s="58" t="str">
        <f t="shared" si="184"/>
        <v>12.7106583797402+1.07363325643913i</v>
      </c>
      <c r="AT256" s="64">
        <f t="shared" si="185"/>
        <v>22.114236531750031</v>
      </c>
      <c r="AU256" s="61">
        <f t="shared" si="186"/>
        <v>4.8281512541497884</v>
      </c>
    </row>
    <row r="257" spans="14:47" x14ac:dyDescent="0.35">
      <c r="N257" s="10">
        <v>39</v>
      </c>
      <c r="O257" s="50">
        <f t="shared" si="187"/>
        <v>2454.7089156850338</v>
      </c>
      <c r="P257" s="48" t="str">
        <f t="shared" si="155"/>
        <v>547.187404092767</v>
      </c>
      <c r="Q257" s="17" t="str">
        <f t="shared" si="156"/>
        <v>1+295.794898815117i</v>
      </c>
      <c r="R257" s="17">
        <f t="shared" si="164"/>
        <v>295.79658917074295</v>
      </c>
      <c r="S257" s="17">
        <f t="shared" si="165"/>
        <v>1.5674156187628314</v>
      </c>
      <c r="T257" s="17" t="str">
        <f t="shared" si="157"/>
        <v>1+0.00559701255573959i</v>
      </c>
      <c r="U257" s="17">
        <f t="shared" si="166"/>
        <v>1.0000156631521073</v>
      </c>
      <c r="V257" s="17">
        <f t="shared" si="167"/>
        <v>5.5969541118077093E-3</v>
      </c>
      <c r="W257" s="31" t="str">
        <f t="shared" si="158"/>
        <v>1-0.0971935107198819i</v>
      </c>
      <c r="X257" s="17">
        <f t="shared" si="168"/>
        <v>1.0047121869102891</v>
      </c>
      <c r="Y257" s="17">
        <f t="shared" si="169"/>
        <v>-9.6889185057945026E-2</v>
      </c>
      <c r="Z257" s="31" t="str">
        <f t="shared" si="159"/>
        <v>0.998008067484052+0.465038507124795i</v>
      </c>
      <c r="AA257" s="17">
        <f t="shared" si="170"/>
        <v>1.1010362918051839</v>
      </c>
      <c r="AB257" s="17">
        <f t="shared" si="171"/>
        <v>0.43605220015349905</v>
      </c>
      <c r="AC257" s="66" t="str">
        <f t="shared" si="172"/>
        <v>-0.844567135260345-1.46160107689171i</v>
      </c>
      <c r="AD257" s="64">
        <f t="shared" si="173"/>
        <v>4.5477953628136172</v>
      </c>
      <c r="AE257" s="61">
        <f t="shared" si="174"/>
        <v>-120.02090994973327</v>
      </c>
      <c r="AF257" s="31" t="str">
        <f t="shared" si="160"/>
        <v>-0.000106860158311346</v>
      </c>
      <c r="AG257" s="31" t="str">
        <f t="shared" si="161"/>
        <v>0.0000712560663850494i</v>
      </c>
      <c r="AH257" s="31">
        <f t="shared" si="175"/>
        <v>7.1256066385049405E-5</v>
      </c>
      <c r="AI257" s="31">
        <f t="shared" si="176"/>
        <v>1.5707963267948966</v>
      </c>
      <c r="AJ257" s="31" t="str">
        <f t="shared" si="162"/>
        <v>1+1.12490602355214i</v>
      </c>
      <c r="AK257" s="31">
        <f t="shared" si="177"/>
        <v>1.5051290847710994</v>
      </c>
      <c r="AL257" s="31">
        <f t="shared" si="178"/>
        <v>0.84411250491776424</v>
      </c>
      <c r="AM257" s="31" t="str">
        <f t="shared" si="163"/>
        <v>1+7.21814698445952i</v>
      </c>
      <c r="AN257" s="31">
        <f t="shared" si="179"/>
        <v>7.2870876136672091</v>
      </c>
      <c r="AO257" s="31">
        <f t="shared" si="180"/>
        <v>1.4331328887184527</v>
      </c>
      <c r="AP257" s="58" t="str">
        <f t="shared" si="181"/>
        <v>-4.03361855530834+6.03710582041329i</v>
      </c>
      <c r="AQ257" s="49">
        <f t="shared" si="182"/>
        <v>17.219484248709147</v>
      </c>
      <c r="AR257" s="61">
        <f t="shared" si="183"/>
        <v>123.74838203895533</v>
      </c>
      <c r="AS257" s="58" t="str">
        <f t="shared" si="184"/>
        <v>12.230502036415+0.796800056199046i</v>
      </c>
      <c r="AT257" s="64">
        <f t="shared" si="185"/>
        <v>21.767279611522756</v>
      </c>
      <c r="AU257" s="61">
        <f t="shared" si="186"/>
        <v>3.7274720892220667</v>
      </c>
    </row>
    <row r="258" spans="14:47" x14ac:dyDescent="0.35">
      <c r="N258" s="10">
        <v>40</v>
      </c>
      <c r="O258" s="50">
        <f t="shared" si="187"/>
        <v>2511.8864315095811</v>
      </c>
      <c r="P258" s="48" t="str">
        <f t="shared" si="155"/>
        <v>547.187404092767</v>
      </c>
      <c r="Q258" s="17" t="str">
        <f t="shared" si="156"/>
        <v>1+302.684847109905i</v>
      </c>
      <c r="R258" s="17">
        <f t="shared" si="164"/>
        <v>302.68649898855176</v>
      </c>
      <c r="S258" s="17">
        <f t="shared" si="165"/>
        <v>1.5674925725062978</v>
      </c>
      <c r="T258" s="17" t="str">
        <f t="shared" si="157"/>
        <v>1+0.00572738372599574i</v>
      </c>
      <c r="U258" s="17">
        <f t="shared" si="166"/>
        <v>1.0000164013276707</v>
      </c>
      <c r="V258" s="17">
        <f t="shared" si="167"/>
        <v>5.7273211022499278E-3</v>
      </c>
      <c r="W258" s="31" t="str">
        <f t="shared" si="158"/>
        <v>1-0.0994574384148199i</v>
      </c>
      <c r="X258" s="17">
        <f t="shared" si="168"/>
        <v>1.0049337202303632</v>
      </c>
      <c r="Y258" s="17">
        <f t="shared" si="169"/>
        <v>-9.9131433995719595E-2</v>
      </c>
      <c r="Z258" s="31" t="str">
        <f t="shared" si="159"/>
        <v>0.99791419059676+0.475870645481508i</v>
      </c>
      <c r="AA258" s="17">
        <f t="shared" si="170"/>
        <v>1.1055702614602898</v>
      </c>
      <c r="AB258" s="17">
        <f t="shared" si="171"/>
        <v>0.44496914963515027</v>
      </c>
      <c r="AC258" s="66" t="str">
        <f t="shared" si="172"/>
        <v>-0.837889904234368-1.41357035797625i</v>
      </c>
      <c r="AD258" s="64">
        <f t="shared" si="173"/>
        <v>4.3140247070989446</v>
      </c>
      <c r="AE258" s="61">
        <f t="shared" si="174"/>
        <v>-120.65722456829359</v>
      </c>
      <c r="AF258" s="31" t="str">
        <f t="shared" si="160"/>
        <v>-0.000106860158311346</v>
      </c>
      <c r="AG258" s="31" t="str">
        <f t="shared" si="161"/>
        <v>0.0000729158333893132i</v>
      </c>
      <c r="AH258" s="31">
        <f t="shared" si="175"/>
        <v>7.2915833389313196E-5</v>
      </c>
      <c r="AI258" s="31">
        <f t="shared" si="176"/>
        <v>1.5707963267948966</v>
      </c>
      <c r="AJ258" s="31" t="str">
        <f t="shared" si="162"/>
        <v>1+1.15110845087531i</v>
      </c>
      <c r="AK258" s="31">
        <f t="shared" si="177"/>
        <v>1.5248116820370168</v>
      </c>
      <c r="AL258" s="31">
        <f t="shared" si="178"/>
        <v>0.85552974153716377</v>
      </c>
      <c r="AM258" s="31" t="str">
        <f t="shared" si="163"/>
        <v>1+7.38627922644992i</v>
      </c>
      <c r="AN258" s="31">
        <f t="shared" si="179"/>
        <v>7.4536649247927445</v>
      </c>
      <c r="AO258" s="31">
        <f t="shared" si="180"/>
        <v>1.4362283675698897</v>
      </c>
      <c r="AP258" s="58" t="str">
        <f t="shared" si="181"/>
        <v>-3.93015701262626+5.98956444081703i</v>
      </c>
      <c r="AQ258" s="49">
        <f t="shared" si="182"/>
        <v>17.102952483290778</v>
      </c>
      <c r="AR258" s="61">
        <f t="shared" si="183"/>
        <v>123.27158044072094</v>
      </c>
      <c r="AS258" s="58" t="str">
        <f t="shared" si="184"/>
        <v>11.759709633663+0.536957879519215i</v>
      </c>
      <c r="AT258" s="64">
        <f t="shared" si="185"/>
        <v>21.41697719038973</v>
      </c>
      <c r="AU258" s="61">
        <f t="shared" si="186"/>
        <v>2.6143558724273523</v>
      </c>
    </row>
    <row r="259" spans="14:47" x14ac:dyDescent="0.35">
      <c r="N259" s="10">
        <v>41</v>
      </c>
      <c r="O259" s="50">
        <f t="shared" si="187"/>
        <v>2570.3957827688669</v>
      </c>
      <c r="P259" s="48" t="str">
        <f t="shared" si="155"/>
        <v>547.187404092767</v>
      </c>
      <c r="Q259" s="17" t="str">
        <f t="shared" si="156"/>
        <v>1+309.735282917137i</v>
      </c>
      <c r="R259" s="17">
        <f t="shared" si="164"/>
        <v>309.7368971946334</v>
      </c>
      <c r="S259" s="17">
        <f t="shared" si="165"/>
        <v>1.5675677746065149</v>
      </c>
      <c r="T259" s="17" t="str">
        <f t="shared" si="157"/>
        <v>1+0.00586079163091426i</v>
      </c>
      <c r="U259" s="17">
        <f t="shared" si="166"/>
        <v>1.0000171742917923</v>
      </c>
      <c r="V259" s="17">
        <f t="shared" si="167"/>
        <v>5.860724528423897E-3</v>
      </c>
      <c r="W259" s="31" t="str">
        <f t="shared" si="158"/>
        <v>1-0.10177409976008i</v>
      </c>
      <c r="X259" s="17">
        <f t="shared" si="168"/>
        <v>1.0051656417635726</v>
      </c>
      <c r="Y259" s="17">
        <f t="shared" si="169"/>
        <v>-0.1014248766143644</v>
      </c>
      <c r="Z259" s="31" t="str">
        <f t="shared" si="159"/>
        <v>0.997815889428074+0.486955096753345i</v>
      </c>
      <c r="AA259" s="17">
        <f t="shared" si="170"/>
        <v>1.1102980750452545</v>
      </c>
      <c r="AB259" s="17">
        <f t="shared" si="171"/>
        <v>0.45401855741869174</v>
      </c>
      <c r="AC259" s="66" t="str">
        <f t="shared" si="172"/>
        <v>-0.83099305859713-1.36653997874377i</v>
      </c>
      <c r="AD259" s="64">
        <f t="shared" si="173"/>
        <v>4.0789731041628805</v>
      </c>
      <c r="AE259" s="61">
        <f t="shared" si="174"/>
        <v>-121.30378733364769</v>
      </c>
      <c r="AF259" s="31" t="str">
        <f t="shared" si="160"/>
        <v>-0.000106860158311346</v>
      </c>
      <c r="AG259" s="31" t="str">
        <f t="shared" si="161"/>
        <v>0.0000746142613335953i</v>
      </c>
      <c r="AH259" s="31">
        <f t="shared" si="175"/>
        <v>7.4614261333595295E-5</v>
      </c>
      <c r="AI259" s="31">
        <f t="shared" si="176"/>
        <v>1.5707963267948966</v>
      </c>
      <c r="AJ259" s="31" t="str">
        <f t="shared" si="162"/>
        <v>1+1.17792121113586i</v>
      </c>
      <c r="AK259" s="31">
        <f t="shared" si="177"/>
        <v>1.545153189701193</v>
      </c>
      <c r="AL259" s="31">
        <f t="shared" si="178"/>
        <v>0.8669102887949024</v>
      </c>
      <c r="AM259" s="31" t="str">
        <f t="shared" si="163"/>
        <v>1+7.55832777145509i</v>
      </c>
      <c r="AN259" s="31">
        <f t="shared" si="179"/>
        <v>7.6241929868510852</v>
      </c>
      <c r="AO259" s="31">
        <f t="shared" si="180"/>
        <v>1.4392558938482654</v>
      </c>
      <c r="AP259" s="58" t="str">
        <f t="shared" si="181"/>
        <v>-3.82735932151018+5.94049573931621i</v>
      </c>
      <c r="AQ259" s="49">
        <f t="shared" si="182"/>
        <v>16.984326147935416</v>
      </c>
      <c r="AR259" s="61">
        <f t="shared" si="183"/>
        <v>122.79298759241928</v>
      </c>
      <c r="AS259" s="58" t="str">
        <f t="shared" si="184"/>
        <v>11.2984339502646+0.293728801863694i</v>
      </c>
      <c r="AT259" s="64">
        <f t="shared" si="185"/>
        <v>21.06329925209829</v>
      </c>
      <c r="AU259" s="61">
        <f t="shared" si="186"/>
        <v>1.4892002587715567</v>
      </c>
    </row>
    <row r="260" spans="14:47" x14ac:dyDescent="0.35">
      <c r="N260" s="10">
        <v>42</v>
      </c>
      <c r="O260" s="50">
        <f t="shared" si="187"/>
        <v>2630.2679918953822</v>
      </c>
      <c r="P260" s="48" t="str">
        <f t="shared" si="155"/>
        <v>547.187404092767</v>
      </c>
      <c r="Q260" s="17" t="str">
        <f t="shared" si="156"/>
        <v>1+316.949944471202i</v>
      </c>
      <c r="R260" s="17">
        <f t="shared" si="164"/>
        <v>316.95152200344148</v>
      </c>
      <c r="S260" s="17">
        <f t="shared" si="165"/>
        <v>1.5676412649332272</v>
      </c>
      <c r="T260" s="17" t="str">
        <f t="shared" si="157"/>
        <v>1+0.00599730700513224i</v>
      </c>
      <c r="U260" s="17">
        <f t="shared" si="166"/>
        <v>1.0000179836839505</v>
      </c>
      <c r="V260" s="17">
        <f t="shared" si="167"/>
        <v>5.9972351035882214E-3</v>
      </c>
      <c r="W260" s="31" t="str">
        <f t="shared" si="158"/>
        <v>1-0.104144723080172i</v>
      </c>
      <c r="X260" s="17">
        <f t="shared" si="168"/>
        <v>1.0054084360822948</v>
      </c>
      <c r="Y260" s="17">
        <f t="shared" si="169"/>
        <v>-0.10377063236876435</v>
      </c>
      <c r="Z260" s="31" t="str">
        <f t="shared" si="159"/>
        <v>0.997712955468037+0.498297738063094i</v>
      </c>
      <c r="AA260" s="17">
        <f t="shared" si="170"/>
        <v>1.1152272312257987</v>
      </c>
      <c r="AB260" s="17">
        <f t="shared" si="171"/>
        <v>0.46319949227885199</v>
      </c>
      <c r="AC260" s="66" t="str">
        <f t="shared" si="172"/>
        <v>-0.823875740622022-1.32049615651287i</v>
      </c>
      <c r="AD260" s="64">
        <f t="shared" si="173"/>
        <v>3.8426043959879701</v>
      </c>
      <c r="AE260" s="61">
        <f t="shared" si="174"/>
        <v>-121.96060726335485</v>
      </c>
      <c r="AF260" s="31" t="str">
        <f t="shared" si="160"/>
        <v>-0.000106860158311346</v>
      </c>
      <c r="AG260" s="31" t="str">
        <f t="shared" si="161"/>
        <v>0.0000763522507468728i</v>
      </c>
      <c r="AH260" s="31">
        <f t="shared" si="175"/>
        <v>7.6352250746872799E-5</v>
      </c>
      <c r="AI260" s="31">
        <f t="shared" si="176"/>
        <v>1.5707963267948966</v>
      </c>
      <c r="AJ260" s="31" t="str">
        <f t="shared" si="162"/>
        <v>1+1.20535852081418i</v>
      </c>
      <c r="AK260" s="31">
        <f t="shared" si="177"/>
        <v>1.5661702218147771</v>
      </c>
      <c r="AL260" s="31">
        <f t="shared" si="178"/>
        <v>0.87824838988935616</v>
      </c>
      <c r="AM260" s="31" t="str">
        <f t="shared" si="163"/>
        <v>1+7.73438384189099i</v>
      </c>
      <c r="AN260" s="31">
        <f t="shared" si="179"/>
        <v>7.7987623001156035</v>
      </c>
      <c r="AO260" s="31">
        <f t="shared" si="180"/>
        <v>1.4422168506703341</v>
      </c>
      <c r="AP260" s="58" t="str">
        <f t="shared" si="181"/>
        <v>-3.72532697916067+5.88992250501271i</v>
      </c>
      <c r="AQ260" s="49">
        <f t="shared" si="182"/>
        <v>16.863613812606008</v>
      </c>
      <c r="AR260" s="61">
        <f t="shared" si="183"/>
        <v>122.31301258123939</v>
      </c>
      <c r="AS260" s="58" t="str">
        <f t="shared" si="184"/>
        <v>10.8468265540431+0.0667156917117024i</v>
      </c>
      <c r="AT260" s="64">
        <f t="shared" si="185"/>
        <v>20.706218208593953</v>
      </c>
      <c r="AU260" s="61">
        <f t="shared" si="186"/>
        <v>0.35240531788453761</v>
      </c>
    </row>
    <row r="261" spans="14:47" x14ac:dyDescent="0.35">
      <c r="N261" s="10">
        <v>43</v>
      </c>
      <c r="O261" s="50">
        <f t="shared" si="187"/>
        <v>2691.5348039269184</v>
      </c>
      <c r="P261" s="48" t="str">
        <f t="shared" si="155"/>
        <v>547.187404092767</v>
      </c>
      <c r="Q261" s="17" t="str">
        <f t="shared" si="156"/>
        <v>1+324.332657081156i</v>
      </c>
      <c r="R261" s="17">
        <f t="shared" si="164"/>
        <v>324.33419870455032</v>
      </c>
      <c r="S261" s="17">
        <f t="shared" si="165"/>
        <v>1.5677130824488017</v>
      </c>
      <c r="T261" s="17" t="str">
        <f t="shared" si="157"/>
        <v>1+0.00613700223090811i</v>
      </c>
      <c r="U261" s="17">
        <f t="shared" si="166"/>
        <v>1.0000188312208835</v>
      </c>
      <c r="V261" s="17">
        <f t="shared" si="167"/>
        <v>6.1369251870939745E-3</v>
      </c>
      <c r="W261" s="31" t="str">
        <f t="shared" si="158"/>
        <v>1-0.10657056531096i</v>
      </c>
      <c r="X261" s="17">
        <f t="shared" si="168"/>
        <v>1.0056626101186708</v>
      </c>
      <c r="Y261" s="17">
        <f t="shared" si="169"/>
        <v>-0.10616984169170762</v>
      </c>
      <c r="Z261" s="31" t="str">
        <f t="shared" si="159"/>
        <v>0.997605170379917+0.509904583429315i</v>
      </c>
      <c r="AA261" s="17">
        <f t="shared" si="170"/>
        <v>1.1203654583085676</v>
      </c>
      <c r="AB261" s="17">
        <f t="shared" si="171"/>
        <v>0.47251084111670044</v>
      </c>
      <c r="AC261" s="66" t="str">
        <f t="shared" si="172"/>
        <v>-0.816537437097826-1.2754258599678i</v>
      </c>
      <c r="AD261" s="64">
        <f t="shared" si="173"/>
        <v>3.6048823690580041</v>
      </c>
      <c r="AE261" s="61">
        <f t="shared" si="174"/>
        <v>-122.62768401002374</v>
      </c>
      <c r="AF261" s="31" t="str">
        <f t="shared" si="160"/>
        <v>-0.000106860158311346</v>
      </c>
      <c r="AG261" s="31" t="str">
        <f t="shared" si="161"/>
        <v>0.000078130723134138i</v>
      </c>
      <c r="AH261" s="31">
        <f t="shared" si="175"/>
        <v>7.8130723134138005E-5</v>
      </c>
      <c r="AI261" s="31">
        <f t="shared" si="176"/>
        <v>1.5707963267948966</v>
      </c>
      <c r="AJ261" s="31" t="str">
        <f t="shared" si="162"/>
        <v>1+1.23343492753505i</v>
      </c>
      <c r="AK261" s="31">
        <f t="shared" si="177"/>
        <v>1.5878796303446283</v>
      </c>
      <c r="AL261" s="31">
        <f t="shared" si="178"/>
        <v>0.88953839689594238</v>
      </c>
      <c r="AM261" s="31" t="str">
        <f t="shared" si="163"/>
        <v>1+7.91454078501656i</v>
      </c>
      <c r="AN261" s="31">
        <f t="shared" si="179"/>
        <v>7.9774655021310208</v>
      </c>
      <c r="AO261" s="31">
        <f t="shared" si="180"/>
        <v>1.4451126001884456</v>
      </c>
      <c r="AP261" s="58" t="str">
        <f t="shared" si="181"/>
        <v>-3.62415836817757+5.83787334750236i</v>
      </c>
      <c r="AQ261" s="49">
        <f t="shared" si="182"/>
        <v>16.740826532144656</v>
      </c>
      <c r="AR261" s="61">
        <f t="shared" si="183"/>
        <v>121.83205705500359</v>
      </c>
      <c r="AS261" s="58" t="str">
        <f t="shared" si="184"/>
        <v>10.4050356202096-0.144496837878908i</v>
      </c>
      <c r="AT261" s="64">
        <f t="shared" si="185"/>
        <v>20.345708901202624</v>
      </c>
      <c r="AU261" s="61">
        <f t="shared" si="186"/>
        <v>-0.79562695502013359</v>
      </c>
    </row>
    <row r="262" spans="14:47" x14ac:dyDescent="0.35">
      <c r="N262" s="10">
        <v>44</v>
      </c>
      <c r="O262" s="50">
        <f t="shared" si="187"/>
        <v>2754.228703338169</v>
      </c>
      <c r="P262" s="48" t="str">
        <f t="shared" si="155"/>
        <v>547.187404092767</v>
      </c>
      <c r="Q262" s="17" t="str">
        <f t="shared" si="156"/>
        <v>1+331.887335158945i</v>
      </c>
      <c r="R262" s="17">
        <f t="shared" si="164"/>
        <v>331.88884169086782</v>
      </c>
      <c r="S262" s="17">
        <f t="shared" si="165"/>
        <v>1.5677832652288708</v>
      </c>
      <c r="T262" s="17" t="str">
        <f t="shared" si="157"/>
        <v>1+0.00627995137649964i</v>
      </c>
      <c r="U262" s="17">
        <f t="shared" si="166"/>
        <v>1.000019718700232</v>
      </c>
      <c r="V262" s="17">
        <f t="shared" si="167"/>
        <v>6.2798688226533613E-3</v>
      </c>
      <c r="W262" s="31" t="str">
        <f t="shared" si="158"/>
        <v>1-0.109052912666104i</v>
      </c>
      <c r="X262" s="17">
        <f t="shared" si="168"/>
        <v>1.0059286941731809</v>
      </c>
      <c r="Y262" s="17">
        <f t="shared" si="169"/>
        <v>-0.10862366613271117</v>
      </c>
      <c r="Z262" s="31" t="str">
        <f t="shared" si="159"/>
        <v>0.997492305537094+0.521781786955057i</v>
      </c>
      <c r="AA262" s="17">
        <f t="shared" si="170"/>
        <v>1.1257207170536214</v>
      </c>
      <c r="AB262" s="17">
        <f t="shared" si="171"/>
        <v>0.48195130348819187</v>
      </c>
      <c r="AC262" s="66" t="str">
        <f t="shared" si="172"/>
        <v>-0.808978005795798-1.23131678158111i</v>
      </c>
      <c r="AD262" s="64">
        <f t="shared" si="173"/>
        <v>3.3657708366769756</v>
      </c>
      <c r="AE262" s="61">
        <f t="shared" si="174"/>
        <v>-123.3050075547644</v>
      </c>
      <c r="AF262" s="31" t="str">
        <f t="shared" si="160"/>
        <v>-0.000106860158311346</v>
      </c>
      <c r="AG262" s="31" t="str">
        <f t="shared" si="161"/>
        <v>0.0000799506214649912i</v>
      </c>
      <c r="AH262" s="31">
        <f t="shared" si="175"/>
        <v>7.9950621464991195E-5</v>
      </c>
      <c r="AI262" s="31">
        <f t="shared" si="176"/>
        <v>1.5707963267948966</v>
      </c>
      <c r="AJ262" s="31" t="str">
        <f t="shared" si="162"/>
        <v>1+1.26216531778094i</v>
      </c>
      <c r="AK262" s="31">
        <f t="shared" si="177"/>
        <v>1.6102985094103084</v>
      </c>
      <c r="AL262" s="31">
        <f t="shared" si="178"/>
        <v>0.90077478407152001</v>
      </c>
      <c r="AM262" s="31" t="str">
        <f t="shared" si="163"/>
        <v>1+8.09889412242768i</v>
      </c>
      <c r="AN262" s="31">
        <f t="shared" si="179"/>
        <v>8.1603974171785048</v>
      </c>
      <c r="AO262" s="31">
        <f t="shared" si="180"/>
        <v>1.447944483408536</v>
      </c>
      <c r="AP262" s="58" t="str">
        <f t="shared" si="181"/>
        <v>-3.5239483986522+5.78438240697081i</v>
      </c>
      <c r="AQ262" s="49">
        <f t="shared" si="182"/>
        <v>16.615977762613618</v>
      </c>
      <c r="AR262" s="61">
        <f t="shared" si="183"/>
        <v>121.35051444945327</v>
      </c>
      <c r="AS262" s="58" t="str">
        <f t="shared" si="184"/>
        <v>9.97320387685464-0.340341343665211i</v>
      </c>
      <c r="AT262" s="64">
        <f t="shared" si="185"/>
        <v>19.98174859929059</v>
      </c>
      <c r="AU262" s="61">
        <f t="shared" si="186"/>
        <v>-1.9544931053111345</v>
      </c>
    </row>
    <row r="263" spans="14:47" x14ac:dyDescent="0.35">
      <c r="N263" s="10">
        <v>45</v>
      </c>
      <c r="O263" s="50">
        <f t="shared" si="187"/>
        <v>2818.3829312644561</v>
      </c>
      <c r="P263" s="48" t="str">
        <f t="shared" si="155"/>
        <v>547.187404092767</v>
      </c>
      <c r="Q263" s="17" t="str">
        <f t="shared" si="156"/>
        <v>1+339.617984294882i</v>
      </c>
      <c r="R263" s="17">
        <f t="shared" si="164"/>
        <v>339.6194565341018</v>
      </c>
      <c r="S263" s="17">
        <f t="shared" si="165"/>
        <v>1.5678518504825061</v>
      </c>
      <c r="T263" s="17" t="str">
        <f t="shared" si="157"/>
        <v>1+0.00642623023543596i</v>
      </c>
      <c r="U263" s="17">
        <f t="shared" si="166"/>
        <v>1.0000206480043494</v>
      </c>
      <c r="V263" s="17">
        <f t="shared" si="167"/>
        <v>6.4261417774945937E-3</v>
      </c>
      <c r="W263" s="31" t="str">
        <f t="shared" si="158"/>
        <v>1-0.111593081319029i</v>
      </c>
      <c r="X263" s="17">
        <f t="shared" si="168"/>
        <v>1.006207242966515</v>
      </c>
      <c r="Y263" s="17">
        <f t="shared" si="169"/>
        <v>-0.11113328847681911</v>
      </c>
      <c r="Z263" s="31" t="str">
        <f t="shared" si="159"/>
        <v>0.997374121538102+0.533935646090839i</v>
      </c>
      <c r="AA263" s="17">
        <f t="shared" si="170"/>
        <v>1.1313012032524061</v>
      </c>
      <c r="AB263" s="17">
        <f t="shared" si="171"/>
        <v>0.49151938652392768</v>
      </c>
      <c r="AC263" s="66" t="str">
        <f t="shared" si="172"/>
        <v>-0.801197701425754-1.18815730787564i</v>
      </c>
      <c r="AD263" s="64">
        <f t="shared" si="173"/>
        <v>3.125233726462517</v>
      </c>
      <c r="AE263" s="61">
        <f t="shared" si="174"/>
        <v>-123.99255792183254</v>
      </c>
      <c r="AF263" s="31" t="str">
        <f t="shared" si="160"/>
        <v>-0.000106860158311346</v>
      </c>
      <c r="AG263" s="31" t="str">
        <f t="shared" si="161"/>
        <v>0.0000818129106736167i</v>
      </c>
      <c r="AH263" s="31">
        <f t="shared" si="175"/>
        <v>8.1812910673616698E-5</v>
      </c>
      <c r="AI263" s="31">
        <f t="shared" si="176"/>
        <v>1.5707963267948966</v>
      </c>
      <c r="AJ263" s="31" t="str">
        <f t="shared" si="162"/>
        <v>1+1.29156492478505i</v>
      </c>
      <c r="AK263" s="31">
        <f t="shared" si="177"/>
        <v>1.6334442001289826</v>
      </c>
      <c r="AL263" s="31">
        <f t="shared" si="178"/>
        <v>0.91195216041711491</v>
      </c>
      <c r="AM263" s="31" t="str">
        <f t="shared" si="163"/>
        <v>1+8.28754160070404i</v>
      </c>
      <c r="AN263" s="31">
        <f t="shared" si="179"/>
        <v>8.3476551068788218</v>
      </c>
      <c r="AO263" s="31">
        <f t="shared" si="180"/>
        <v>1.4507138200517689</v>
      </c>
      <c r="AP263" s="58" t="str">
        <f t="shared" si="181"/>
        <v>-3.4247881793152+5.72948903782698i</v>
      </c>
      <c r="AQ263" s="49">
        <f t="shared" si="182"/>
        <v>16.489083270481515</v>
      </c>
      <c r="AR263" s="61">
        <f t="shared" si="183"/>
        <v>120.86876926052936</v>
      </c>
      <c r="AS263" s="58" t="str">
        <f t="shared" si="184"/>
        <v>9.55146668782493-0.521266344271568i</v>
      </c>
      <c r="AT263" s="64">
        <f t="shared" si="185"/>
        <v>19.614316996944041</v>
      </c>
      <c r="AU263" s="61">
        <f t="shared" si="186"/>
        <v>-3.1237886613031778</v>
      </c>
    </row>
    <row r="264" spans="14:47" x14ac:dyDescent="0.35">
      <c r="N264" s="10">
        <v>46</v>
      </c>
      <c r="O264" s="50">
        <f t="shared" si="187"/>
        <v>2884.0315031266077</v>
      </c>
      <c r="P264" s="48" t="str">
        <f t="shared" si="155"/>
        <v>547.187404092767</v>
      </c>
      <c r="Q264" s="17" t="str">
        <f t="shared" si="156"/>
        <v>1+347.528703381468i</v>
      </c>
      <c r="R264" s="17">
        <f t="shared" si="164"/>
        <v>347.53014210857214</v>
      </c>
      <c r="S264" s="17">
        <f t="shared" si="165"/>
        <v>1.5679188745719348</v>
      </c>
      <c r="T264" s="17" t="str">
        <f t="shared" si="157"/>
        <v>1+0.00657591636670432i</v>
      </c>
      <c r="U264" s="17">
        <f t="shared" si="166"/>
        <v>1.0000216211042949</v>
      </c>
      <c r="V264" s="17">
        <f t="shared" si="167"/>
        <v>6.5758215824231253E-3</v>
      </c>
      <c r="W264" s="31" t="str">
        <f t="shared" si="158"/>
        <v>1-0.114192418100779i</v>
      </c>
      <c r="X264" s="17">
        <f t="shared" si="168"/>
        <v>1.0064988367363885</v>
      </c>
      <c r="Y264" s="17">
        <f t="shared" si="169"/>
        <v>-0.1136999128414444</v>
      </c>
      <c r="Z264" s="31" t="str">
        <f t="shared" si="159"/>
        <v>0.997250367698834+0.546372604973652i</v>
      </c>
      <c r="AA264" s="17">
        <f t="shared" si="170"/>
        <v>1.1371153500595945</v>
      </c>
      <c r="AB264" s="17">
        <f t="shared" si="171"/>
        <v>0.50121340029465977</v>
      </c>
      <c r="AC264" s="66" t="str">
        <f t="shared" si="172"/>
        <v>-0.793197200852698-1.14593648747704i</v>
      </c>
      <c r="AD264" s="64">
        <f t="shared" si="173"/>
        <v>2.8832351729122792</v>
      </c>
      <c r="AE264" s="61">
        <f t="shared" si="174"/>
        <v>-124.69030491747498</v>
      </c>
      <c r="AF264" s="31" t="str">
        <f t="shared" si="160"/>
        <v>-0.000106860158311346</v>
      </c>
      <c r="AG264" s="31" t="str">
        <f t="shared" si="161"/>
        <v>0.0000837185781704033i</v>
      </c>
      <c r="AH264" s="31">
        <f t="shared" si="175"/>
        <v>8.3718578170403305E-5</v>
      </c>
      <c r="AI264" s="31">
        <f t="shared" si="176"/>
        <v>1.5707963267948966</v>
      </c>
      <c r="AJ264" s="31" t="str">
        <f t="shared" si="162"/>
        <v>1+1.32164933660816i</v>
      </c>
      <c r="AK264" s="31">
        <f t="shared" si="177"/>
        <v>1.6573342960781299</v>
      </c>
      <c r="AL264" s="31">
        <f t="shared" si="178"/>
        <v>0.92306528143590649</v>
      </c>
      <c r="AM264" s="31" t="str">
        <f t="shared" si="163"/>
        <v>1+8.48058324323567i</v>
      </c>
      <c r="AN264" s="31">
        <f t="shared" si="179"/>
        <v>8.5393379219614935</v>
      </c>
      <c r="AO264" s="31">
        <f t="shared" si="180"/>
        <v>1.4534219084566606</v>
      </c>
      <c r="AP264" s="58" t="str">
        <f t="shared" si="181"/>
        <v>-3.32676471988366+5.6732374692307i</v>
      </c>
      <c r="AQ264" s="49">
        <f t="shared" si="182"/>
        <v>16.360161035312025</v>
      </c>
      <c r="AR264" s="61">
        <f t="shared" si="183"/>
        <v>120.38719636508313</v>
      </c>
      <c r="AS264" s="58" t="str">
        <f t="shared" si="184"/>
        <v>9.13995028182059-0.687735002600415i</v>
      </c>
      <c r="AT264" s="64">
        <f t="shared" si="185"/>
        <v>19.243396208224304</v>
      </c>
      <c r="AU264" s="61">
        <f t="shared" si="186"/>
        <v>-4.3031085523918584</v>
      </c>
    </row>
    <row r="265" spans="14:47" x14ac:dyDescent="0.35">
      <c r="N265" s="10">
        <v>47</v>
      </c>
      <c r="O265" s="50">
        <f t="shared" si="187"/>
        <v>2951.2092266663876</v>
      </c>
      <c r="P265" s="48" t="str">
        <f t="shared" si="155"/>
        <v>547.187404092767</v>
      </c>
      <c r="Q265" s="17" t="str">
        <f t="shared" si="156"/>
        <v>1+355.623686786673i</v>
      </c>
      <c r="R265" s="17">
        <f t="shared" si="164"/>
        <v>355.625092764481</v>
      </c>
      <c r="S265" s="17">
        <f t="shared" si="165"/>
        <v>1.5679843730318059</v>
      </c>
      <c r="T265" s="17" t="str">
        <f t="shared" si="157"/>
        <v>1+0.00672908913587284i</v>
      </c>
      <c r="U265" s="17">
        <f t="shared" si="166"/>
        <v>1.0000226400640131</v>
      </c>
      <c r="V265" s="17">
        <f t="shared" si="167"/>
        <v>6.7289875728098903E-3</v>
      </c>
      <c r="W265" s="31" t="str">
        <f t="shared" si="158"/>
        <v>1-0.116852301214121i</v>
      </c>
      <c r="X265" s="17">
        <f t="shared" si="168"/>
        <v>1.0068040823809941</v>
      </c>
      <c r="Y265" s="17">
        <f t="shared" si="169"/>
        <v>-0.11632476474919927</v>
      </c>
      <c r="Z265" s="31" t="str">
        <f t="shared" si="159"/>
        <v>0.997120781520806+0.559099257843719i</v>
      </c>
      <c r="AA265" s="17">
        <f t="shared" si="170"/>
        <v>1.1431718300684548</v>
      </c>
      <c r="AB265" s="17">
        <f t="shared" si="171"/>
        <v>0.5110314536777637</v>
      </c>
      <c r="AC265" s="66" t="str">
        <f t="shared" si="172"/>
        <v>-0.784977627331945-1.10464399692985i</v>
      </c>
      <c r="AD265" s="64">
        <f t="shared" si="173"/>
        <v>2.6397396148936396</v>
      </c>
      <c r="AE265" s="61">
        <f t="shared" si="174"/>
        <v>-125.39820789602332</v>
      </c>
      <c r="AF265" s="31" t="str">
        <f t="shared" si="160"/>
        <v>-0.000106860158311346</v>
      </c>
      <c r="AG265" s="31" t="str">
        <f t="shared" si="161"/>
        <v>0.0000856686343654822i</v>
      </c>
      <c r="AH265" s="31">
        <f t="shared" si="175"/>
        <v>8.5668634365482202E-5</v>
      </c>
      <c r="AI265" s="31">
        <f t="shared" si="176"/>
        <v>1.5707963267948966</v>
      </c>
      <c r="AJ265" s="31" t="str">
        <f t="shared" si="162"/>
        <v>1+1.35243450440363i</v>
      </c>
      <c r="AK265" s="31">
        <f t="shared" si="177"/>
        <v>1.6819866493826552</v>
      </c>
      <c r="AL265" s="31">
        <f t="shared" si="178"/>
        <v>0.93410906003218275</v>
      </c>
      <c r="AM265" s="31" t="str">
        <f t="shared" si="163"/>
        <v>1+8.67812140325664i</v>
      </c>
      <c r="AN265" s="31">
        <f t="shared" si="179"/>
        <v>8.7355475552286368</v>
      </c>
      <c r="AO265" s="31">
        <f t="shared" si="180"/>
        <v>1.4560700255186907</v>
      </c>
      <c r="AP265" s="58" t="str">
        <f t="shared" si="181"/>
        <v>-3.22996066632203+5.61567644603976i</v>
      </c>
      <c r="AQ265" s="49">
        <f t="shared" si="182"/>
        <v>16.229231146651458</v>
      </c>
      <c r="AR265" s="61">
        <f t="shared" si="183"/>
        <v>119.90616039295041</v>
      </c>
      <c r="AS265" s="58" t="str">
        <f t="shared" si="184"/>
        <v>8.73877013504315-0.840223712104011i</v>
      </c>
      <c r="AT265" s="64">
        <f t="shared" si="185"/>
        <v>18.8689707615451</v>
      </c>
      <c r="AU265" s="61">
        <f t="shared" si="186"/>
        <v>-5.492047503072901</v>
      </c>
    </row>
    <row r="266" spans="14:47" x14ac:dyDescent="0.35">
      <c r="N266" s="10">
        <v>48</v>
      </c>
      <c r="O266" s="50">
        <f t="shared" si="187"/>
        <v>3019.9517204020176</v>
      </c>
      <c r="P266" s="48" t="str">
        <f t="shared" si="155"/>
        <v>547.187404092767</v>
      </c>
      <c r="Q266" s="17" t="str">
        <f t="shared" si="156"/>
        <v>1+363.907226577848i</v>
      </c>
      <c r="R266" s="17">
        <f t="shared" si="164"/>
        <v>363.90860055181605</v>
      </c>
      <c r="S266" s="17">
        <f t="shared" si="165"/>
        <v>1.5680483805880208</v>
      </c>
      <c r="T266" s="17" t="str">
        <f t="shared" si="157"/>
        <v>1+0.00688582975717123i</v>
      </c>
      <c r="U266" s="17">
        <f t="shared" si="166"/>
        <v>1.0000237070447104</v>
      </c>
      <c r="V266" s="17">
        <f t="shared" si="167"/>
        <v>6.8857209305279183E-3</v>
      </c>
      <c r="W266" s="31" t="str">
        <f t="shared" si="158"/>
        <v>1-0.11957414096429i</v>
      </c>
      <c r="X266" s="17">
        <f t="shared" si="168"/>
        <v>1.0071236146508273</v>
      </c>
      <c r="Y266" s="17">
        <f t="shared" si="169"/>
        <v>-0.1190090911745445</v>
      </c>
      <c r="Z266" s="31" t="str">
        <f t="shared" si="159"/>
        <v>0.996985088134361+0.572122352540848i</v>
      </c>
      <c r="AA266" s="17">
        <f t="shared" si="170"/>
        <v>1.1494795571210277</v>
      </c>
      <c r="AB266" s="17">
        <f t="shared" si="171"/>
        <v>0.52097145078014873</v>
      </c>
      <c r="AC266" s="66" t="str">
        <f t="shared" si="172"/>
        <v>-0.776540573509231-1.06427010427461i</v>
      </c>
      <c r="AD266" s="64">
        <f t="shared" si="173"/>
        <v>2.3947118978570798</v>
      </c>
      <c r="AE266" s="61">
        <f t="shared" si="174"/>
        <v>-126.11621555629175</v>
      </c>
      <c r="AF266" s="31" t="str">
        <f t="shared" si="160"/>
        <v>-0.000106860158311346</v>
      </c>
      <c r="AG266" s="31" t="str">
        <f t="shared" si="161"/>
        <v>0.0000876641132044601i</v>
      </c>
      <c r="AH266" s="31">
        <f t="shared" si="175"/>
        <v>8.7664113204460095E-5</v>
      </c>
      <c r="AI266" s="31">
        <f t="shared" si="176"/>
        <v>1.5707963267948966</v>
      </c>
      <c r="AJ266" s="31" t="str">
        <f t="shared" si="162"/>
        <v>1+1.38393675087493i</v>
      </c>
      <c r="AK266" s="31">
        <f t="shared" si="177"/>
        <v>1.7074193774296513</v>
      </c>
      <c r="AL266" s="31">
        <f t="shared" si="178"/>
        <v>0.94507857650598981</v>
      </c>
      <c r="AM266" s="31" t="str">
        <f t="shared" si="163"/>
        <v>1+8.88026081811414i</v>
      </c>
      <c r="AN266" s="31">
        <f t="shared" si="179"/>
        <v>8.9363880957427764</v>
      </c>
      <c r="AO266" s="31">
        <f t="shared" si="180"/>
        <v>1.4586594266645683</v>
      </c>
      <c r="AP266" s="58" t="str">
        <f t="shared" si="181"/>
        <v>-3.13445407029656+5.55685885381288i</v>
      </c>
      <c r="AQ266" s="49">
        <f t="shared" si="182"/>
        <v>16.096315695845842</v>
      </c>
      <c r="AR266" s="61">
        <f t="shared" si="183"/>
        <v>119.42601515282718</v>
      </c>
      <c r="AS266" s="58" t="str">
        <f t="shared" si="184"/>
        <v>8.34802951317316-0.979220601011205i</v>
      </c>
      <c r="AT266" s="64">
        <f t="shared" si="185"/>
        <v>18.49102759370292</v>
      </c>
      <c r="AU266" s="61">
        <f t="shared" si="186"/>
        <v>-6.6902004034645861</v>
      </c>
    </row>
    <row r="267" spans="14:47" x14ac:dyDescent="0.35">
      <c r="N267" s="10">
        <v>49</v>
      </c>
      <c r="O267" s="50">
        <f t="shared" si="187"/>
        <v>3090.295432513592</v>
      </c>
      <c r="P267" s="48" t="str">
        <f t="shared" si="155"/>
        <v>547.187404092767</v>
      </c>
      <c r="Q267" s="17" t="str">
        <f t="shared" si="156"/>
        <v>1+372.383714797436i</v>
      </c>
      <c r="R267" s="17">
        <f t="shared" si="164"/>
        <v>372.3850574960523</v>
      </c>
      <c r="S267" s="17">
        <f t="shared" si="165"/>
        <v>1.5681109311761339</v>
      </c>
      <c r="T267" s="17" t="str">
        <f t="shared" si="157"/>
        <v>1+0.0070462213365516i</v>
      </c>
      <c r="U267" s="17">
        <f t="shared" si="166"/>
        <v>1.0000248243094387</v>
      </c>
      <c r="V267" s="17">
        <f t="shared" si="167"/>
        <v>7.0461047268587053E-3</v>
      </c>
      <c r="W267" s="31" t="str">
        <f t="shared" si="158"/>
        <v>1-0.122359380506748i</v>
      </c>
      <c r="X267" s="17">
        <f t="shared" si="168"/>
        <v>1.0074580973906533</v>
      </c>
      <c r="Y267" s="17">
        <f t="shared" si="169"/>
        <v>-0.12175416056192406</v>
      </c>
      <c r="Z267" s="31" t="str">
        <f t="shared" si="159"/>
        <v>0.996842999715632+0.585448794082228i</v>
      </c>
      <c r="AA267" s="17">
        <f t="shared" si="170"/>
        <v>1.156047687846135</v>
      </c>
      <c r="AB267" s="17">
        <f t="shared" si="171"/>
        <v>0.53103108797268594</v>
      </c>
      <c r="AC267" s="66" t="str">
        <f t="shared" si="172"/>
        <v>-0.767888122923351-1.02480563041101i</v>
      </c>
      <c r="AD267" s="64">
        <f t="shared" si="173"/>
        <v>2.1481173805258131</v>
      </c>
      <c r="AE267" s="61">
        <f t="shared" si="174"/>
        <v>-126.84426577129737</v>
      </c>
      <c r="AF267" s="31" t="str">
        <f t="shared" si="160"/>
        <v>-0.000106860158311346</v>
      </c>
      <c r="AG267" s="31" t="str">
        <f t="shared" si="161"/>
        <v>0.0000897060727166308i</v>
      </c>
      <c r="AH267" s="31">
        <f t="shared" si="175"/>
        <v>8.9706072716630797E-5</v>
      </c>
      <c r="AI267" s="31">
        <f t="shared" si="176"/>
        <v>1.5707963267948966</v>
      </c>
      <c r="AJ267" s="31" t="str">
        <f t="shared" si="162"/>
        <v>1+1.41617277893012i</v>
      </c>
      <c r="AK267" s="31">
        <f t="shared" si="177"/>
        <v>1.7336508702107984</v>
      </c>
      <c r="AL267" s="31">
        <f t="shared" si="178"/>
        <v>0.95596908760743349</v>
      </c>
      <c r="AM267" s="31" t="str">
        <f t="shared" si="163"/>
        <v>1+9.08710866480155i</v>
      </c>
      <c r="AN267" s="31">
        <f t="shared" si="179"/>
        <v>9.1419660842682742</v>
      </c>
      <c r="AO267" s="31">
        <f t="shared" si="180"/>
        <v>1.4611913458584782</v>
      </c>
      <c r="AP267" s="58" t="str">
        <f t="shared" si="181"/>
        <v>-3.04031819366294+5.49684133155773i</v>
      </c>
      <c r="AQ267" s="49">
        <f t="shared" si="182"/>
        <v>15.961438663539365</v>
      </c>
      <c r="AR267" s="61">
        <f t="shared" si="183"/>
        <v>118.9471031138535</v>
      </c>
      <c r="AS267" s="58" t="str">
        <f t="shared" si="184"/>
        <v>7.96781817687786-1.10522396899055i</v>
      </c>
      <c r="AT267" s="64">
        <f t="shared" si="185"/>
        <v>18.109556044065172</v>
      </c>
      <c r="AU267" s="61">
        <f t="shared" si="186"/>
        <v>-7.897162657443908</v>
      </c>
    </row>
    <row r="268" spans="14:47" x14ac:dyDescent="0.35">
      <c r="N268" s="10">
        <v>50</v>
      </c>
      <c r="O268" s="50">
        <f t="shared" si="187"/>
        <v>3162.2776601683804</v>
      </c>
      <c r="P268" s="48" t="str">
        <f t="shared" si="155"/>
        <v>547.187404092767</v>
      </c>
      <c r="Q268" s="17" t="str">
        <f t="shared" si="156"/>
        <v>1+381.057645791691i</v>
      </c>
      <c r="R268" s="17">
        <f t="shared" si="164"/>
        <v>381.05895792686181</v>
      </c>
      <c r="S268" s="17">
        <f t="shared" si="165"/>
        <v>1.5681720579593359</v>
      </c>
      <c r="T268" s="17" t="str">
        <f t="shared" si="157"/>
        <v>1+0.00721034891575237i</v>
      </c>
      <c r="U268" s="17">
        <f t="shared" si="166"/>
        <v>1.0000259942278935</v>
      </c>
      <c r="V268" s="17">
        <f t="shared" si="167"/>
        <v>7.2102239663906697E-3</v>
      </c>
      <c r="W268" s="31" t="str">
        <f t="shared" si="158"/>
        <v>1-0.12520949661237i</v>
      </c>
      <c r="X268" s="17">
        <f t="shared" si="168"/>
        <v>1.0078082248334368</v>
      </c>
      <c r="Y268" s="17">
        <f t="shared" si="169"/>
        <v>-0.12456126281293842</v>
      </c>
      <c r="Z268" s="31" t="str">
        <f t="shared" si="159"/>
        <v>0.996694214876033+0.599085648323561i</v>
      </c>
      <c r="AA268" s="17">
        <f t="shared" si="170"/>
        <v>1.162885622920248</v>
      </c>
      <c r="AB268" s="17">
        <f t="shared" si="171"/>
        <v>0.54120785159023965</v>
      </c>
      <c r="AC268" s="66" t="str">
        <f t="shared" si="172"/>
        <v>-0.759022869742492-0.986241908300685i</v>
      </c>
      <c r="AD268" s="64">
        <f t="shared" si="173"/>
        <v>1.8999220457585095</v>
      </c>
      <c r="AE268" s="61">
        <f t="shared" si="174"/>
        <v>-127.58228545426093</v>
      </c>
      <c r="AF268" s="31" t="str">
        <f t="shared" si="160"/>
        <v>-0.000106860158311346</v>
      </c>
      <c r="AG268" s="31" t="str">
        <f t="shared" si="161"/>
        <v>0.000091795595575956i</v>
      </c>
      <c r="AH268" s="31">
        <f t="shared" si="175"/>
        <v>9.1795595575955996E-5</v>
      </c>
      <c r="AI268" s="31">
        <f t="shared" si="176"/>
        <v>1.5707963267948966</v>
      </c>
      <c r="AJ268" s="31" t="str">
        <f t="shared" si="162"/>
        <v>1+1.44915968053795i</v>
      </c>
      <c r="AK268" s="31">
        <f t="shared" si="177"/>
        <v>1.7606997982895476</v>
      </c>
      <c r="AL268" s="31">
        <f t="shared" si="178"/>
        <v>0.96677603462396</v>
      </c>
      <c r="AM268" s="31" t="str">
        <f t="shared" si="163"/>
        <v>1+9.29877461678513i</v>
      </c>
      <c r="AN268" s="31">
        <f t="shared" si="179"/>
        <v>9.3523905699969259</v>
      </c>
      <c r="AO268" s="31">
        <f t="shared" si="180"/>
        <v>1.4636669956377886</v>
      </c>
      <c r="AP268" s="58" t="str">
        <f t="shared" si="181"/>
        <v>-2.94762134839483+5.43568387590938i</v>
      </c>
      <c r="AQ268" s="49">
        <f t="shared" si="182"/>
        <v>15.824625803619494</v>
      </c>
      <c r="AR268" s="61">
        <f t="shared" si="183"/>
        <v>118.46975494429188</v>
      </c>
      <c r="AS268" s="58" t="str">
        <f t="shared" si="184"/>
        <v>7.59821125346901-1.21874067091697i</v>
      </c>
      <c r="AT268" s="64">
        <f t="shared" si="185"/>
        <v>17.724547849378002</v>
      </c>
      <c r="AU268" s="61">
        <f t="shared" si="186"/>
        <v>-9.1125305099689964</v>
      </c>
    </row>
    <row r="269" spans="14:47" x14ac:dyDescent="0.35">
      <c r="N269" s="10">
        <v>51</v>
      </c>
      <c r="O269" s="50">
        <f t="shared" si="187"/>
        <v>3235.9365692962833</v>
      </c>
      <c r="P269" s="48" t="str">
        <f t="shared" si="155"/>
        <v>547.187404092767</v>
      </c>
      <c r="Q269" s="17" t="str">
        <f t="shared" si="156"/>
        <v>1+389.933618593639i</v>
      </c>
      <c r="R269" s="17">
        <f t="shared" si="164"/>
        <v>389.93490086106618</v>
      </c>
      <c r="S269" s="17">
        <f t="shared" si="165"/>
        <v>1.5682317933460279</v>
      </c>
      <c r="T269" s="17" t="str">
        <f t="shared" si="157"/>
        <v>1+0.00737829951738853i</v>
      </c>
      <c r="U269" s="17">
        <f t="shared" si="166"/>
        <v>1.0000272192814395</v>
      </c>
      <c r="V269" s="17">
        <f t="shared" si="167"/>
        <v>7.3781656319321081E-3</v>
      </c>
      <c r="W269" s="31" t="str">
        <f t="shared" si="158"/>
        <v>1-0.128126000450439i</v>
      </c>
      <c r="X269" s="17">
        <f t="shared" si="168"/>
        <v>1.008174722948074</v>
      </c>
      <c r="Y269" s="17">
        <f t="shared" si="169"/>
        <v>-0.12743170923992003</v>
      </c>
      <c r="Z269" s="31" t="str">
        <f t="shared" si="159"/>
        <v>0.996538418022972+0.613040145705472i</v>
      </c>
      <c r="AA269" s="17">
        <f t="shared" si="170"/>
        <v>1.1700030080484041</v>
      </c>
      <c r="AB269" s="17">
        <f t="shared" si="171"/>
        <v>0.55149901634974041</v>
      </c>
      <c r="AC269" s="66" t="str">
        <f t="shared" si="172"/>
        <v>-0.749947936462758-0.948570740094589i</v>
      </c>
      <c r="AD269" s="64">
        <f t="shared" si="173"/>
        <v>1.6500926152315607</v>
      </c>
      <c r="AE269" s="61">
        <f t="shared" si="174"/>
        <v>-128.33019046374366</v>
      </c>
      <c r="AF269" s="31" t="str">
        <f t="shared" si="160"/>
        <v>-0.000106860158311346</v>
      </c>
      <c r="AG269" s="31" t="str">
        <f t="shared" si="161"/>
        <v>0.000093933789675114i</v>
      </c>
      <c r="AH269" s="31">
        <f t="shared" si="175"/>
        <v>9.3933789675114006E-5</v>
      </c>
      <c r="AI269" s="31">
        <f t="shared" si="176"/>
        <v>1.5707963267948966</v>
      </c>
      <c r="AJ269" s="31" t="str">
        <f t="shared" si="162"/>
        <v>1+1.4829149457903i</v>
      </c>
      <c r="AK269" s="31">
        <f t="shared" si="177"/>
        <v>1.7885851213873629</v>
      </c>
      <c r="AL269" s="31">
        <f t="shared" si="178"/>
        <v>0.97749505048315122</v>
      </c>
      <c r="AM269" s="31" t="str">
        <f t="shared" si="163"/>
        <v>1+9.51537090215438i</v>
      </c>
      <c r="AN269" s="31">
        <f t="shared" si="179"/>
        <v>9.5677731685887224</v>
      </c>
      <c r="AO269" s="31">
        <f t="shared" si="180"/>
        <v>1.4660875671758427</v>
      </c>
      <c r="AP269" s="58" t="str">
        <f t="shared" si="181"/>
        <v>-2.85642677194302+5.37344944036779i</v>
      </c>
      <c r="AQ269" s="49">
        <f t="shared" si="182"/>
        <v>15.685904524378429</v>
      </c>
      <c r="AR269" s="61">
        <f t="shared" si="183"/>
        <v>117.99428910816641</v>
      </c>
      <c r="AS269" s="58" t="str">
        <f t="shared" si="184"/>
        <v>7.23926827578618-1.3202844624028i</v>
      </c>
      <c r="AT269" s="64">
        <f t="shared" si="185"/>
        <v>17.335997139609994</v>
      </c>
      <c r="AU269" s="61">
        <f t="shared" si="186"/>
        <v>-10.335901355577258</v>
      </c>
    </row>
    <row r="270" spans="14:47" x14ac:dyDescent="0.35">
      <c r="N270" s="10">
        <v>52</v>
      </c>
      <c r="O270" s="50">
        <f t="shared" si="187"/>
        <v>3311.3112148259115</v>
      </c>
      <c r="P270" s="48" t="str">
        <f t="shared" si="155"/>
        <v>547.187404092767</v>
      </c>
      <c r="Q270" s="17" t="str">
        <f t="shared" si="156"/>
        <v>1+399.016339361548i</v>
      </c>
      <c r="R270" s="17">
        <f t="shared" si="164"/>
        <v>399.01759244109775</v>
      </c>
      <c r="S270" s="17">
        <f t="shared" si="165"/>
        <v>1.568290169006997</v>
      </c>
      <c r="T270" s="17" t="str">
        <f t="shared" si="157"/>
        <v>1+0.00755016219109218i</v>
      </c>
      <c r="U270" s="17">
        <f t="shared" si="166"/>
        <v>1.0000285020683719</v>
      </c>
      <c r="V270" s="17">
        <f t="shared" si="167"/>
        <v>7.5500187304617652E-3</v>
      </c>
      <c r="W270" s="31" t="str">
        <f t="shared" si="158"/>
        <v>1-0.131110438389895i</v>
      </c>
      <c r="X270" s="17">
        <f t="shared" si="168"/>
        <v>1.0085583508428209</v>
      </c>
      <c r="Y270" s="17">
        <f t="shared" si="169"/>
        <v>-0.13036683248317155</v>
      </c>
      <c r="Z270" s="31" t="str">
        <f t="shared" si="159"/>
        <v>0.996375278690436+0.627319685087184i</v>
      </c>
      <c r="AA270" s="17">
        <f t="shared" si="170"/>
        <v>1.1774097346647545</v>
      </c>
      <c r="AB270" s="17">
        <f t="shared" si="171"/>
        <v>0.56190164453636104</v>
      </c>
      <c r="AC270" s="66" t="str">
        <f>(IMDIV(IMPRODUCT(P270,T270,W270),IMPRODUCT(Q270,Z270)))</f>
        <v>-0.740666989297806-0.911784352302061i</v>
      </c>
      <c r="AD270" s="64">
        <f t="shared" si="173"/>
        <v>1.3985966675314476</v>
      </c>
      <c r="AE270" s="61">
        <f t="shared" si="174"/>
        <v>-129.08788555062779</v>
      </c>
      <c r="AF270" s="31" t="str">
        <f t="shared" si="160"/>
        <v>-0.000106860158311346</v>
      </c>
      <c r="AG270" s="31" t="str">
        <f t="shared" si="161"/>
        <v>0.0000961217887129184i</v>
      </c>
      <c r="AH270" s="31">
        <f t="shared" si="175"/>
        <v>9.6121788712918405E-5</v>
      </c>
      <c r="AI270" s="31">
        <f t="shared" si="176"/>
        <v>1.5707963267948966</v>
      </c>
      <c r="AJ270" s="31" t="str">
        <f t="shared" si="162"/>
        <v>1+1.51745647217561i</v>
      </c>
      <c r="AK270" s="31">
        <f t="shared" si="177"/>
        <v>1.8173260975806318</v>
      </c>
      <c r="AL270" s="31">
        <f t="shared" si="178"/>
        <v>0.98812196586254775</v>
      </c>
      <c r="AM270" s="31" t="str">
        <f t="shared" si="163"/>
        <v>1+9.7370123631268i</v>
      </c>
      <c r="AN270" s="31">
        <f t="shared" si="179"/>
        <v>9.7882281215592908</v>
      </c>
      <c r="AO270" s="31">
        <f t="shared" si="180"/>
        <v>1.4684542303695991</v>
      </c>
      <c r="AP270" s="58" t="str">
        <f t="shared" si="181"/>
        <v>-2.76679253761646+5.31020353311588i</v>
      </c>
      <c r="AQ270" s="49">
        <f t="shared" si="182"/>
        <v>15.545303767654932</v>
      </c>
      <c r="AR270" s="61">
        <f t="shared" si="183"/>
        <v>117.52101152021541</v>
      </c>
      <c r="AS270" s="58" t="str">
        <f t="shared" si="184"/>
        <v>6.8910323878822-1.41037432156671i</v>
      </c>
      <c r="AT270" s="64">
        <f t="shared" si="185"/>
        <v>16.943900435186382</v>
      </c>
      <c r="AU270" s="61">
        <f t="shared" si="186"/>
        <v>-11.566874030412352</v>
      </c>
    </row>
    <row r="271" spans="14:47" x14ac:dyDescent="0.35">
      <c r="N271" s="10">
        <v>53</v>
      </c>
      <c r="O271" s="50">
        <f t="shared" si="187"/>
        <v>3388.4415613920314</v>
      </c>
      <c r="P271" s="48" t="str">
        <f t="shared" si="155"/>
        <v>547.187404092767</v>
      </c>
      <c r="Q271" s="17" t="str">
        <f t="shared" si="156"/>
        <v>1+408.310623874192i</v>
      </c>
      <c r="R271" s="17">
        <f t="shared" si="164"/>
        <v>408.31184843025545</v>
      </c>
      <c r="S271" s="17">
        <f t="shared" si="165"/>
        <v>1.5683472158921985</v>
      </c>
      <c r="T271" s="17" t="str">
        <f t="shared" si="157"/>
        <v>1+0.00772602806072774i</v>
      </c>
      <c r="U271" s="17">
        <f t="shared" si="166"/>
        <v>1.0000298453094263</v>
      </c>
      <c r="V271" s="17">
        <f t="shared" si="167"/>
        <v>7.7258743401404841E-3</v>
      </c>
      <c r="W271" s="31" t="str">
        <f t="shared" si="158"/>
        <v>1-0.134164392819237i</v>
      </c>
      <c r="X271" s="17">
        <f t="shared" si="168"/>
        <v>1.0089599022263247</v>
      </c>
      <c r="Y271" s="17">
        <f t="shared" si="169"/>
        <v>-0.1333679863889104</v>
      </c>
      <c r="Z271" s="31" t="str">
        <f t="shared" si="159"/>
        <v>0.996204450838027+0.641931837669486i</v>
      </c>
      <c r="AA271" s="17">
        <f t="shared" si="170"/>
        <v>1.1851159403548746</v>
      </c>
      <c r="AB271" s="17">
        <f t="shared" si="171"/>
        <v>0.57241258600475642</v>
      </c>
      <c r="AC271" s="66" t="str">
        <f t="shared" si="172"/>
        <v>-0.731184250993385-0.875875349152385i</v>
      </c>
      <c r="AD271" s="64">
        <f t="shared" si="173"/>
        <v>1.1454027591967386</v>
      </c>
      <c r="AE271" s="61">
        <f t="shared" si="174"/>
        <v>-129.85526434946198</v>
      </c>
      <c r="AF271" s="31" t="str">
        <f t="shared" si="160"/>
        <v>-0.000106860158311346</v>
      </c>
      <c r="AG271" s="31" t="str">
        <f t="shared" si="161"/>
        <v>0.0000983607527954208i</v>
      </c>
      <c r="AH271" s="31">
        <f t="shared" si="175"/>
        <v>9.8360752795420794E-5</v>
      </c>
      <c r="AI271" s="31">
        <f t="shared" si="176"/>
        <v>1.5707963267948966</v>
      </c>
      <c r="AJ271" s="31" t="str">
        <f t="shared" si="162"/>
        <v>1+1.55280257406838i</v>
      </c>
      <c r="AK271" s="31">
        <f t="shared" si="177"/>
        <v>1.8469422930978072</v>
      </c>
      <c r="AL271" s="31">
        <f t="shared" si="178"/>
        <v>0.99865281430681319</v>
      </c>
      <c r="AM271" s="31" t="str">
        <f t="shared" si="163"/>
        <v>1+9.96381651693873i</v>
      </c>
      <c r="AN271" s="31">
        <f t="shared" si="179"/>
        <v>10.013872357046552</v>
      </c>
      <c r="AO271" s="31">
        <f t="shared" si="180"/>
        <v>1.4707681339500205</v>
      </c>
      <c r="AP271" s="58" t="str">
        <f t="shared" si="181"/>
        <v>-2.67877149920634+5.24601381678796i</v>
      </c>
      <c r="AQ271" s="49">
        <f t="shared" si="182"/>
        <v>15.402853886707778</v>
      </c>
      <c r="AR271" s="61">
        <f t="shared" si="183"/>
        <v>117.05021525902561</v>
      </c>
      <c r="AS271" s="58" t="str">
        <f t="shared" si="184"/>
        <v>6.553529715667-1.48953276116224i</v>
      </c>
      <c r="AT271" s="64">
        <f t="shared" si="185"/>
        <v>16.548256645904512</v>
      </c>
      <c r="AU271" s="61">
        <f t="shared" si="186"/>
        <v>-12.805049090436379</v>
      </c>
    </row>
    <row r="272" spans="14:47" x14ac:dyDescent="0.35">
      <c r="N272" s="10">
        <v>54</v>
      </c>
      <c r="O272" s="50">
        <f t="shared" si="187"/>
        <v>3467.3685045253224</v>
      </c>
      <c r="P272" s="48" t="str">
        <f t="shared" si="155"/>
        <v>547.187404092767</v>
      </c>
      <c r="Q272" s="17" t="str">
        <f t="shared" si="156"/>
        <v>1+417.821400084244i</v>
      </c>
      <c r="R272" s="17">
        <f t="shared" si="164"/>
        <v>417.82259676608902</v>
      </c>
      <c r="S272" s="17">
        <f t="shared" si="165"/>
        <v>1.56840296424716</v>
      </c>
      <c r="T272" s="17" t="str">
        <f t="shared" si="157"/>
        <v>1+0.00790599037270716i</v>
      </c>
      <c r="U272" s="17">
        <f t="shared" si="166"/>
        <v>1.0000312518535475</v>
      </c>
      <c r="V272" s="17">
        <f t="shared" si="167"/>
        <v>7.9058256584083123E-3</v>
      </c>
      <c r="W272" s="31" t="str">
        <f t="shared" si="158"/>
        <v>1-0.137289482985528i</v>
      </c>
      <c r="X272" s="17">
        <f t="shared" si="168"/>
        <v>1.0093802069282087</v>
      </c>
      <c r="Y272" s="17">
        <f t="shared" si="169"/>
        <v>-0.13643654584483506</v>
      </c>
      <c r="Z272" s="31" t="str">
        <f t="shared" si="159"/>
        <v>0.996025572116967+0.656884351009091i</v>
      </c>
      <c r="AA272" s="17">
        <f t="shared" si="170"/>
        <v>1.1931320090046893</v>
      </c>
      <c r="AB272" s="17">
        <f t="shared" si="171"/>
        <v>0.58302847903848642</v>
      </c>
      <c r="AC272" s="66" t="str">
        <f t="shared" si="172"/>
        <v>-0.721504510809295-0.840836664333359i</v>
      </c>
      <c r="AD272" s="64">
        <f t="shared" si="173"/>
        <v>0.89048054819485911</v>
      </c>
      <c r="AE272" s="61">
        <f t="shared" si="174"/>
        <v>-130.63220941646608</v>
      </c>
      <c r="AF272" s="31" t="str">
        <f t="shared" si="160"/>
        <v>-0.000106860158311346</v>
      </c>
      <c r="AG272" s="31" t="str">
        <f t="shared" si="161"/>
        <v>0.000100651869051014i</v>
      </c>
      <c r="AH272" s="31">
        <f t="shared" si="175"/>
        <v>1.00651869051014E-4</v>
      </c>
      <c r="AI272" s="31">
        <f t="shared" si="176"/>
        <v>1.5707963267948966</v>
      </c>
      <c r="AJ272" s="31" t="str">
        <f t="shared" si="162"/>
        <v>1+1.58897199243969i</v>
      </c>
      <c r="AK272" s="31">
        <f t="shared" si="177"/>
        <v>1.87745359270416</v>
      </c>
      <c r="AL272" s="31">
        <f t="shared" si="178"/>
        <v>1.0090838363607484</v>
      </c>
      <c r="AM272" s="31" t="str">
        <f t="shared" si="163"/>
        <v>1+10.1959036181546i</v>
      </c>
      <c r="AN272" s="31">
        <f t="shared" si="179"/>
        <v>10.244825551989553</v>
      </c>
      <c r="AO272" s="31">
        <f t="shared" si="180"/>
        <v>1.4730304056132382</v>
      </c>
      <c r="AP272" s="58" t="str">
        <f t="shared" si="181"/>
        <v>-2.59241126873419+5.18094971336708i</v>
      </c>
      <c r="AQ272" s="49">
        <f t="shared" si="182"/>
        <v>15.258586523550663</v>
      </c>
      <c r="AR272" s="61">
        <f t="shared" si="183"/>
        <v>116.58218033774168</v>
      </c>
      <c r="AS272" s="58" t="str">
        <f t="shared" si="184"/>
        <v>6.22676889933101-1.5582841446878i</v>
      </c>
      <c r="AT272" s="64">
        <f t="shared" si="185"/>
        <v>16.149067071745517</v>
      </c>
      <c r="AU272" s="61">
        <f t="shared" si="186"/>
        <v>-14.050029078724346</v>
      </c>
    </row>
    <row r="273" spans="14:47" x14ac:dyDescent="0.35">
      <c r="N273" s="10">
        <v>55</v>
      </c>
      <c r="O273" s="50">
        <f t="shared" si="187"/>
        <v>3548.1338923357539</v>
      </c>
      <c r="P273" s="48" t="str">
        <f t="shared" si="155"/>
        <v>547.187404092767</v>
      </c>
      <c r="Q273" s="17" t="str">
        <f t="shared" si="156"/>
        <v>1+427.553710731138i</v>
      </c>
      <c r="R273" s="17">
        <f t="shared" si="164"/>
        <v>427.55488017325399</v>
      </c>
      <c r="S273" s="17">
        <f t="shared" si="165"/>
        <v>1.5684574436290106</v>
      </c>
      <c r="T273" s="17" t="str">
        <f t="shared" si="157"/>
        <v>1+0.00809014454543031i</v>
      </c>
      <c r="U273" s="17">
        <f t="shared" si="166"/>
        <v>1.0000327246839305</v>
      </c>
      <c r="V273" s="17">
        <f t="shared" si="167"/>
        <v>8.089968051191174E-3</v>
      </c>
      <c r="W273" s="31" t="str">
        <f t="shared" si="158"/>
        <v>1-0.140487365852938i</v>
      </c>
      <c r="X273" s="17">
        <f t="shared" si="168"/>
        <v>1.0098201324811746</v>
      </c>
      <c r="Y273" s="17">
        <f t="shared" si="169"/>
        <v>-0.13957390657003152</v>
      </c>
      <c r="Z273" s="31" t="str">
        <f t="shared" si="159"/>
        <v>0.995838263101507+0.672185153126491i</v>
      </c>
      <c r="AA273" s="17">
        <f t="shared" si="170"/>
        <v>1.2014685706836905</v>
      </c>
      <c r="AB273" s="17">
        <f t="shared" si="171"/>
        <v>0.59374575210610681</v>
      </c>
      <c r="AC273" s="66" t="str">
        <f t="shared" si="172"/>
        <v>-0.711633131424829-0.806661511325709i</v>
      </c>
      <c r="AD273" s="64">
        <f t="shared" si="173"/>
        <v>0.63380091927161264</v>
      </c>
      <c r="AE273" s="61">
        <f t="shared" si="174"/>
        <v>-131.41859231620845</v>
      </c>
      <c r="AF273" s="31" t="str">
        <f t="shared" si="160"/>
        <v>-0.000106860158311346</v>
      </c>
      <c r="AG273" s="31" t="str">
        <f t="shared" si="161"/>
        <v>0.000102996352259862i</v>
      </c>
      <c r="AH273" s="31">
        <f t="shared" si="175"/>
        <v>1.02996352259862E-4</v>
      </c>
      <c r="AI273" s="31">
        <f t="shared" si="176"/>
        <v>1.5707963267948966</v>
      </c>
      <c r="AJ273" s="31" t="str">
        <f t="shared" si="162"/>
        <v>1+1.62598390479391i</v>
      </c>
      <c r="AK273" s="31">
        <f t="shared" si="177"/>
        <v>1.9088802106598652</v>
      </c>
      <c r="AL273" s="31">
        <f t="shared" si="178"/>
        <v>1.0194114827344312</v>
      </c>
      <c r="AM273" s="31" t="str">
        <f t="shared" si="163"/>
        <v>1+10.4333967224276i</v>
      </c>
      <c r="AN273" s="31">
        <f t="shared" si="179"/>
        <v>10.481210195753304</v>
      </c>
      <c r="AO273" s="31">
        <f t="shared" si="180"/>
        <v>1.4752421521706389</v>
      </c>
      <c r="AP273" s="58" t="str">
        <f t="shared" si="181"/>
        <v>-2.50775422590248+5.11508201716468i</v>
      </c>
      <c r="AQ273" s="49">
        <f t="shared" si="182"/>
        <v>15.112534486451006</v>
      </c>
      <c r="AR273" s="61">
        <f t="shared" si="183"/>
        <v>116.1171735313177</v>
      </c>
      <c r="AS273" s="58" t="str">
        <f t="shared" si="184"/>
        <v>5.91074078314385-1.6171530194698i</v>
      </c>
      <c r="AT273" s="64">
        <f t="shared" si="185"/>
        <v>15.746335405722622</v>
      </c>
      <c r="AU273" s="61">
        <f t="shared" si="186"/>
        <v>-15.301418784890689</v>
      </c>
    </row>
    <row r="274" spans="14:47" x14ac:dyDescent="0.35">
      <c r="N274" s="10">
        <v>56</v>
      </c>
      <c r="O274" s="50">
        <f t="shared" si="187"/>
        <v>3630.7805477010188</v>
      </c>
      <c r="P274" s="48" t="str">
        <f t="shared" si="155"/>
        <v>547.187404092767</v>
      </c>
      <c r="Q274" s="17" t="str">
        <f t="shared" si="156"/>
        <v>1+437.512716014807i</v>
      </c>
      <c r="R274" s="17">
        <f t="shared" si="164"/>
        <v>437.51385883724089</v>
      </c>
      <c r="S274" s="17">
        <f t="shared" si="165"/>
        <v>1.5685106829221451</v>
      </c>
      <c r="T274" s="17" t="str">
        <f t="shared" si="157"/>
        <v>1+0.00827858821987723i</v>
      </c>
      <c r="U274" s="17">
        <f t="shared" si="166"/>
        <v>1.000034266924346</v>
      </c>
      <c r="V274" s="17">
        <f t="shared" si="167"/>
        <v>8.2783991032427204E-3</v>
      </c>
      <c r="W274" s="31" t="str">
        <f t="shared" si="158"/>
        <v>1-0.143759736981294i</v>
      </c>
      <c r="X274" s="17">
        <f t="shared" si="168"/>
        <v>1.0102805857666131</v>
      </c>
      <c r="Y274" s="17">
        <f t="shared" si="169"/>
        <v>-0.14278148485578063</v>
      </c>
      <c r="Z274" s="31" t="str">
        <f t="shared" si="159"/>
        <v>0.995642126484111+0.687842356709506i</v>
      </c>
      <c r="AA274" s="17">
        <f t="shared" si="170"/>
        <v>1.2101365012730958</v>
      </c>
      <c r="AB274" s="17">
        <f t="shared" si="171"/>
        <v>0.60456062654708043</v>
      </c>
      <c r="AC274" s="66" t="str">
        <f t="shared" si="172"/>
        <v>-0.701576052541671-0.773343332585148i</v>
      </c>
      <c r="AD274" s="64">
        <f t="shared" si="173"/>
        <v>0.37533611056195926</v>
      </c>
      <c r="AE274" s="61">
        <f t="shared" si="174"/>
        <v>-132.21427375866048</v>
      </c>
      <c r="AF274" s="31" t="str">
        <f t="shared" si="160"/>
        <v>-0.000106860158311346</v>
      </c>
      <c r="AG274" s="31" t="str">
        <f t="shared" si="161"/>
        <v>0.000105395445497997i</v>
      </c>
      <c r="AH274" s="31">
        <f t="shared" si="175"/>
        <v>1.05395445497997E-4</v>
      </c>
      <c r="AI274" s="31">
        <f t="shared" si="176"/>
        <v>1.5707963267948966</v>
      </c>
      <c r="AJ274" s="31" t="str">
        <f t="shared" si="162"/>
        <v>1+1.66385793533691i</v>
      </c>
      <c r="AK274" s="31">
        <f t="shared" si="177"/>
        <v>1.9412427022357626</v>
      </c>
      <c r="AL274" s="31">
        <f t="shared" si="178"/>
        <v>1.0296324165239059</v>
      </c>
      <c r="AM274" s="31" t="str">
        <f t="shared" si="163"/>
        <v>1+10.6764217517452i</v>
      </c>
      <c r="AN274" s="31">
        <f t="shared" si="179"/>
        <v>10.723151655233551</v>
      </c>
      <c r="AO274" s="31">
        <f t="shared" si="180"/>
        <v>1.4774044597161375</v>
      </c>
      <c r="AP274" s="58" t="str">
        <f t="shared" si="181"/>
        <v>-2.42483755755977+5.04848251858256i</v>
      </c>
      <c r="AQ274" s="49">
        <f t="shared" si="182"/>
        <v>14.964731628258821</v>
      </c>
      <c r="AR274" s="61">
        <f t="shared" si="183"/>
        <v>115.6554482588645</v>
      </c>
      <c r="AS274" s="58" t="str">
        <f t="shared" si="184"/>
        <v>5.60541825710607-1.66666247897188i</v>
      </c>
      <c r="AT274" s="64">
        <f t="shared" si="185"/>
        <v>15.340067738820782</v>
      </c>
      <c r="AU274" s="61">
        <f t="shared" si="186"/>
        <v>-16.558825499795958</v>
      </c>
    </row>
    <row r="275" spans="14:47" x14ac:dyDescent="0.35">
      <c r="N275" s="10">
        <v>57</v>
      </c>
      <c r="O275" s="50">
        <f t="shared" si="187"/>
        <v>3715.352290971724</v>
      </c>
      <c r="P275" s="48" t="str">
        <f t="shared" ref="P275:P338" si="188">COMPLEX(Adc,0)</f>
        <v>547.187404092767</v>
      </c>
      <c r="Q275" s="17" t="str">
        <f t="shared" ref="Q275:Q338" si="189">IMSUM(COMPLEX(1,0),IMDIV(COMPLEX(0,2*PI()*O275),COMPLEX(wp_lf,0)))</f>
        <v>1+447.703696331672i</v>
      </c>
      <c r="R275" s="17">
        <f t="shared" si="164"/>
        <v>447.70481314035698</v>
      </c>
      <c r="S275" s="17">
        <f t="shared" si="165"/>
        <v>1.5685627103535338</v>
      </c>
      <c r="T275" s="17" t="str">
        <f t="shared" ref="T275:T338" si="190">IMSUM(COMPLEX(1,0),IMDIV(COMPLEX(0,2*PI()*O275),COMPLEX(wz_esr,0)))</f>
        <v>1+0.00847142131137837i</v>
      </c>
      <c r="U275" s="17">
        <f t="shared" si="166"/>
        <v>1.000035881845764</v>
      </c>
      <c r="V275" s="17">
        <f t="shared" si="167"/>
        <v>8.4712186696462455E-3</v>
      </c>
      <c r="W275" s="31" t="str">
        <f t="shared" ref="W275:W338" si="191">IMSUB(COMPLEX(1,0),IMDIV(COMPLEX(0,2*PI()*O275),COMPLEX(wz_rhp,0)))</f>
        <v>1-0.147108331425083i</v>
      </c>
      <c r="X275" s="17">
        <f t="shared" si="168"/>
        <v>1.0107625147257253</v>
      </c>
      <c r="Y275" s="17">
        <f t="shared" si="169"/>
        <v>-0.14606071725361161</v>
      </c>
      <c r="Z275" s="31" t="str">
        <f t="shared" ref="Z275:Z338" si="192">IMSUM(COMPLEX(1,0),IMDIV(COMPLEX(0,2*PI()*O275),COMPLEX(Q*(wsl/2),0)),IMDIV(IMPOWER(COMPLEX(0,2*PI()*O275),2),IMPOWER(COMPLEX(wsl/2,0),2)))</f>
        <v>0.995436746232718+0.703864263414716i</v>
      </c>
      <c r="AA275" s="17">
        <f t="shared" si="170"/>
        <v>1.2191469218526214</v>
      </c>
      <c r="AB275" s="17">
        <f t="shared" si="171"/>
        <v>0.61546912021452049</v>
      </c>
      <c r="AC275" s="66" t="str">
        <f t="shared" si="172"/>
        <v>-0.691339790981026-0.740875747856271i</v>
      </c>
      <c r="AD275" s="64">
        <f t="shared" si="173"/>
        <v>0.11505984081011059</v>
      </c>
      <c r="AE275" s="61">
        <f t="shared" si="174"/>
        <v>-133.01910378796322</v>
      </c>
      <c r="AF275" s="31" t="str">
        <f t="shared" ref="AF275:AF338" si="193">COMPLEX(Adc_ea,0)</f>
        <v>-0.000106860158311346</v>
      </c>
      <c r="AG275" s="31" t="str">
        <f t="shared" ref="AG275:AG338" si="194">COMPLEX(0,2*PI()*O275*wp0_ea)</f>
        <v>0.000107850420796409i</v>
      </c>
      <c r="AH275" s="31">
        <f t="shared" si="175"/>
        <v>1.0785042079640899E-4</v>
      </c>
      <c r="AI275" s="31">
        <f t="shared" si="176"/>
        <v>1.5707963267948966</v>
      </c>
      <c r="AJ275" s="31" t="str">
        <f t="shared" ref="AJ275:AJ338" si="195">IMSUM(COMPLEX(1,0),IMDIV(COMPLEX(0,2*PI()*O275),COMPLEX(wp1_ea,0)))</f>
        <v>1+1.70261416538099i</v>
      </c>
      <c r="AK275" s="31">
        <f t="shared" si="177"/>
        <v>1.9745619757698174</v>
      </c>
      <c r="AL275" s="31">
        <f t="shared" si="178"/>
        <v>1.0397435145172607</v>
      </c>
      <c r="AM275" s="31" t="str">
        <f t="shared" ref="AM275:AM338" si="196">IMSUM(COMPLEX(1,0),IMDIV(COMPLEX(0,2*PI()*O275),COMPLEX(wz_ea,0)))</f>
        <v>1+10.9251075611946i</v>
      </c>
      <c r="AN275" s="31">
        <f t="shared" si="179"/>
        <v>10.970778241477284</v>
      </c>
      <c r="AO275" s="31">
        <f t="shared" si="180"/>
        <v>1.4795183938090108</v>
      </c>
      <c r="AP275" s="58" t="str">
        <f t="shared" si="181"/>
        <v>-2.34369332527015+4.98122364108546i</v>
      </c>
      <c r="AQ275" s="49">
        <f t="shared" si="182"/>
        <v>14.815212726196672</v>
      </c>
      <c r="AR275" s="61">
        <f t="shared" si="183"/>
        <v>115.1972445192926</v>
      </c>
      <c r="AS275" s="58" t="str">
        <f t="shared" si="184"/>
        <v>5.31075624394442-1.70733256575249i</v>
      </c>
      <c r="AT275" s="64">
        <f t="shared" si="185"/>
        <v>14.930272567006782</v>
      </c>
      <c r="AU275" s="61">
        <f t="shared" si="186"/>
        <v>-17.821859268670579</v>
      </c>
    </row>
    <row r="276" spans="14:47" x14ac:dyDescent="0.35">
      <c r="N276" s="10">
        <v>58</v>
      </c>
      <c r="O276" s="50">
        <f t="shared" si="187"/>
        <v>3801.8939632056172</v>
      </c>
      <c r="P276" s="48" t="str">
        <f t="shared" si="188"/>
        <v>547.187404092767</v>
      </c>
      <c r="Q276" s="17" t="str">
        <f t="shared" si="189"/>
        <v>1+458.13205507439i</v>
      </c>
      <c r="R276" s="17">
        <f t="shared" ref="R276:R339" si="197">IMABS(Q276)</f>
        <v>458.13314646146688</v>
      </c>
      <c r="S276" s="17">
        <f t="shared" ref="S276:S339" si="198">IMARGUMENT(Q276)</f>
        <v>1.5686135535076822</v>
      </c>
      <c r="T276" s="17" t="str">
        <f t="shared" si="190"/>
        <v>1+0.00866874606259132i</v>
      </c>
      <c r="U276" s="17">
        <f t="shared" ref="U276:U339" si="199">IMABS(T276)</f>
        <v>1.0000375728732884</v>
      </c>
      <c r="V276" s="17">
        <f t="shared" ref="V276:V339" si="200">IMARGUMENT(T276)</f>
        <v>8.6685289285039057E-3</v>
      </c>
      <c r="W276" s="31" t="str">
        <f t="shared" si="191"/>
        <v>1-0.150534924653402i</v>
      </c>
      <c r="X276" s="17">
        <f t="shared" ref="X276:X339" si="201">IMABS(W276)</f>
        <v>1.0112669101381719</v>
      </c>
      <c r="Y276" s="17">
        <f t="shared" ref="Y276:Y339" si="202">IMARGUMENT(W276)</f>
        <v>-0.14941306020679293</v>
      </c>
      <c r="Z276" s="31" t="str">
        <f t="shared" si="192"/>
        <v>0.995221686708278+0.720259368269134i</v>
      </c>
      <c r="AA276" s="17">
        <f t="shared" ref="AA276:AA339" si="203">IMABS(Z276)</f>
        <v>1.2285111978626495</v>
      </c>
      <c r="AB276" s="17">
        <f t="shared" ref="AB276:AB339" si="204">IMARGUMENT(Z276)</f>
        <v>0.62646705209509157</v>
      </c>
      <c r="AC276" s="66" t="str">
        <f t="shared" ref="AC276:AC339" si="205">(IMDIV(IMPRODUCT(P276,T276,W276),IMPRODUCT(Q276,Z276)))</f>
        <v>-0.68093143709899-0.709252501932033i</v>
      </c>
      <c r="AD276" s="64">
        <f t="shared" ref="AD276:AD339" si="206">20*LOG(IMABS(AC276))</f>
        <v>-0.14705256349454646</v>
      </c>
      <c r="AE276" s="61">
        <f t="shared" ref="AE276:AE339" si="207">(180/PI())*IMARGUMENT(AC276)</f>
        <v>-133.83292202385275</v>
      </c>
      <c r="AF276" s="31" t="str">
        <f t="shared" si="193"/>
        <v>-0.000106860158311346</v>
      </c>
      <c r="AG276" s="31" t="str">
        <f t="shared" si="194"/>
        <v>0.000110362579815496i</v>
      </c>
      <c r="AH276" s="31">
        <f t="shared" ref="AH276:AH339" si="208">IMABS(AG276)</f>
        <v>1.10362579815496E-4</v>
      </c>
      <c r="AI276" s="31">
        <f t="shared" ref="AI276:AI339" si="209">IMARGUMENT(AG276)</f>
        <v>1.5707963267948966</v>
      </c>
      <c r="AJ276" s="31" t="str">
        <f t="shared" si="195"/>
        <v>1+1.74227314399231i</v>
      </c>
      <c r="AK276" s="31">
        <f t="shared" ref="AK276:AK339" si="210">IMABS(AJ276)</f>
        <v>2.008859305246848</v>
      </c>
      <c r="AL276" s="31">
        <f t="shared" ref="AL276:AL339" si="211">IMARGUMENT(AJ276)</f>
        <v>1.0497418676218122</v>
      </c>
      <c r="AM276" s="31" t="str">
        <f t="shared" si="196"/>
        <v>1+11.1795860072839i</v>
      </c>
      <c r="AN276" s="31">
        <f t="shared" ref="AN276:AN339" si="212">IMABS(AM276)</f>
        <v>11.224221277855227</v>
      </c>
      <c r="AO276" s="31">
        <f t="shared" ref="AO276:AO339" si="213">IMARGUMENT(AM276)</f>
        <v>1.4815849996707799</v>
      </c>
      <c r="AP276" s="58" t="str">
        <f t="shared" ref="AP276:AP339" si="214">IMPRODUCT(AF276,IMDIV(AM276,IMPRODUCT(AG276,AJ276)))</f>
        <v>-2.26434855889132+4.91337809352087i</v>
      </c>
      <c r="AQ276" s="49">
        <f t="shared" ref="AQ276:AQ339" si="215">20*LOG(IMABS(AP276))</f>
        <v>14.664013363692231</v>
      </c>
      <c r="AR276" s="61">
        <f t="shared" ref="AR276:AR339" si="216">(180/PI())*IMARGUMENT(AP276)</f>
        <v>114.74278887811661</v>
      </c>
      <c r="AS276" s="58" t="str">
        <f t="shared" ref="AS276:AS339" si="217">IMPRODUCT(AC276,AP276)</f>
        <v>5.02669182406661-1.739678725592i</v>
      </c>
      <c r="AT276" s="64">
        <f t="shared" ref="AT276:AT339" si="218">20*LOG(IMABS(AS276))</f>
        <v>14.516960800197678</v>
      </c>
      <c r="AU276" s="61">
        <f t="shared" ref="AU276:AU339" si="219">(180/PI())*IMARGUMENT(AS276)</f>
        <v>-19.090133145736143</v>
      </c>
    </row>
    <row r="277" spans="14:47" x14ac:dyDescent="0.35">
      <c r="N277" s="10">
        <v>59</v>
      </c>
      <c r="O277" s="50">
        <f t="shared" si="187"/>
        <v>3890.451449942811</v>
      </c>
      <c r="P277" s="48" t="str">
        <f t="shared" si="188"/>
        <v>547.187404092767</v>
      </c>
      <c r="Q277" s="17" t="str">
        <f t="shared" si="189"/>
        <v>1+468.803321496804i</v>
      </c>
      <c r="R277" s="17">
        <f t="shared" si="197"/>
        <v>468.80438804093529</v>
      </c>
      <c r="S277" s="17">
        <f t="shared" si="198"/>
        <v>1.5686632393412512</v>
      </c>
      <c r="T277" s="17" t="str">
        <f t="shared" si="190"/>
        <v>1+0.00887066709771108i</v>
      </c>
      <c r="U277" s="17">
        <f t="shared" si="199"/>
        <v>1.0000393435934201</v>
      </c>
      <c r="V277" s="17">
        <f t="shared" si="200"/>
        <v>8.8704344348389547E-3</v>
      </c>
      <c r="W277" s="31" t="str">
        <f t="shared" si="191"/>
        <v>1-0.154041333491338i</v>
      </c>
      <c r="X277" s="17">
        <f t="shared" si="201"/>
        <v>1.0117948074702645</v>
      </c>
      <c r="Y277" s="17">
        <f t="shared" si="202"/>
        <v>-0.15283998962123904</v>
      </c>
      <c r="Z277" s="31" t="str">
        <f t="shared" si="192"/>
        <v>0.994996491740707+0.737036364174368i</v>
      </c>
      <c r="AA277" s="17">
        <f t="shared" si="203"/>
        <v>1.2382409380616062</v>
      </c>
      <c r="AB277" s="17">
        <f t="shared" si="204"/>
        <v>0.63755004791884495</v>
      </c>
      <c r="AC277" s="66" t="str">
        <f t="shared" si="205"/>
        <v>-0.670358647376126-0.678467412200296i</v>
      </c>
      <c r="AD277" s="64">
        <f t="shared" si="206"/>
        <v>-0.41102404178859864</v>
      </c>
      <c r="AE277" s="61">
        <f t="shared" si="207"/>
        <v>-134.65555795624351</v>
      </c>
      <c r="AF277" s="31" t="str">
        <f t="shared" si="193"/>
        <v>-0.000106860158311346</v>
      </c>
      <c r="AG277" s="31" t="str">
        <f t="shared" si="194"/>
        <v>0.000112933254535222i</v>
      </c>
      <c r="AH277" s="31">
        <f t="shared" si="208"/>
        <v>1.12933254535222E-4</v>
      </c>
      <c r="AI277" s="31">
        <f t="shared" si="209"/>
        <v>1.5707963267948966</v>
      </c>
      <c r="AJ277" s="31" t="str">
        <f t="shared" si="195"/>
        <v>1+1.78285589888629i</v>
      </c>
      <c r="AK277" s="31">
        <f t="shared" si="210"/>
        <v>2.0441563433831669</v>
      </c>
      <c r="AL277" s="31">
        <f t="shared" si="211"/>
        <v>1.0596247804530197</v>
      </c>
      <c r="AM277" s="31" t="str">
        <f t="shared" si="196"/>
        <v>1+11.4399920178536i</v>
      </c>
      <c r="AN277" s="31">
        <f t="shared" si="212"/>
        <v>11.483615169821482</v>
      </c>
      <c r="AO277" s="31">
        <f t="shared" si="213"/>
        <v>1.4836053023946998</v>
      </c>
      <c r="AP277" s="58" t="str">
        <f t="shared" si="214"/>
        <v>-2.18682537392576+4.84501853962686i</v>
      </c>
      <c r="AQ277" s="49">
        <f t="shared" si="215"/>
        <v>14.511169814791231</v>
      </c>
      <c r="AR277" s="61">
        <f t="shared" si="216"/>
        <v>114.29229450301219</v>
      </c>
      <c r="AS277" s="58" t="str">
        <f t="shared" si="217"/>
        <v>4.75314449035576-1.76421032235516i</v>
      </c>
      <c r="AT277" s="64">
        <f t="shared" si="218"/>
        <v>14.100145773002637</v>
      </c>
      <c r="AU277" s="61">
        <f t="shared" si="219"/>
        <v>-20.363263453231315</v>
      </c>
    </row>
    <row r="278" spans="14:47" x14ac:dyDescent="0.35">
      <c r="N278" s="10">
        <v>60</v>
      </c>
      <c r="O278" s="50">
        <f t="shared" si="187"/>
        <v>3981.0717055349769</v>
      </c>
      <c r="P278" s="48" t="str">
        <f t="shared" si="188"/>
        <v>547.187404092767</v>
      </c>
      <c r="Q278" s="17" t="str">
        <f t="shared" si="189"/>
        <v>1+479.72315364562i</v>
      </c>
      <c r="R278" s="17">
        <f t="shared" si="197"/>
        <v>479.72419591229618</v>
      </c>
      <c r="S278" s="17">
        <f t="shared" si="198"/>
        <v>1.5687117941973459</v>
      </c>
      <c r="T278" s="17" t="str">
        <f t="shared" si="190"/>
        <v>1+0.00907729147794318i</v>
      </c>
      <c r="U278" s="17">
        <f t="shared" si="199"/>
        <v>1.0000411977616599</v>
      </c>
      <c r="V278" s="17">
        <f t="shared" si="200"/>
        <v>9.0770421757387695E-3</v>
      </c>
      <c r="W278" s="31" t="str">
        <f t="shared" si="191"/>
        <v>1-0.157629417083268i</v>
      </c>
      <c r="X278" s="17">
        <f t="shared" si="201"/>
        <v>1.0123472887947154</v>
      </c>
      <c r="Y278" s="17">
        <f t="shared" si="202"/>
        <v>-0.1563430003716095</v>
      </c>
      <c r="Z278" s="31" t="str">
        <f t="shared" si="192"/>
        <v>0.994760683661286+0.754204146515715i</v>
      </c>
      <c r="AA278" s="17">
        <f t="shared" si="203"/>
        <v>1.2483479933014541</v>
      </c>
      <c r="AB278" s="17">
        <f t="shared" si="204"/>
        <v>0.64871354676388371</v>
      </c>
      <c r="AC278" s="66" t="str">
        <f t="shared" si="205"/>
        <v>-0.659629633073237-0.648514316342442i</v>
      </c>
      <c r="AD278" s="64">
        <f t="shared" si="206"/>
        <v>-0.67687567466431586</v>
      </c>
      <c r="AE278" s="61">
        <f t="shared" si="207"/>
        <v>-135.48683129300937</v>
      </c>
      <c r="AF278" s="31" t="str">
        <f t="shared" si="193"/>
        <v>-0.000106860158311346</v>
      </c>
      <c r="AG278" s="31" t="str">
        <f t="shared" si="194"/>
        <v>0.000115563807961351i</v>
      </c>
      <c r="AH278" s="31">
        <f t="shared" si="208"/>
        <v>1.15563807961351E-4</v>
      </c>
      <c r="AI278" s="31">
        <f t="shared" si="209"/>
        <v>1.5707963267948966</v>
      </c>
      <c r="AJ278" s="31" t="str">
        <f t="shared" si="195"/>
        <v>1+1.82438394757674i</v>
      </c>
      <c r="AK278" s="31">
        <f t="shared" si="210"/>
        <v>2.080475135197652</v>
      </c>
      <c r="AL278" s="31">
        <f t="shared" si="211"/>
        <v>1.0693897701300628</v>
      </c>
      <c r="AM278" s="31" t="str">
        <f t="shared" si="196"/>
        <v>1+11.7064636636174i</v>
      </c>
      <c r="AN278" s="31">
        <f t="shared" si="212"/>
        <v>11.749097476299807</v>
      </c>
      <c r="AO278" s="31">
        <f t="shared" si="213"/>
        <v>1.4855803071665508</v>
      </c>
      <c r="AP278" s="58" t="str">
        <f t="shared" si="214"/>
        <v>-2.11114111030787+4.77621728626758i</v>
      </c>
      <c r="AQ278" s="49">
        <f t="shared" si="215"/>
        <v>14.35671893163784</v>
      </c>
      <c r="AR278" s="61">
        <f t="shared" si="216"/>
        <v>113.8459612454739</v>
      </c>
      <c r="AS278" s="58" t="str">
        <f t="shared" si="217"/>
        <v>4.49001652406498-1.781429222165i</v>
      </c>
      <c r="AT278" s="64">
        <f t="shared" si="218"/>
        <v>13.67984325697352</v>
      </c>
      <c r="AU278" s="61">
        <f t="shared" si="219"/>
        <v>-21.640870047535437</v>
      </c>
    </row>
    <row r="279" spans="14:47" x14ac:dyDescent="0.35">
      <c r="N279" s="10">
        <v>61</v>
      </c>
      <c r="O279" s="50">
        <f t="shared" si="187"/>
        <v>4073.8027780411317</v>
      </c>
      <c r="P279" s="48" t="str">
        <f t="shared" si="188"/>
        <v>547.187404092767</v>
      </c>
      <c r="Q279" s="17" t="str">
        <f t="shared" si="189"/>
        <v>1+490.897341360387i</v>
      </c>
      <c r="R279" s="17">
        <f t="shared" si="197"/>
        <v>490.8983599022269</v>
      </c>
      <c r="S279" s="17">
        <f t="shared" si="198"/>
        <v>1.5687592438194771</v>
      </c>
      <c r="T279" s="17" t="str">
        <f t="shared" si="190"/>
        <v>1+0.00928872875826908i</v>
      </c>
      <c r="U279" s="17">
        <f t="shared" si="199"/>
        <v>1.0000431393104723</v>
      </c>
      <c r="V279" s="17">
        <f t="shared" si="200"/>
        <v>9.2884616267665792E-3</v>
      </c>
      <c r="W279" s="31" t="str">
        <f t="shared" si="191"/>
        <v>1-0.161301077878608i</v>
      </c>
      <c r="X279" s="17">
        <f t="shared" si="201"/>
        <v>1.0129254847839504</v>
      </c>
      <c r="Y279" s="17">
        <f t="shared" si="202"/>
        <v>-0.1599236057382058</v>
      </c>
      <c r="Z279" s="31" t="str">
        <f t="shared" si="192"/>
        <v>0.994513762289463+0.771771817878619i</v>
      </c>
      <c r="AA279" s="17">
        <f t="shared" si="203"/>
        <v>1.258844455147184</v>
      </c>
      <c r="AB279" s="17">
        <f t="shared" si="204"/>
        <v>0.65995280865221895</v>
      </c>
      <c r="AC279" s="66" t="str">
        <f t="shared" si="205"/>
        <v>-0.648753144885175-0.619387020568947i</v>
      </c>
      <c r="AD279" s="64">
        <f t="shared" si="206"/>
        <v>-0.94462656142785395</v>
      </c>
      <c r="AE279" s="61">
        <f t="shared" si="207"/>
        <v>-136.32655236049783</v>
      </c>
      <c r="AF279" s="31" t="str">
        <f t="shared" si="193"/>
        <v>-0.000106860158311346</v>
      </c>
      <c r="AG279" s="31" t="str">
        <f t="shared" si="194"/>
        <v>0.00011825563484813i</v>
      </c>
      <c r="AH279" s="31">
        <f t="shared" si="208"/>
        <v>1.1825563484813E-4</v>
      </c>
      <c r="AI279" s="31">
        <f t="shared" si="209"/>
        <v>1.5707963267948966</v>
      </c>
      <c r="AJ279" s="31" t="str">
        <f t="shared" si="195"/>
        <v>1+1.86687930878478i</v>
      </c>
      <c r="AK279" s="31">
        <f t="shared" si="210"/>
        <v>2.1178381320508746</v>
      </c>
      <c r="AL279" s="31">
        <f t="shared" si="211"/>
        <v>1.0790345643265675</v>
      </c>
      <c r="AM279" s="31" t="str">
        <f t="shared" si="196"/>
        <v>1+11.979142231369i</v>
      </c>
      <c r="AN279" s="31">
        <f t="shared" si="212"/>
        <v>12.020808982733577</v>
      </c>
      <c r="AO279" s="31">
        <f t="shared" si="213"/>
        <v>1.4875109994954792</v>
      </c>
      <c r="AP279" s="58" t="str">
        <f t="shared" si="214"/>
        <v>-2.0373084902276+4.70704599163696i</v>
      </c>
      <c r="AQ279" s="49">
        <f t="shared" si="215"/>
        <v>14.200698035457124</v>
      </c>
      <c r="AR279" s="61">
        <f t="shared" si="216"/>
        <v>113.40397576572784</v>
      </c>
      <c r="AS279" s="58" t="str">
        <f t="shared" si="217"/>
        <v>4.23719348257745-1.79182845445174i</v>
      </c>
      <c r="AT279" s="64">
        <f t="shared" si="218"/>
        <v>13.256071474029278</v>
      </c>
      <c r="AU279" s="61">
        <f t="shared" si="219"/>
        <v>-22.922576594769939</v>
      </c>
    </row>
    <row r="280" spans="14:47" x14ac:dyDescent="0.35">
      <c r="N280" s="10">
        <v>62</v>
      </c>
      <c r="O280" s="50">
        <f t="shared" si="187"/>
        <v>4168.6938347033583</v>
      </c>
      <c r="P280" s="48" t="str">
        <f t="shared" si="188"/>
        <v>547.187404092767</v>
      </c>
      <c r="Q280" s="17" t="str">
        <f t="shared" si="189"/>
        <v>1+502.331809343338i</v>
      </c>
      <c r="R280" s="17">
        <f t="shared" si="197"/>
        <v>502.33280470038159</v>
      </c>
      <c r="S280" s="17">
        <f t="shared" si="198"/>
        <v>1.5688056133652077</v>
      </c>
      <c r="T280" s="17" t="str">
        <f t="shared" si="190"/>
        <v>1+0.00950509104553347i</v>
      </c>
      <c r="U280" s="17">
        <f t="shared" si="199"/>
        <v>1.0000451723576209</v>
      </c>
      <c r="V280" s="17">
        <f t="shared" si="200"/>
        <v>9.5048048096698003E-3</v>
      </c>
      <c r="W280" s="31" t="str">
        <f t="shared" si="191"/>
        <v>1-0.165058262640513i</v>
      </c>
      <c r="X280" s="17">
        <f t="shared" si="201"/>
        <v>1.0135305767789666</v>
      </c>
      <c r="Y280" s="17">
        <f t="shared" si="202"/>
        <v>-0.16358333677003242</v>
      </c>
      <c r="Z280" s="31" t="str">
        <f t="shared" si="192"/>
        <v>0.994255203871903+0.789748692874971i</v>
      </c>
      <c r="AA280" s="17">
        <f t="shared" si="203"/>
        <v>1.26974265436902</v>
      </c>
      <c r="AB280" s="17">
        <f t="shared" si="204"/>
        <v>0.67126292312431646</v>
      </c>
      <c r="AC280" s="66" t="str">
        <f t="shared" si="205"/>
        <v>-0.637738453567874-0.591079248791807i</v>
      </c>
      <c r="AD280" s="64">
        <f t="shared" si="206"/>
        <v>-1.2142937007664081</v>
      </c>
      <c r="AE280" s="61">
        <f t="shared" si="207"/>
        <v>-137.1745225557971</v>
      </c>
      <c r="AF280" s="31" t="str">
        <f t="shared" si="193"/>
        <v>-0.000106860158311346</v>
      </c>
      <c r="AG280" s="31" t="str">
        <f t="shared" si="194"/>
        <v>0.000121010162437803i</v>
      </c>
      <c r="AH280" s="31">
        <f t="shared" si="208"/>
        <v>1.21010162437803E-4</v>
      </c>
      <c r="AI280" s="31">
        <f t="shared" si="209"/>
        <v>1.5707963267948966</v>
      </c>
      <c r="AJ280" s="31" t="str">
        <f t="shared" si="195"/>
        <v>1+1.9103645141134i</v>
      </c>
      <c r="AK280" s="31">
        <f t="shared" si="210"/>
        <v>2.1562682061338583</v>
      </c>
      <c r="AL280" s="31">
        <f t="shared" si="211"/>
        <v>1.0885570986276469</v>
      </c>
      <c r="AM280" s="31" t="str">
        <f t="shared" si="196"/>
        <v>1+12.2581722988943i</v>
      </c>
      <c r="AN280" s="31">
        <f t="shared" si="212"/>
        <v>12.298893775839337</v>
      </c>
      <c r="AO280" s="31">
        <f t="shared" si="213"/>
        <v>1.4893983454537401</v>
      </c>
      <c r="AP280" s="58" t="str">
        <f t="shared" si="214"/>
        <v>-1.96533579256536+4.63757539437926i</v>
      </c>
      <c r="AQ280" s="49">
        <f t="shared" si="215"/>
        <v>14.043144811421509</v>
      </c>
      <c r="AR280" s="61">
        <f t="shared" si="216"/>
        <v>112.96651169789679</v>
      </c>
      <c r="AS280" s="58" t="str">
        <f t="shared" si="217"/>
        <v>3.99454478941729-1.79589095642267i</v>
      </c>
      <c r="AT280" s="64">
        <f t="shared" si="218"/>
        <v>12.828851110655108</v>
      </c>
      <c r="AU280" s="61">
        <f t="shared" si="219"/>
        <v>-24.208010857900302</v>
      </c>
    </row>
    <row r="281" spans="14:47" x14ac:dyDescent="0.35">
      <c r="N281" s="10">
        <v>63</v>
      </c>
      <c r="O281" s="50">
        <f t="shared" si="187"/>
        <v>4265.7951880159299</v>
      </c>
      <c r="P281" s="48" t="str">
        <f t="shared" si="188"/>
        <v>547.187404092767</v>
      </c>
      <c r="Q281" s="17" t="str">
        <f t="shared" si="189"/>
        <v>1+514.03262030075i</v>
      </c>
      <c r="R281" s="17">
        <f t="shared" si="197"/>
        <v>514.03359300074442</v>
      </c>
      <c r="S281" s="17">
        <f t="shared" si="198"/>
        <v>1.5688509274194866</v>
      </c>
      <c r="T281" s="17" t="str">
        <f t="shared" si="190"/>
        <v>1+0.00972649305788495i</v>
      </c>
      <c r="U281" s="17">
        <f t="shared" si="199"/>
        <v>1.0000473012149</v>
      </c>
      <c r="V281" s="17">
        <f t="shared" si="200"/>
        <v>9.7261863514146746E-3</v>
      </c>
      <c r="W281" s="31" t="str">
        <f t="shared" si="191"/>
        <v>1-0.168902963478073i</v>
      </c>
      <c r="X281" s="17">
        <f t="shared" si="201"/>
        <v>1.0141637989356924</v>
      </c>
      <c r="Y281" s="17">
        <f t="shared" si="202"/>
        <v>-0.16732374156921923</v>
      </c>
      <c r="Z281" s="31" t="str">
        <f t="shared" si="192"/>
        <v>0.993984459971537+0.808144303081843i</v>
      </c>
      <c r="AA281" s="17">
        <f t="shared" si="203"/>
        <v>1.2810551593387949</v>
      </c>
      <c r="AB281" s="17">
        <f t="shared" si="204"/>
        <v>0.6826388187707253</v>
      </c>
      <c r="AC281" s="66" t="str">
        <f t="shared" si="205"/>
        <v>-0.626595326559654-0.563584593143267i</v>
      </c>
      <c r="AD281" s="64">
        <f t="shared" si="206"/>
        <v>-1.4858918753087382</v>
      </c>
      <c r="AE281" s="61">
        <f t="shared" si="207"/>
        <v>-138.03053484924021</v>
      </c>
      <c r="AF281" s="31" t="str">
        <f t="shared" si="193"/>
        <v>-0.000106860158311346</v>
      </c>
      <c r="AG281" s="31" t="str">
        <f t="shared" si="194"/>
        <v>0.000123828851217359i</v>
      </c>
      <c r="AH281" s="31">
        <f t="shared" si="208"/>
        <v>1.23828851217359E-4</v>
      </c>
      <c r="AI281" s="31">
        <f t="shared" si="209"/>
        <v>1.5707963267948966</v>
      </c>
      <c r="AJ281" s="31" t="str">
        <f t="shared" si="195"/>
        <v>1+1.95486261999407i</v>
      </c>
      <c r="AK281" s="31">
        <f t="shared" si="210"/>
        <v>2.1957886653888345</v>
      </c>
      <c r="AL281" s="31">
        <f t="shared" si="211"/>
        <v>1.0979555132465582</v>
      </c>
      <c r="AM281" s="31" t="str">
        <f t="shared" si="196"/>
        <v>1+12.5437018116286i</v>
      </c>
      <c r="AN281" s="31">
        <f t="shared" si="212"/>
        <v>12.58349932010387</v>
      </c>
      <c r="AO281" s="31">
        <f t="shared" si="213"/>
        <v>1.4912432919242644</v>
      </c>
      <c r="AP281" s="58" t="str">
        <f t="shared" si="214"/>
        <v>-1.89522704152147+4.56787506429409i</v>
      </c>
      <c r="AQ281" s="49">
        <f t="shared" si="215"/>
        <v>13.884097207730008</v>
      </c>
      <c r="AR281" s="61">
        <f t="shared" si="216"/>
        <v>112.53372985230781</v>
      </c>
      <c r="AS281" s="58" t="str">
        <f t="shared" si="217"/>
        <v>3.76192441662629-1.79408840648506i</v>
      </c>
      <c r="AT281" s="64">
        <f t="shared" si="218"/>
        <v>12.398205332421266</v>
      </c>
      <c r="AU281" s="61">
        <f t="shared" si="219"/>
        <v>-25.49680499693239</v>
      </c>
    </row>
    <row r="282" spans="14:47" x14ac:dyDescent="0.35">
      <c r="N282" s="10">
        <v>64</v>
      </c>
      <c r="O282" s="50">
        <f t="shared" si="187"/>
        <v>4365.1583224016631</v>
      </c>
      <c r="P282" s="48" t="str">
        <f t="shared" si="188"/>
        <v>547.187404092767</v>
      </c>
      <c r="Q282" s="17" t="str">
        <f t="shared" si="189"/>
        <v>1+526.00597815747i</v>
      </c>
      <c r="R282" s="17">
        <f t="shared" si="197"/>
        <v>526.00692871615001</v>
      </c>
      <c r="S282" s="17">
        <f t="shared" si="198"/>
        <v>1.5688952100076803</v>
      </c>
      <c r="T282" s="17" t="str">
        <f t="shared" si="190"/>
        <v>1+0.00995305218560105i</v>
      </c>
      <c r="U282" s="17">
        <f t="shared" si="199"/>
        <v>1.0000495303972745</v>
      </c>
      <c r="V282" s="17">
        <f t="shared" si="200"/>
        <v>9.9527235445762037E-3</v>
      </c>
      <c r="W282" s="31" t="str">
        <f t="shared" si="191"/>
        <v>1-0.172837218902564i</v>
      </c>
      <c r="X282" s="17">
        <f t="shared" si="201"/>
        <v>1.0148264404507663</v>
      </c>
      <c r="Y282" s="17">
        <f t="shared" si="202"/>
        <v>-0.17114638449180164</v>
      </c>
      <c r="Z282" s="31" t="str">
        <f t="shared" si="192"/>
        <v>0.993700956304254+0.826968402095262i</v>
      </c>
      <c r="AA282" s="17">
        <f t="shared" si="203"/>
        <v>1.292794774364431</v>
      </c>
      <c r="AB282" s="17">
        <f t="shared" si="204"/>
        <v>0.69407527368986277</v>
      </c>
      <c r="AC282" s="66" t="str">
        <f t="shared" si="205"/>
        <v>-0.615334000665904-0.536896466254257i</v>
      </c>
      <c r="AD282" s="64">
        <f t="shared" si="206"/>
        <v>-1.7594335408559727</v>
      </c>
      <c r="AE282" s="61">
        <f t="shared" si="207"/>
        <v>-138.89437433508644</v>
      </c>
      <c r="AF282" s="31" t="str">
        <f t="shared" si="193"/>
        <v>-0.000106860158311346</v>
      </c>
      <c r="AG282" s="31" t="str">
        <f t="shared" si="194"/>
        <v>0.0001267131956929i</v>
      </c>
      <c r="AH282" s="31">
        <f t="shared" si="208"/>
        <v>1.2671319569290001E-4</v>
      </c>
      <c r="AI282" s="31">
        <f t="shared" si="209"/>
        <v>1.5707963267948966</v>
      </c>
      <c r="AJ282" s="31" t="str">
        <f t="shared" si="195"/>
        <v>1+2.00039721991152i</v>
      </c>
      <c r="AK282" s="31">
        <f t="shared" si="210"/>
        <v>2.2364232688446384</v>
      </c>
      <c r="AL282" s="31">
        <f t="shared" si="211"/>
        <v>1.10722814915554</v>
      </c>
      <c r="AM282" s="31" t="str">
        <f t="shared" si="196"/>
        <v>1+12.8358821610989i</v>
      </c>
      <c r="AN282" s="31">
        <f t="shared" si="212"/>
        <v>12.874776536065275</v>
      </c>
      <c r="AO282" s="31">
        <f t="shared" si="213"/>
        <v>1.493046766855048</v>
      </c>
      <c r="AP282" s="58" t="str">
        <f t="shared" si="214"/>
        <v>-1.82698220706189+4.49801317502781i</v>
      </c>
      <c r="AQ282" s="49">
        <f t="shared" si="215"/>
        <v>13.723593339177382</v>
      </c>
      <c r="AR282" s="61">
        <f t="shared" si="216"/>
        <v>112.10577845175307</v>
      </c>
      <c r="AS282" s="58" t="str">
        <f t="shared" si="217"/>
        <v>3.53917164945434-1.78688015115688i</v>
      </c>
      <c r="AT282" s="64">
        <f t="shared" si="218"/>
        <v>11.964159798321418</v>
      </c>
      <c r="AU282" s="61">
        <f t="shared" si="219"/>
        <v>-26.788595883333389</v>
      </c>
    </row>
    <row r="283" spans="14:47" x14ac:dyDescent="0.35">
      <c r="N283" s="10">
        <v>65</v>
      </c>
      <c r="O283" s="50">
        <f t="shared" si="187"/>
        <v>4466.8359215096343</v>
      </c>
      <c r="P283" s="48" t="str">
        <f t="shared" si="188"/>
        <v>547.187404092767</v>
      </c>
      <c r="Q283" s="17" t="str">
        <f t="shared" si="189"/>
        <v>1+538.258231346322i</v>
      </c>
      <c r="R283" s="17">
        <f t="shared" si="197"/>
        <v>538.25916026768243</v>
      </c>
      <c r="S283" s="17">
        <f t="shared" si="198"/>
        <v>1.5689384846083079</v>
      </c>
      <c r="T283" s="17" t="str">
        <f t="shared" si="190"/>
        <v>1+0.0101848885533302i</v>
      </c>
      <c r="U283" s="17">
        <f t="shared" si="199"/>
        <v>1.0000518646324519</v>
      </c>
      <c r="V283" s="17">
        <f t="shared" si="200"/>
        <v>1.0184536409113938E-2</v>
      </c>
      <c r="W283" s="31" t="str">
        <f t="shared" si="191"/>
        <v>1-0.176863114908288i</v>
      </c>
      <c r="X283" s="17">
        <f t="shared" si="201"/>
        <v>1.0155198478685989</v>
      </c>
      <c r="Y283" s="17">
        <f t="shared" si="202"/>
        <v>-0.17505284525962306</v>
      </c>
      <c r="Z283" s="31" t="str">
        <f t="shared" si="192"/>
        <v>0.993404091520764+0.846230970701694i</v>
      </c>
      <c r="AA283" s="17">
        <f t="shared" si="203"/>
        <v>1.3049745379987021</v>
      </c>
      <c r="AB283" s="17">
        <f t="shared" si="204"/>
        <v>0.70556692683173472</v>
      </c>
      <c r="AC283" s="66" t="str">
        <f t="shared" si="205"/>
        <v>-0.603965150925306-0.511008055703497i</v>
      </c>
      <c r="AD283" s="64">
        <f t="shared" si="206"/>
        <v>-2.0349287210453606</v>
      </c>
      <c r="AE283" s="61">
        <f t="shared" si="207"/>
        <v>-139.76581882777475</v>
      </c>
      <c r="AF283" s="31" t="str">
        <f t="shared" si="193"/>
        <v>-0.000106860158311346</v>
      </c>
      <c r="AG283" s="31" t="str">
        <f t="shared" si="194"/>
        <v>0.000129664725182044i</v>
      </c>
      <c r="AH283" s="31">
        <f t="shared" si="208"/>
        <v>1.2966472518204401E-4</v>
      </c>
      <c r="AI283" s="31">
        <f t="shared" si="209"/>
        <v>1.5707963267948966</v>
      </c>
      <c r="AJ283" s="31" t="str">
        <f t="shared" si="195"/>
        <v>1+2.04699245691337i</v>
      </c>
      <c r="AK283" s="31">
        <f t="shared" si="210"/>
        <v>2.2781962423505653</v>
      </c>
      <c r="AL283" s="31">
        <f t="shared" si="211"/>
        <v>1.1163735436861784</v>
      </c>
      <c r="AM283" s="31" t="str">
        <f t="shared" si="196"/>
        <v>1+13.1348682651941i</v>
      </c>
      <c r="AN283" s="31">
        <f t="shared" si="212"/>
        <v>13.172879880421105</v>
      </c>
      <c r="AO283" s="31">
        <f t="shared" si="213"/>
        <v>1.4948096795194439</v>
      </c>
      <c r="AP283" s="58" t="str">
        <f t="shared" si="214"/>
        <v>-1.76059741486846+4.42805629890416i</v>
      </c>
      <c r="AQ283" s="49">
        <f t="shared" si="215"/>
        <v>13.561671395438989</v>
      </c>
      <c r="AR283" s="61">
        <f t="shared" si="216"/>
        <v>111.68279339848561</v>
      </c>
      <c r="AS283" s="58" t="str">
        <f t="shared" si="217"/>
        <v>3.32611192323837-1.77471222902487i</v>
      </c>
      <c r="AT283" s="64">
        <f t="shared" si="218"/>
        <v>11.526742674393624</v>
      </c>
      <c r="AU283" s="61">
        <f t="shared" si="219"/>
        <v>-28.083025429289183</v>
      </c>
    </row>
    <row r="284" spans="14:47" x14ac:dyDescent="0.35">
      <c r="N284" s="10">
        <v>66</v>
      </c>
      <c r="O284" s="50">
        <f t="shared" ref="O284:O318" si="220">10^(3+(N284/100))</f>
        <v>4570.8818961487532</v>
      </c>
      <c r="P284" s="48" t="str">
        <f t="shared" si="188"/>
        <v>547.187404092767</v>
      </c>
      <c r="Q284" s="17" t="str">
        <f t="shared" si="189"/>
        <v>1+550.795876174125i</v>
      </c>
      <c r="R284" s="17">
        <f t="shared" si="197"/>
        <v>550.79678395068902</v>
      </c>
      <c r="S284" s="17">
        <f t="shared" si="198"/>
        <v>1.5689807741654869</v>
      </c>
      <c r="T284" s="17" t="str">
        <f t="shared" si="190"/>
        <v>1+0.0104221250837833i</v>
      </c>
      <c r="U284" s="17">
        <f t="shared" si="199"/>
        <v>1.0000543088709042</v>
      </c>
      <c r="V284" s="17">
        <f t="shared" si="200"/>
        <v>1.0421747755564047E-2</v>
      </c>
      <c r="W284" s="31" t="str">
        <f t="shared" si="191"/>
        <v>1-0.180982786078597i</v>
      </c>
      <c r="X284" s="17">
        <f t="shared" si="201"/>
        <v>1.0162454274715194</v>
      </c>
      <c r="Y284" s="17">
        <f t="shared" si="202"/>
        <v>-0.17904471797797597</v>
      </c>
      <c r="Z284" s="31" t="str">
        <f t="shared" si="192"/>
        <v>0.993093235931061+0.865942222169984i</v>
      </c>
      <c r="AA284" s="17">
        <f t="shared" si="203"/>
        <v>1.3176077213604647</v>
      </c>
      <c r="AB284" s="17">
        <f t="shared" si="204"/>
        <v>0.71710829017818867</v>
      </c>
      <c r="AC284" s="66" t="str">
        <f t="shared" si="205"/>
        <v>-0.592499855825343-0.485912281039495i</v>
      </c>
      <c r="AD284" s="64">
        <f t="shared" si="206"/>
        <v>-2.3123849081835637</v>
      </c>
      <c r="AE284" s="61">
        <f t="shared" si="207"/>
        <v>-140.64463950060824</v>
      </c>
      <c r="AF284" s="31" t="str">
        <f t="shared" si="193"/>
        <v>-0.000106860158311346</v>
      </c>
      <c r="AG284" s="31" t="str">
        <f t="shared" si="194"/>
        <v>0.000132685004624796i</v>
      </c>
      <c r="AH284" s="31">
        <f t="shared" si="208"/>
        <v>1.32685004624796E-4</v>
      </c>
      <c r="AI284" s="31">
        <f t="shared" si="209"/>
        <v>1.5707963267948966</v>
      </c>
      <c r="AJ284" s="31" t="str">
        <f t="shared" si="195"/>
        <v>1+2.09467303641101i</v>
      </c>
      <c r="AK284" s="31">
        <f t="shared" si="210"/>
        <v>2.3211322946931139</v>
      </c>
      <c r="AL284" s="31">
        <f t="shared" si="211"/>
        <v>1.1253904256546621</v>
      </c>
      <c r="AM284" s="31" t="str">
        <f t="shared" si="196"/>
        <v>1+13.440818650304i</v>
      </c>
      <c r="AN284" s="31">
        <f t="shared" si="212"/>
        <v>13.477967428004854</v>
      </c>
      <c r="AO284" s="31">
        <f t="shared" si="213"/>
        <v>1.4965329207814806</v>
      </c>
      <c r="AP284" s="58" t="str">
        <f t="shared" si="214"/>
        <v>-1.69606516357025+4.35806922381728i</v>
      </c>
      <c r="AQ284" s="49">
        <f t="shared" si="215"/>
        <v>13.398369554245736</v>
      </c>
      <c r="AR284" s="61">
        <f t="shared" si="216"/>
        <v>111.26489856872153</v>
      </c>
      <c r="AS284" s="58" t="str">
        <f t="shared" si="217"/>
        <v>3.12255772235884-1.75801649436656i</v>
      </c>
      <c r="AT284" s="64">
        <f t="shared" si="218"/>
        <v>11.085984646062183</v>
      </c>
      <c r="AU284" s="61">
        <f t="shared" si="219"/>
        <v>-29.37974093188669</v>
      </c>
    </row>
    <row r="285" spans="14:47" x14ac:dyDescent="0.35">
      <c r="N285" s="10">
        <v>67</v>
      </c>
      <c r="O285" s="50">
        <f t="shared" si="220"/>
        <v>4677.3514128719844</v>
      </c>
      <c r="P285" s="48" t="str">
        <f t="shared" si="188"/>
        <v>547.187404092767</v>
      </c>
      <c r="Q285" s="17" t="str">
        <f t="shared" si="189"/>
        <v>1+563.625560266119i</v>
      </c>
      <c r="R285" s="17">
        <f t="shared" si="197"/>
        <v>563.62644737919857</v>
      </c>
      <c r="S285" s="17">
        <f t="shared" si="198"/>
        <v>1.569022101101095</v>
      </c>
      <c r="T285" s="17" t="str">
        <f t="shared" si="190"/>
        <v>1+0.0106648875629089i</v>
      </c>
      <c r="U285" s="17">
        <f t="shared" si="199"/>
        <v>1.0000568682963631</v>
      </c>
      <c r="V285" s="17">
        <f t="shared" si="200"/>
        <v>1.0664483249679287E-2</v>
      </c>
      <c r="W285" s="31" t="str">
        <f t="shared" si="191"/>
        <v>1-0.185198416717675i</v>
      </c>
      <c r="X285" s="17">
        <f t="shared" si="201"/>
        <v>1.0170046477547356</v>
      </c>
      <c r="Y285" s="17">
        <f t="shared" si="202"/>
        <v>-0.18312361005337716</v>
      </c>
      <c r="Z285" s="31" t="str">
        <f t="shared" si="192"/>
        <v>0.992767730168762+0.886112607666568i</v>
      </c>
      <c r="AA285" s="17">
        <f t="shared" si="203"/>
        <v>1.3307078265081635</v>
      </c>
      <c r="AB285" s="17">
        <f t="shared" si="204"/>
        <v>0.72869376170141509</v>
      </c>
      <c r="AC285" s="66" t="str">
        <f t="shared" si="205"/>
        <v>-0.580949559083578-0.46160175376214i</v>
      </c>
      <c r="AD285" s="64">
        <f t="shared" si="206"/>
        <v>-2.5918069709533578</v>
      </c>
      <c r="AE285" s="61">
        <f t="shared" si="207"/>
        <v>-141.53060156320771</v>
      </c>
      <c r="AF285" s="31" t="str">
        <f t="shared" si="193"/>
        <v>-0.000106860158311346</v>
      </c>
      <c r="AG285" s="31" t="str">
        <f t="shared" si="194"/>
        <v>0.000135775635413293i</v>
      </c>
      <c r="AH285" s="31">
        <f t="shared" si="208"/>
        <v>1.3577563541329301E-4</v>
      </c>
      <c r="AI285" s="31">
        <f t="shared" si="209"/>
        <v>1.5707963267948966</v>
      </c>
      <c r="AJ285" s="31" t="str">
        <f t="shared" si="195"/>
        <v>1+2.14346423927884i</v>
      </c>
      <c r="AK285" s="31">
        <f t="shared" si="210"/>
        <v>2.3652566340816414</v>
      </c>
      <c r="AL285" s="31">
        <f t="shared" si="211"/>
        <v>1.1342777100669532</v>
      </c>
      <c r="AM285" s="31" t="str">
        <f t="shared" si="196"/>
        <v>1+13.7538955353725i</v>
      </c>
      <c r="AN285" s="31">
        <f t="shared" si="212"/>
        <v>13.790200955676447</v>
      </c>
      <c r="AO285" s="31">
        <f t="shared" si="213"/>
        <v>1.498217363365421</v>
      </c>
      <c r="AP285" s="58" t="str">
        <f t="shared" si="214"/>
        <v>-1.6333745471433+4.28811479190438i</v>
      </c>
      <c r="AQ285" s="49">
        <f t="shared" si="215"/>
        <v>13.23372589957993</v>
      </c>
      <c r="AR285" s="61">
        <f t="shared" si="216"/>
        <v>110.85220613145658</v>
      </c>
      <c r="AS285" s="58" t="str">
        <f t="shared" si="217"/>
        <v>2.92830953125767-1.73720984214483i</v>
      </c>
      <c r="AT285" s="64">
        <f t="shared" si="218"/>
        <v>10.641918928626563</v>
      </c>
      <c r="AU285" s="61">
        <f t="shared" si="219"/>
        <v>-30.678395431751152</v>
      </c>
    </row>
    <row r="286" spans="14:47" x14ac:dyDescent="0.35">
      <c r="N286" s="10">
        <v>68</v>
      </c>
      <c r="O286" s="50">
        <f t="shared" si="220"/>
        <v>4786.3009232263848</v>
      </c>
      <c r="P286" s="48" t="str">
        <f t="shared" si="188"/>
        <v>547.187404092767</v>
      </c>
      <c r="Q286" s="17" t="str">
        <f t="shared" si="189"/>
        <v>1+576.754086090634i</v>
      </c>
      <c r="R286" s="17">
        <f t="shared" si="197"/>
        <v>576.75495301058527</v>
      </c>
      <c r="S286" s="17">
        <f t="shared" si="198"/>
        <v>1.5690624873266554</v>
      </c>
      <c r="T286" s="17" t="str">
        <f t="shared" si="190"/>
        <v>1+0.0109133047065868i</v>
      </c>
      <c r="U286" s="17">
        <f t="shared" si="199"/>
        <v>1.0000595483368071</v>
      </c>
      <c r="V286" s="17">
        <f t="shared" si="200"/>
        <v>1.0912871478549137E-2</v>
      </c>
      <c r="W286" s="31" t="str">
        <f t="shared" si="191"/>
        <v>1-0.189512242008688i</v>
      </c>
      <c r="X286" s="17">
        <f t="shared" si="201"/>
        <v>1.017799041987739</v>
      </c>
      <c r="Y286" s="17">
        <f t="shared" si="202"/>
        <v>-0.18729114100571598</v>
      </c>
      <c r="Z286" s="31" t="str">
        <f t="shared" si="192"/>
        <v>0.992426883792503+0.906752821796825i</v>
      </c>
      <c r="AA286" s="17">
        <f t="shared" si="203"/>
        <v>1.3442885849067541</v>
      </c>
      <c r="AB286" s="17">
        <f t="shared" si="204"/>
        <v>0.74031763903390102</v>
      </c>
      <c r="AC286" s="66" t="str">
        <f t="shared" si="205"/>
        <v>-0.569326028258492-0.438068740628714i</v>
      </c>
      <c r="AD286" s="64">
        <f t="shared" si="206"/>
        <v>-2.8731970696535187</v>
      </c>
      <c r="AE286" s="61">
        <f t="shared" si="207"/>
        <v>-142.42346497357619</v>
      </c>
      <c r="AF286" s="31" t="str">
        <f t="shared" si="193"/>
        <v>-0.000106860158311346</v>
      </c>
      <c r="AG286" s="31" t="str">
        <f t="shared" si="194"/>
        <v>0.000138938256240889i</v>
      </c>
      <c r="AH286" s="31">
        <f t="shared" si="208"/>
        <v>1.3893825624088901E-4</v>
      </c>
      <c r="AI286" s="31">
        <f t="shared" si="209"/>
        <v>1.5707963267948966</v>
      </c>
      <c r="AJ286" s="31" t="str">
        <f t="shared" si="195"/>
        <v>1+2.19339193525843i</v>
      </c>
      <c r="AK286" s="31">
        <f t="shared" si="210"/>
        <v>2.4105949849895398</v>
      </c>
      <c r="AL286" s="31">
        <f t="shared" si="211"/>
        <v>1.1430344924578069</v>
      </c>
      <c r="AM286" s="31" t="str">
        <f t="shared" si="196"/>
        <v>1+14.0742649179082i</v>
      </c>
      <c r="AN286" s="31">
        <f t="shared" si="212"/>
        <v>14.109746028170086</v>
      </c>
      <c r="AO286" s="31">
        <f t="shared" si="213"/>
        <v>1.4998638621288147</v>
      </c>
      <c r="AP286" s="58" t="str">
        <f t="shared" si="214"/>
        <v>-1.57251148049047+4.2182537595281i</v>
      </c>
      <c r="AQ286" s="49">
        <f t="shared" si="215"/>
        <v>13.067778344973721</v>
      </c>
      <c r="AR286" s="61">
        <f t="shared" si="216"/>
        <v>110.44481688846223</v>
      </c>
      <c r="AS286" s="58" t="str">
        <f t="shared" si="217"/>
        <v>2.74315682766733-1.71269353521593i</v>
      </c>
      <c r="AT286" s="64">
        <f t="shared" si="218"/>
        <v>10.194581275320196</v>
      </c>
      <c r="AU286" s="61">
        <f t="shared" si="219"/>
        <v>-31.978648085114003</v>
      </c>
    </row>
    <row r="287" spans="14:47" x14ac:dyDescent="0.35">
      <c r="N287" s="10">
        <v>69</v>
      </c>
      <c r="O287" s="50">
        <f t="shared" si="220"/>
        <v>4897.7881936844633</v>
      </c>
      <c r="P287" s="48" t="str">
        <f t="shared" si="188"/>
        <v>547.187404092767</v>
      </c>
      <c r="Q287" s="17" t="str">
        <f t="shared" si="189"/>
        <v>1+590.188414565838i</v>
      </c>
      <c r="R287" s="17">
        <f t="shared" si="197"/>
        <v>590.1892617523107</v>
      </c>
      <c r="S287" s="17">
        <f t="shared" si="198"/>
        <v>1.5691019542549522</v>
      </c>
      <c r="T287" s="17" t="str">
        <f t="shared" si="190"/>
        <v>1+0.0111675082288749i</v>
      </c>
      <c r="U287" s="17">
        <f t="shared" si="199"/>
        <v>1.0000623546759682</v>
      </c>
      <c r="V287" s="17">
        <f t="shared" si="200"/>
        <v>1.1167044018232193E-2</v>
      </c>
      <c r="W287" s="31" t="str">
        <f t="shared" si="191"/>
        <v>1-0.193926549198905i</v>
      </c>
      <c r="X287" s="17">
        <f t="shared" si="201"/>
        <v>1.0186302108636851</v>
      </c>
      <c r="Y287" s="17">
        <f t="shared" si="202"/>
        <v>-0.19154894116882495</v>
      </c>
      <c r="Z287" s="31" t="str">
        <f t="shared" si="192"/>
        <v>0.992069973821423+0.927873808275492i</v>
      </c>
      <c r="AA287" s="17">
        <f t="shared" si="203"/>
        <v>1.3583639560300853</v>
      </c>
      <c r="AB287" s="17">
        <f t="shared" si="204"/>
        <v>0.75197413377512246</v>
      </c>
      <c r="AC287" s="66" t="str">
        <f t="shared" si="205"/>
        <v>-0.557641310498339-0.415305130620789i</v>
      </c>
      <c r="AD287" s="64">
        <f t="shared" si="206"/>
        <v>-3.1565545795798871</v>
      </c>
      <c r="AE287" s="61">
        <f t="shared" si="207"/>
        <v>-143.32298518015068</v>
      </c>
      <c r="AF287" s="31" t="str">
        <f t="shared" si="193"/>
        <v>-0.000106860158311346</v>
      </c>
      <c r="AG287" s="31" t="str">
        <f t="shared" si="194"/>
        <v>0.00014217454397101i</v>
      </c>
      <c r="AH287" s="31">
        <f t="shared" si="208"/>
        <v>1.4217454397101001E-4</v>
      </c>
      <c r="AI287" s="31">
        <f t="shared" si="209"/>
        <v>1.5707963267948966</v>
      </c>
      <c r="AJ287" s="31" t="str">
        <f t="shared" si="195"/>
        <v>1+2.24448259667508i</v>
      </c>
      <c r="AK287" s="31">
        <f t="shared" si="210"/>
        <v>2.457173605339539</v>
      </c>
      <c r="AL287" s="31">
        <f t="shared" si="211"/>
        <v>1.1516600429163402</v>
      </c>
      <c r="AM287" s="31" t="str">
        <f t="shared" si="196"/>
        <v>1+14.4020966619984i</v>
      </c>
      <c r="AN287" s="31">
        <f t="shared" si="212"/>
        <v>14.436772085945856</v>
      </c>
      <c r="AO287" s="31">
        <f t="shared" si="213"/>
        <v>1.5014732543383558</v>
      </c>
      <c r="AP287" s="58" t="str">
        <f t="shared" si="214"/>
        <v>-1.51345892635108+4.14854467793845i</v>
      </c>
      <c r="AQ287" s="49">
        <f t="shared" si="215"/>
        <v>12.900564561953338</v>
      </c>
      <c r="AR287" s="61">
        <f t="shared" si="216"/>
        <v>110.04282063239904</v>
      </c>
      <c r="AS287" s="58" t="str">
        <f t="shared" si="217"/>
        <v>2.56687910843323-1.68485263376907i</v>
      </c>
      <c r="AT287" s="64">
        <f t="shared" si="218"/>
        <v>9.7440099823734432</v>
      </c>
      <c r="AU287" s="61">
        <f t="shared" si="219"/>
        <v>-33.280164547751625</v>
      </c>
    </row>
    <row r="288" spans="14:47" x14ac:dyDescent="0.35">
      <c r="N288" s="10">
        <v>70</v>
      </c>
      <c r="O288" s="50">
        <f t="shared" si="220"/>
        <v>5011.8723362727324</v>
      </c>
      <c r="P288" s="48" t="str">
        <f t="shared" si="188"/>
        <v>547.187404092767</v>
      </c>
      <c r="Q288" s="17" t="str">
        <f t="shared" si="189"/>
        <v>1+603.935668750511i</v>
      </c>
      <c r="R288" s="17">
        <f t="shared" si="197"/>
        <v>603.93649665269197</v>
      </c>
      <c r="S288" s="17">
        <f t="shared" si="198"/>
        <v>1.5691405228113811</v>
      </c>
      <c r="T288" s="17" t="str">
        <f t="shared" si="190"/>
        <v>1+0.0114276329118453i</v>
      </c>
      <c r="U288" s="17">
        <f t="shared" si="199"/>
        <v>1.0000652932653786</v>
      </c>
      <c r="V288" s="17">
        <f t="shared" si="200"/>
        <v>1.142713550293389E-2</v>
      </c>
      <c r="W288" s="31" t="str">
        <f t="shared" si="191"/>
        <v>1-0.198443678812428i</v>
      </c>
      <c r="X288" s="17">
        <f t="shared" si="201"/>
        <v>1.019499825238146</v>
      </c>
      <c r="Y288" s="17">
        <f t="shared" si="202"/>
        <v>-0.19589865027338688</v>
      </c>
      <c r="Z288" s="31" t="str">
        <f t="shared" si="192"/>
        <v>0.991696243201621+0.949486765729168i</v>
      </c>
      <c r="AA288" s="17">
        <f t="shared" si="203"/>
        <v>1.3729481261413501</v>
      </c>
      <c r="AB288" s="17">
        <f t="shared" si="204"/>
        <v>0.76365738635306624</v>
      </c>
      <c r="AC288" s="66" t="str">
        <f t="shared" si="205"/>
        <v>-0.545907685777633-0.393302405874038i</v>
      </c>
      <c r="AD288" s="64">
        <f t="shared" si="206"/>
        <v>-3.4418760230962335</v>
      </c>
      <c r="AE288" s="61">
        <f t="shared" si="207"/>
        <v>-144.22891388879788</v>
      </c>
      <c r="AF288" s="31" t="str">
        <f t="shared" si="193"/>
        <v>-0.000106860158311346</v>
      </c>
      <c r="AG288" s="31" t="str">
        <f t="shared" si="194"/>
        <v>0.000145486214526246i</v>
      </c>
      <c r="AH288" s="31">
        <f t="shared" si="208"/>
        <v>1.4548621452624601E-4</v>
      </c>
      <c r="AI288" s="31">
        <f t="shared" si="209"/>
        <v>1.5707963267948966</v>
      </c>
      <c r="AJ288" s="31" t="str">
        <f t="shared" si="195"/>
        <v>1+2.29676331247372i</v>
      </c>
      <c r="AK288" s="31">
        <f t="shared" si="210"/>
        <v>2.5050193040224773</v>
      </c>
      <c r="AL288" s="31">
        <f t="shared" si="211"/>
        <v>1.1601537998489599</v>
      </c>
      <c r="AM288" s="31" t="str">
        <f t="shared" si="196"/>
        <v>1+14.737564588373i</v>
      </c>
      <c r="AN288" s="31">
        <f t="shared" si="212"/>
        <v>14.771452535091663</v>
      </c>
      <c r="AO288" s="31">
        <f t="shared" si="213"/>
        <v>1.5030463599479178</v>
      </c>
      <c r="AP288" s="58" t="str">
        <f t="shared" si="214"/>
        <v>-1.45619712183823+4.07904379384411i</v>
      </c>
      <c r="AQ288" s="49">
        <f t="shared" si="215"/>
        <v>12.732121913632277</v>
      </c>
      <c r="AR288" s="61">
        <f t="shared" si="216"/>
        <v>109.6462965201062</v>
      </c>
      <c r="AS288" s="58" t="str">
        <f t="shared" si="217"/>
        <v>2.39924693860321-1.65405552623723i</v>
      </c>
      <c r="AT288" s="64">
        <f t="shared" si="218"/>
        <v>9.2902458905360454</v>
      </c>
      <c r="AU288" s="61">
        <f t="shared" si="219"/>
        <v>-34.582617368691686</v>
      </c>
    </row>
    <row r="289" spans="14:47" x14ac:dyDescent="0.35">
      <c r="N289" s="10">
        <v>71</v>
      </c>
      <c r="O289" s="50">
        <f t="shared" si="220"/>
        <v>5128.6138399136489</v>
      </c>
      <c r="P289" s="48" t="str">
        <f t="shared" si="188"/>
        <v>547.187404092767</v>
      </c>
      <c r="Q289" s="17" t="str">
        <f t="shared" si="189"/>
        <v>1+618.003137620787i</v>
      </c>
      <c r="R289" s="17">
        <f t="shared" si="197"/>
        <v>618.00394667763851</v>
      </c>
      <c r="S289" s="17">
        <f t="shared" si="198"/>
        <v>1.569178213445042</v>
      </c>
      <c r="T289" s="17" t="str">
        <f t="shared" si="190"/>
        <v>1+0.0116938166770482i</v>
      </c>
      <c r="U289" s="17">
        <f t="shared" si="199"/>
        <v>1.0000683703369868</v>
      </c>
      <c r="V289" s="17">
        <f t="shared" si="200"/>
        <v>1.1693283695764969E-2</v>
      </c>
      <c r="W289" s="31" t="str">
        <f t="shared" si="191"/>
        <v>1-0.20306602589117i</v>
      </c>
      <c r="X289" s="17">
        <f t="shared" si="201"/>
        <v>1.0204096289585047</v>
      </c>
      <c r="Y289" s="17">
        <f t="shared" si="202"/>
        <v>-0.20034191590594147</v>
      </c>
      <c r="Z289" s="31" t="str">
        <f t="shared" si="192"/>
        <v>0.991304899200346+0.971603153633972i</v>
      </c>
      <c r="AA289" s="17">
        <f t="shared" si="203"/>
        <v>1.3880555072943184</v>
      </c>
      <c r="AB289" s="17">
        <f t="shared" si="204"/>
        <v>0.7753614813522588</v>
      </c>
      <c r="AC289" s="66" t="str">
        <f t="shared" si="205"/>
        <v>-0.53413761800762-0.372051616833114i</v>
      </c>
      <c r="AD289" s="64">
        <f t="shared" si="206"/>
        <v>-3.7291550108761395</v>
      </c>
      <c r="AE289" s="61">
        <f t="shared" si="207"/>
        <v>-145.14099984933424</v>
      </c>
      <c r="AF289" s="31" t="str">
        <f t="shared" si="193"/>
        <v>-0.000106860158311346</v>
      </c>
      <c r="AG289" s="31" t="str">
        <f t="shared" si="194"/>
        <v>0.000148875023798162i</v>
      </c>
      <c r="AH289" s="31">
        <f t="shared" si="208"/>
        <v>1.4887502379816201E-4</v>
      </c>
      <c r="AI289" s="31">
        <f t="shared" si="209"/>
        <v>1.5707963267948966</v>
      </c>
      <c r="AJ289" s="31" t="str">
        <f t="shared" si="195"/>
        <v>1+2.35026180258188i</v>
      </c>
      <c r="AK289" s="31">
        <f t="shared" si="210"/>
        <v>2.5541594587408651</v>
      </c>
      <c r="AL289" s="31">
        <f t="shared" si="211"/>
        <v>1.1685153635284751</v>
      </c>
      <c r="AM289" s="31" t="str">
        <f t="shared" si="196"/>
        <v>1+15.080846566567i</v>
      </c>
      <c r="AN289" s="31">
        <f t="shared" si="212"/>
        <v>15.113964839324446</v>
      </c>
      <c r="AO289" s="31">
        <f t="shared" si="213"/>
        <v>1.504583981878183</v>
      </c>
      <c r="AP289" s="58" t="str">
        <f t="shared" si="214"/>
        <v>-1.40070380305345+4.0098049690067i</v>
      </c>
      <c r="AQ289" s="49">
        <f t="shared" si="215"/>
        <v>12.56248739342043</v>
      </c>
      <c r="AR289" s="61">
        <f t="shared" si="216"/>
        <v>109.25531345823113</v>
      </c>
      <c r="AS289" s="58" t="str">
        <f t="shared" si="217"/>
        <v>2.24002301480158-1.62065356019003i</v>
      </c>
      <c r="AT289" s="64">
        <f t="shared" si="218"/>
        <v>8.8333323825442847</v>
      </c>
      <c r="AU289" s="61">
        <f t="shared" si="219"/>
        <v>-35.88568639110315</v>
      </c>
    </row>
    <row r="290" spans="14:47" x14ac:dyDescent="0.35">
      <c r="N290" s="10">
        <v>72</v>
      </c>
      <c r="O290" s="50">
        <f t="shared" si="220"/>
        <v>5248.0746024977261</v>
      </c>
      <c r="P290" s="48" t="str">
        <f t="shared" si="188"/>
        <v>547.187404092767</v>
      </c>
      <c r="Q290" s="17" t="str">
        <f t="shared" si="189"/>
        <v>1+632.398279934871i</v>
      </c>
      <c r="R290" s="17">
        <f t="shared" si="197"/>
        <v>632.39907057536334</v>
      </c>
      <c r="S290" s="17">
        <f t="shared" si="198"/>
        <v>1.5692150461395793</v>
      </c>
      <c r="T290" s="17" t="str">
        <f t="shared" si="190"/>
        <v>1+0.0119662006586393i</v>
      </c>
      <c r="U290" s="17">
        <f t="shared" si="199"/>
        <v>1.0000715924163643</v>
      </c>
      <c r="V290" s="17">
        <f t="shared" si="200"/>
        <v>1.1965629561113038E-2</v>
      </c>
      <c r="W290" s="31" t="str">
        <f t="shared" si="191"/>
        <v>1-0.207796041264737i</v>
      </c>
      <c r="X290" s="17">
        <f t="shared" si="201"/>
        <v>1.0213614417850794</v>
      </c>
      <c r="Y290" s="17">
        <f t="shared" si="202"/>
        <v>-0.20488039183763718</v>
      </c>
      <c r="Z290" s="31" t="str">
        <f t="shared" si="192"/>
        <v>0.990895111724502+0.994234698391527i</v>
      </c>
      <c r="AA290" s="17">
        <f t="shared" si="203"/>
        <v>1.4037007365977991</v>
      </c>
      <c r="AB290" s="17">
        <f t="shared" si="204"/>
        <v>0.78708046321457614</v>
      </c>
      <c r="AC290" s="66" t="str">
        <f t="shared" si="205"/>
        <v>-0.522343704438689-0.351543361848891i</v>
      </c>
      <c r="AD290" s="64">
        <f t="shared" si="206"/>
        <v>-4.0183821927230863</v>
      </c>
      <c r="AE290" s="61">
        <f t="shared" si="207"/>
        <v>-146.05898965583614</v>
      </c>
      <c r="AF290" s="31" t="str">
        <f t="shared" si="193"/>
        <v>-0.000106860158311346</v>
      </c>
      <c r="AG290" s="31" t="str">
        <f t="shared" si="194"/>
        <v>0.00015234276857829i</v>
      </c>
      <c r="AH290" s="31">
        <f t="shared" si="208"/>
        <v>1.5234276857829001E-4</v>
      </c>
      <c r="AI290" s="31">
        <f t="shared" si="209"/>
        <v>1.5707963267948966</v>
      </c>
      <c r="AJ290" s="31" t="str">
        <f t="shared" si="195"/>
        <v>1+2.40500643260718i</v>
      </c>
      <c r="AK290" s="31">
        <f t="shared" si="210"/>
        <v>2.6046220341696249</v>
      </c>
      <c r="AL290" s="31">
        <f t="shared" si="211"/>
        <v>1.1767444894758023</v>
      </c>
      <c r="AM290" s="31" t="str">
        <f t="shared" si="196"/>
        <v>1+15.4321246092294i</v>
      </c>
      <c r="AN290" s="31">
        <f t="shared" si="212"/>
        <v>15.46449061413869</v>
      </c>
      <c r="AO290" s="31">
        <f t="shared" si="213"/>
        <v>1.5060869062973241</v>
      </c>
      <c r="AP290" s="58" t="str">
        <f t="shared" si="214"/>
        <v>-1.34695442638585+3.94087961787801i</v>
      </c>
      <c r="AQ290" s="49">
        <f t="shared" si="215"/>
        <v>12.391697568786386</v>
      </c>
      <c r="AR290" s="61">
        <f t="shared" si="216"/>
        <v>108.86993049851168</v>
      </c>
      <c r="AS290" s="58" t="str">
        <f t="shared" si="217"/>
        <v>2.08896323429908-1.5849807710404i</v>
      </c>
      <c r="AT290" s="64">
        <f t="shared" si="218"/>
        <v>8.3733153760632941</v>
      </c>
      <c r="AU290" s="61">
        <f t="shared" si="219"/>
        <v>-37.189059157324515</v>
      </c>
    </row>
    <row r="291" spans="14:47" x14ac:dyDescent="0.35">
      <c r="N291" s="10">
        <v>73</v>
      </c>
      <c r="O291" s="50">
        <f t="shared" si="220"/>
        <v>5370.3179637025269</v>
      </c>
      <c r="P291" s="48" t="str">
        <f t="shared" si="188"/>
        <v>547.187404092767</v>
      </c>
      <c r="Q291" s="17" t="str">
        <f t="shared" si="189"/>
        <v>1+647.128728187755i</v>
      </c>
      <c r="R291" s="17">
        <f t="shared" si="197"/>
        <v>647.12950083109433</v>
      </c>
      <c r="S291" s="17">
        <f t="shared" si="198"/>
        <v>1.5692510404237749</v>
      </c>
      <c r="T291" s="17" t="str">
        <f t="shared" si="190"/>
        <v>1+0.0122449292782109i</v>
      </c>
      <c r="U291" s="17">
        <f t="shared" si="199"/>
        <v>1.0000749663365385</v>
      </c>
      <c r="V291" s="17">
        <f t="shared" si="200"/>
        <v>1.2244317338663784E-2</v>
      </c>
      <c r="W291" s="31" t="str">
        <f t="shared" si="191"/>
        <v>1-0.212636232849887i</v>
      </c>
      <c r="X291" s="17">
        <f t="shared" si="201"/>
        <v>1.0223571624048962</v>
      </c>
      <c r="Y291" s="17">
        <f t="shared" si="202"/>
        <v>-0.20951573621628108</v>
      </c>
      <c r="Z291" s="31" t="str">
        <f t="shared" si="192"/>
        <v>0.990466011559912+1.01739339954642i</v>
      </c>
      <c r="AA291" s="17">
        <f t="shared" si="203"/>
        <v>1.4198986757850087</v>
      </c>
      <c r="AB291" s="17">
        <f t="shared" si="204"/>
        <v>0.79880835221466506</v>
      </c>
      <c r="AC291" s="66" t="str">
        <f t="shared" si="205"/>
        <v>-0.510538623798142-0.331767771386437i</v>
      </c>
      <c r="AD291" s="64">
        <f t="shared" si="206"/>
        <v>-4.3095452182980125</v>
      </c>
      <c r="AE291" s="61">
        <f t="shared" si="207"/>
        <v>-146.98262855474053</v>
      </c>
      <c r="AF291" s="31" t="str">
        <f t="shared" si="193"/>
        <v>-0.000106860158311346</v>
      </c>
      <c r="AG291" s="31" t="str">
        <f t="shared" si="194"/>
        <v>0.000155891287510813i</v>
      </c>
      <c r="AH291" s="31">
        <f t="shared" si="208"/>
        <v>1.55891287510813E-4</v>
      </c>
      <c r="AI291" s="31">
        <f t="shared" si="209"/>
        <v>1.5707963267948966</v>
      </c>
      <c r="AJ291" s="31" t="str">
        <f t="shared" si="195"/>
        <v>1+2.46102622887706i</v>
      </c>
      <c r="AK291" s="31">
        <f t="shared" si="210"/>
        <v>2.6564356004279199</v>
      </c>
      <c r="AL291" s="31">
        <f t="shared" si="211"/>
        <v>1.1848410817181236</v>
      </c>
      <c r="AM291" s="31" t="str">
        <f t="shared" si="196"/>
        <v>1+15.7915849686277i</v>
      </c>
      <c r="AN291" s="31">
        <f t="shared" si="212"/>
        <v>15.823215723151481</v>
      </c>
      <c r="AO291" s="31">
        <f t="shared" si="213"/>
        <v>1.5075559029022374</v>
      </c>
      <c r="AP291" s="58" t="str">
        <f t="shared" si="214"/>
        <v>-1.29492238525882+3.87231666222528i</v>
      </c>
      <c r="AQ291" s="49">
        <f t="shared" si="215"/>
        <v>12.219788529978224</v>
      </c>
      <c r="AR291" s="61">
        <f t="shared" si="216"/>
        <v>108.49019724016871</v>
      </c>
      <c r="AS291" s="58" t="str">
        <f t="shared" si="217"/>
        <v>1.94581776162449-1.54735370576738i</v>
      </c>
      <c r="AT291" s="64">
        <f t="shared" si="218"/>
        <v>7.9102433116801985</v>
      </c>
      <c r="AU291" s="61">
        <f t="shared" si="219"/>
        <v>-38.492431314571846</v>
      </c>
    </row>
    <row r="292" spans="14:47" x14ac:dyDescent="0.35">
      <c r="N292" s="10">
        <v>74</v>
      </c>
      <c r="O292" s="50">
        <f t="shared" si="220"/>
        <v>5495.4087385762541</v>
      </c>
      <c r="P292" s="48" t="str">
        <f t="shared" si="188"/>
        <v>547.187404092767</v>
      </c>
      <c r="Q292" s="17" t="str">
        <f t="shared" si="189"/>
        <v>1+662.202292658087i</v>
      </c>
      <c r="R292" s="17">
        <f t="shared" si="197"/>
        <v>662.20304771393694</v>
      </c>
      <c r="S292" s="17">
        <f t="shared" si="198"/>
        <v>1.5692862153819016</v>
      </c>
      <c r="T292" s="17" t="str">
        <f t="shared" si="190"/>
        <v>1+0.0125301503213666i</v>
      </c>
      <c r="U292" s="17">
        <f t="shared" si="199"/>
        <v>1.0000784992524716</v>
      </c>
      <c r="V292" s="17">
        <f t="shared" si="200"/>
        <v>1.2529494619107941E-2</v>
      </c>
      <c r="W292" s="31" t="str">
        <f t="shared" si="191"/>
        <v>1-0.217589166980269i</v>
      </c>
      <c r="X292" s="17">
        <f t="shared" si="201"/>
        <v>1.0233987715388206</v>
      </c>
      <c r="Y292" s="17">
        <f t="shared" si="202"/>
        <v>-0.21424960961518488</v>
      </c>
      <c r="Z292" s="31" t="str">
        <f t="shared" si="192"/>
        <v>0.990016688527597+1.04109153614854i</v>
      </c>
      <c r="AA292" s="17">
        <f t="shared" si="203"/>
        <v>1.4366644111285265</v>
      </c>
      <c r="AB292" s="17">
        <f t="shared" si="204"/>
        <v>0.81053916060865361</v>
      </c>
      <c r="AC292" s="66" t="str">
        <f t="shared" si="205"/>
        <v>-0.498735083625907-0.312714496959745i</v>
      </c>
      <c r="AD292" s="64">
        <f t="shared" si="206"/>
        <v>-4.6026287080006378</v>
      </c>
      <c r="AE292" s="61">
        <f t="shared" si="207"/>
        <v>-147.91166125456186</v>
      </c>
      <c r="AF292" s="31" t="str">
        <f t="shared" si="193"/>
        <v>-0.000106860158311346</v>
      </c>
      <c r="AG292" s="31" t="str">
        <f t="shared" si="194"/>
        <v>0.000159522462067439i</v>
      </c>
      <c r="AH292" s="31">
        <f t="shared" si="208"/>
        <v>1.5952246206743899E-4</v>
      </c>
      <c r="AI292" s="31">
        <f t="shared" si="209"/>
        <v>1.5707963267948966</v>
      </c>
      <c r="AJ292" s="31" t="str">
        <f t="shared" si="195"/>
        <v>1+2.51835089382903i</v>
      </c>
      <c r="AK292" s="31">
        <f t="shared" si="210"/>
        <v>2.7096293518578283</v>
      </c>
      <c r="AL292" s="31">
        <f t="shared" si="211"/>
        <v>1.1928051859646895</v>
      </c>
      <c r="AM292" s="31" t="str">
        <f t="shared" si="196"/>
        <v>1+16.1594182354029i</v>
      </c>
      <c r="AN292" s="31">
        <f t="shared" si="212"/>
        <v>16.19033037669929</v>
      </c>
      <c r="AO292" s="31">
        <f t="shared" si="213"/>
        <v>1.5089917251998917</v>
      </c>
      <c r="AP292" s="58" t="str">
        <f t="shared" si="214"/>
        <v>-1.24457922124295+3.80416250163763i</v>
      </c>
      <c r="AQ292" s="49">
        <f t="shared" si="215"/>
        <v>12.046795843586999</v>
      </c>
      <c r="AR292" s="61">
        <f t="shared" si="216"/>
        <v>108.11615423702469</v>
      </c>
      <c r="AS292" s="58" t="str">
        <f t="shared" si="217"/>
        <v>1.81033208503841-1.50807133828324i</v>
      </c>
      <c r="AT292" s="64">
        <f t="shared" si="218"/>
        <v>7.4441671355863654</v>
      </c>
      <c r="AU292" s="61">
        <f t="shared" si="219"/>
        <v>-39.795507017537041</v>
      </c>
    </row>
    <row r="293" spans="14:47" x14ac:dyDescent="0.35">
      <c r="N293" s="10">
        <v>75</v>
      </c>
      <c r="O293" s="50">
        <f t="shared" si="220"/>
        <v>5623.4132519034993</v>
      </c>
      <c r="P293" s="48" t="str">
        <f t="shared" si="188"/>
        <v>547.187404092767</v>
      </c>
      <c r="Q293" s="17" t="str">
        <f t="shared" si="189"/>
        <v>1+677.626965549269i</v>
      </c>
      <c r="R293" s="17">
        <f t="shared" si="197"/>
        <v>677.62770341796852</v>
      </c>
      <c r="S293" s="17">
        <f t="shared" si="198"/>
        <v>1.5693205896638396</v>
      </c>
      <c r="T293" s="17" t="str">
        <f t="shared" si="190"/>
        <v>1+0.0128220150160789i</v>
      </c>
      <c r="U293" s="17">
        <f t="shared" si="199"/>
        <v>1.0000821986562267</v>
      </c>
      <c r="V293" s="17">
        <f t="shared" si="200"/>
        <v>1.2821312421569118E-2</v>
      </c>
      <c r="W293" s="31" t="str">
        <f t="shared" si="191"/>
        <v>1-0.222657469767116i</v>
      </c>
      <c r="X293" s="17">
        <f t="shared" si="201"/>
        <v>1.0244883351425209</v>
      </c>
      <c r="Y293" s="17">
        <f t="shared" si="202"/>
        <v>-0.219083672932228</v>
      </c>
      <c r="Z293" s="31" t="str">
        <f t="shared" si="192"/>
        <v>0.989546189553162+1.06534167326361i</v>
      </c>
      <c r="AA293" s="17">
        <f t="shared" si="203"/>
        <v>1.4540132537399</v>
      </c>
      <c r="AB293" s="17">
        <f t="shared" si="204"/>
        <v>0.82226690885268583</v>
      </c>
      <c r="AC293" s="66" t="str">
        <f t="shared" si="205"/>
        <v>-0.486945767282766-0.294372704854915i</v>
      </c>
      <c r="AD293" s="64">
        <f t="shared" si="206"/>
        <v>-4.897614234164986</v>
      </c>
      <c r="AE293" s="61">
        <f t="shared" si="207"/>
        <v>-148.84583273091354</v>
      </c>
      <c r="AF293" s="31" t="str">
        <f t="shared" si="193"/>
        <v>-0.000106860158311346</v>
      </c>
      <c r="AG293" s="31" t="str">
        <f t="shared" si="194"/>
        <v>0.000163238217544983i</v>
      </c>
      <c r="AH293" s="31">
        <f t="shared" si="208"/>
        <v>1.6323821754498299E-4</v>
      </c>
      <c r="AI293" s="31">
        <f t="shared" si="209"/>
        <v>1.5707963267948966</v>
      </c>
      <c r="AJ293" s="31" t="str">
        <f t="shared" si="195"/>
        <v>1+2.57701082175921i</v>
      </c>
      <c r="AK293" s="31">
        <f t="shared" si="210"/>
        <v>2.7642331261064212</v>
      </c>
      <c r="AL293" s="31">
        <f t="shared" si="211"/>
        <v>1.2006369827385288</v>
      </c>
      <c r="AM293" s="31" t="str">
        <f t="shared" si="196"/>
        <v>1+16.5358194396216i</v>
      </c>
      <c r="AN293" s="31">
        <f t="shared" si="212"/>
        <v>16.566029232733101</v>
      </c>
      <c r="AO293" s="31">
        <f t="shared" si="213"/>
        <v>1.5103951107883478</v>
      </c>
      <c r="AP293" s="58" t="str">
        <f t="shared" si="214"/>
        <v>-1.19589482860408+3.73646099876897i</v>
      </c>
      <c r="AQ293" s="49">
        <f t="shared" si="215"/>
        <v>11.872754510810728</v>
      </c>
      <c r="AR293" s="61">
        <f t="shared" si="216"/>
        <v>107.74783340712752</v>
      </c>
      <c r="AS293" s="58" t="str">
        <f t="shared" si="217"/>
        <v>1.68224805569662-1.4674150725495i</v>
      </c>
      <c r="AT293" s="64">
        <f t="shared" si="218"/>
        <v>6.9751402766457336</v>
      </c>
      <c r="AU293" s="61">
        <f t="shared" si="219"/>
        <v>-41.097999323786134</v>
      </c>
    </row>
    <row r="294" spans="14:47" x14ac:dyDescent="0.35">
      <c r="N294" s="10">
        <v>76</v>
      </c>
      <c r="O294" s="50">
        <f t="shared" si="220"/>
        <v>5754.399373371567</v>
      </c>
      <c r="P294" s="48" t="str">
        <f t="shared" si="188"/>
        <v>547.187404092767</v>
      </c>
      <c r="Q294" s="17" t="str">
        <f t="shared" si="189"/>
        <v>1+693.410925227038i</v>
      </c>
      <c r="R294" s="17">
        <f t="shared" si="197"/>
        <v>693.4116462998129</v>
      </c>
      <c r="S294" s="17">
        <f t="shared" si="198"/>
        <v>1.569354181494963</v>
      </c>
      <c r="T294" s="17" t="str">
        <f t="shared" si="190"/>
        <v>1+0.0131206781128721i</v>
      </c>
      <c r="U294" s="17">
        <f t="shared" si="199"/>
        <v>1.0000860723928424</v>
      </c>
      <c r="V294" s="17">
        <f t="shared" si="200"/>
        <v>1.3119925272790496E-2</v>
      </c>
      <c r="W294" s="31" t="str">
        <f t="shared" si="191"/>
        <v>1-0.227843828491653i</v>
      </c>
      <c r="X294" s="17">
        <f t="shared" si="201"/>
        <v>1.025628007701493</v>
      </c>
      <c r="Y294" s="17">
        <f t="shared" si="202"/>
        <v>-0.22401958513262671</v>
      </c>
      <c r="Z294" s="31" t="str">
        <f t="shared" si="192"/>
        <v>0.989053516645204+1.0901566686353i</v>
      </c>
      <c r="AA294" s="17">
        <f t="shared" si="203"/>
        <v>1.4719607402910786</v>
      </c>
      <c r="AB294" s="17">
        <f t="shared" si="204"/>
        <v>0.83398564178699042</v>
      </c>
      <c r="AC294" s="66" t="str">
        <f t="shared" si="205"/>
        <v>-0.475183281110522-0.276731074647622i</v>
      </c>
      <c r="AD294" s="64">
        <f t="shared" si="206"/>
        <v>-5.1944803126433303</v>
      </c>
      <c r="AE294" s="61">
        <f t="shared" si="207"/>
        <v>-149.78488902048628</v>
      </c>
      <c r="AF294" s="31" t="str">
        <f t="shared" si="193"/>
        <v>-0.000106860158311346</v>
      </c>
      <c r="AG294" s="31" t="str">
        <f t="shared" si="194"/>
        <v>0.000167040524086182i</v>
      </c>
      <c r="AH294" s="31">
        <f t="shared" si="208"/>
        <v>1.67040524086182E-4</v>
      </c>
      <c r="AI294" s="31">
        <f t="shared" si="209"/>
        <v>1.5707963267948966</v>
      </c>
      <c r="AJ294" s="31" t="str">
        <f t="shared" si="195"/>
        <v>1+2.63703711493787i</v>
      </c>
      <c r="AK294" s="31">
        <f t="shared" si="210"/>
        <v>2.8202774235099368</v>
      </c>
      <c r="AL294" s="31">
        <f t="shared" si="211"/>
        <v>1.2083367804995242</v>
      </c>
      <c r="AM294" s="31" t="str">
        <f t="shared" si="196"/>
        <v>1+16.9209881541846i</v>
      </c>
      <c r="AN294" s="31">
        <f t="shared" si="212"/>
        <v>16.950511500071482</v>
      </c>
      <c r="AO294" s="31">
        <f t="shared" si="213"/>
        <v>1.5117667816370921</v>
      </c>
      <c r="AP294" s="58" t="str">
        <f t="shared" si="214"/>
        <v>-1.14883765150217+3.66925347815544i</v>
      </c>
      <c r="AQ294" s="49">
        <f t="shared" si="215"/>
        <v>11.697698930262641</v>
      </c>
      <c r="AR294" s="61">
        <f t="shared" si="216"/>
        <v>107.38525844283247</v>
      </c>
      <c r="AS294" s="58" t="str">
        <f t="shared" si="217"/>
        <v>1.56130490286859-1.42564882908025i</v>
      </c>
      <c r="AT294" s="64">
        <f t="shared" si="218"/>
        <v>6.5032186176193187</v>
      </c>
      <c r="AU294" s="61">
        <f t="shared" si="219"/>
        <v>-42.399630577653738</v>
      </c>
    </row>
    <row r="295" spans="14:47" x14ac:dyDescent="0.35">
      <c r="N295" s="10">
        <v>77</v>
      </c>
      <c r="O295" s="50">
        <f t="shared" si="220"/>
        <v>5888.4365535558973</v>
      </c>
      <c r="P295" s="48" t="str">
        <f t="shared" si="188"/>
        <v>547.187404092767</v>
      </c>
      <c r="Q295" s="17" t="str">
        <f t="shared" si="189"/>
        <v>1+709.562540555744i</v>
      </c>
      <c r="R295" s="17">
        <f t="shared" si="197"/>
        <v>709.56324521491513</v>
      </c>
      <c r="S295" s="17">
        <f t="shared" si="198"/>
        <v>1.5693870086858015</v>
      </c>
      <c r="T295" s="17" t="str">
        <f t="shared" si="190"/>
        <v>1+0.0134262979668736i</v>
      </c>
      <c r="U295" s="17">
        <f t="shared" si="199"/>
        <v>1.0000901286769583</v>
      </c>
      <c r="V295" s="17">
        <f t="shared" si="200"/>
        <v>1.3425491288118728E-2</v>
      </c>
      <c r="W295" s="31" t="str">
        <f t="shared" si="191"/>
        <v>1-0.233150993029927i</v>
      </c>
      <c r="X295" s="17">
        <f t="shared" si="201"/>
        <v>1.0268200356200892</v>
      </c>
      <c r="Y295" s="17">
        <f t="shared" si="202"/>
        <v>-0.22905900082887484</v>
      </c>
      <c r="Z295" s="31" t="str">
        <f t="shared" si="192"/>
        <v>0.988537624778429+1.11554967950264i</v>
      </c>
      <c r="AA295" s="17">
        <f t="shared" si="203"/>
        <v>1.4905226341927924</v>
      </c>
      <c r="AB295" s="17">
        <f t="shared" si="204"/>
        <v>0.84568944468175888</v>
      </c>
      <c r="AC295" s="66" t="str">
        <f t="shared" si="205"/>
        <v>-0.463460102220985-0.259777802464793i</v>
      </c>
      <c r="AD295" s="64">
        <f t="shared" si="206"/>
        <v>-5.4932024047659036</v>
      </c>
      <c r="AE295" s="61">
        <f t="shared" si="207"/>
        <v>-150.72857799766385</v>
      </c>
      <c r="AF295" s="31" t="str">
        <f t="shared" si="193"/>
        <v>-0.000106860158311346</v>
      </c>
      <c r="AG295" s="31" t="str">
        <f t="shared" si="194"/>
        <v>0.000170931397724295i</v>
      </c>
      <c r="AH295" s="31">
        <f t="shared" si="208"/>
        <v>1.7093139772429499E-4</v>
      </c>
      <c r="AI295" s="31">
        <f t="shared" si="209"/>
        <v>1.5707963267948966</v>
      </c>
      <c r="AJ295" s="31" t="str">
        <f t="shared" si="195"/>
        <v>1+2.69846160010018i</v>
      </c>
      <c r="AK295" s="31">
        <f t="shared" si="210"/>
        <v>2.8777934267794874</v>
      </c>
      <c r="AL295" s="31">
        <f t="shared" si="211"/>
        <v>1.2159050087912888</v>
      </c>
      <c r="AM295" s="31" t="str">
        <f t="shared" si="196"/>
        <v>1+17.3151286006428i</v>
      </c>
      <c r="AN295" s="31">
        <f t="shared" si="212"/>
        <v>17.34398104406247</v>
      </c>
      <c r="AO295" s="31">
        <f t="shared" si="213"/>
        <v>1.5131074443663182</v>
      </c>
      <c r="AP295" s="58" t="str">
        <f t="shared" si="214"/>
        <v>-1.1033748731943+3.60257873743977i</v>
      </c>
      <c r="AQ295" s="49">
        <f t="shared" si="215"/>
        <v>11.521662865148505</v>
      </c>
      <c r="AR295" s="61">
        <f t="shared" si="216"/>
        <v>107.02844521945789</v>
      </c>
      <c r="AS295" s="58" t="str">
        <f t="shared" si="217"/>
        <v>1.44724021913719-1.3830192100597i</v>
      </c>
      <c r="AT295" s="64">
        <f t="shared" si="218"/>
        <v>6.028460460382612</v>
      </c>
      <c r="AU295" s="61">
        <f t="shared" si="219"/>
        <v>-43.70013277820599</v>
      </c>
    </row>
    <row r="296" spans="14:47" x14ac:dyDescent="0.35">
      <c r="N296" s="10">
        <v>78</v>
      </c>
      <c r="O296" s="50">
        <f t="shared" si="220"/>
        <v>6025.595860743585</v>
      </c>
      <c r="P296" s="48" t="str">
        <f t="shared" si="188"/>
        <v>547.187404092767</v>
      </c>
      <c r="Q296" s="17" t="str">
        <f t="shared" si="189"/>
        <v>1+726.090375335621i</v>
      </c>
      <c r="R296" s="17">
        <f t="shared" si="197"/>
        <v>726.0910639548066</v>
      </c>
      <c r="S296" s="17">
        <f t="shared" si="198"/>
        <v>1.5694190886414834</v>
      </c>
      <c r="T296" s="17" t="str">
        <f t="shared" si="190"/>
        <v>1+0.013739036621775i</v>
      </c>
      <c r="U296" s="17">
        <f t="shared" si="199"/>
        <v>1.0000943761102221</v>
      </c>
      <c r="V296" s="17">
        <f t="shared" si="200"/>
        <v>1.3738172254321383E-2</v>
      </c>
      <c r="W296" s="31" t="str">
        <f t="shared" si="191"/>
        <v>1-0.238581777310823i</v>
      </c>
      <c r="X296" s="17">
        <f t="shared" si="201"/>
        <v>1.0280667607041827</v>
      </c>
      <c r="Y296" s="17">
        <f t="shared" si="202"/>
        <v>-0.23420356769145081</v>
      </c>
      <c r="Z296" s="31" t="str">
        <f t="shared" si="192"/>
        <v>0.987997419677021+1.14153416957609i</v>
      </c>
      <c r="AA296" s="17">
        <f t="shared" si="203"/>
        <v>1.5097149272621722</v>
      </c>
      <c r="AB296" s="17">
        <f t="shared" si="204"/>
        <v>0.857372459042544</v>
      </c>
      <c r="AC296" s="66" t="str">
        <f t="shared" si="205"/>
        <v>-0.451788527380731-0.243500608885513i</v>
      </c>
      <c r="AD296" s="64">
        <f t="shared" si="206"/>
        <v>-5.7937529295784804</v>
      </c>
      <c r="AE296" s="61">
        <f t="shared" si="207"/>
        <v>-151.67665012754605</v>
      </c>
      <c r="AF296" s="31" t="str">
        <f t="shared" si="193"/>
        <v>-0.000106860158311346</v>
      </c>
      <c r="AG296" s="31" t="str">
        <f t="shared" si="194"/>
        <v>0.000174912901452025i</v>
      </c>
      <c r="AH296" s="31">
        <f t="shared" si="208"/>
        <v>1.74912901452025E-4</v>
      </c>
      <c r="AI296" s="31">
        <f t="shared" si="209"/>
        <v>1.5707963267948966</v>
      </c>
      <c r="AJ296" s="31" t="str">
        <f t="shared" si="195"/>
        <v>1+2.76131684532123i</v>
      </c>
      <c r="AK296" s="31">
        <f t="shared" si="210"/>
        <v>2.9368130209897241</v>
      </c>
      <c r="AL296" s="31">
        <f t="shared" si="211"/>
        <v>1.2233422114414401</v>
      </c>
      <c r="AM296" s="31" t="str">
        <f t="shared" si="196"/>
        <v>1+17.7184497574778i</v>
      </c>
      <c r="AN296" s="31">
        <f t="shared" si="212"/>
        <v>17.746646494711758</v>
      </c>
      <c r="AO296" s="31">
        <f t="shared" si="213"/>
        <v>1.5144177905248428</v>
      </c>
      <c r="AP296" s="58" t="str">
        <f t="shared" si="214"/>
        <v>-1.05947259672665+3.53647306984442i</v>
      </c>
      <c r="AQ296" s="49">
        <f t="shared" si="215"/>
        <v>11.344679414627031</v>
      </c>
      <c r="AR296" s="61">
        <f t="shared" si="216"/>
        <v>106.67740220080539</v>
      </c>
      <c r="AS296" s="58" t="str">
        <f t="shared" si="217"/>
        <v>1.33979091008971-1.33975573794617i</v>
      </c>
      <c r="AT296" s="64">
        <f t="shared" si="218"/>
        <v>5.5509264850485609</v>
      </c>
      <c r="AU296" s="61">
        <f t="shared" si="219"/>
        <v>-44.999247926740651</v>
      </c>
    </row>
    <row r="297" spans="14:47" x14ac:dyDescent="0.35">
      <c r="N297" s="10">
        <v>79</v>
      </c>
      <c r="O297" s="50">
        <f t="shared" si="220"/>
        <v>6165.9500186148289</v>
      </c>
      <c r="P297" s="48" t="str">
        <f t="shared" si="188"/>
        <v>547.187404092767</v>
      </c>
      <c r="Q297" s="17" t="str">
        <f t="shared" si="189"/>
        <v>1+743.003192843444i</v>
      </c>
      <c r="R297" s="17">
        <f t="shared" si="197"/>
        <v>743.0038657877576</v>
      </c>
      <c r="S297" s="17">
        <f t="shared" si="198"/>
        <v>1.5694504383709615</v>
      </c>
      <c r="T297" s="17" t="str">
        <f t="shared" si="190"/>
        <v>1+0.0140590598957511i</v>
      </c>
      <c r="U297" s="17">
        <f t="shared" si="199"/>
        <v>1.0000988236995143</v>
      </c>
      <c r="V297" s="17">
        <f t="shared" si="200"/>
        <v>1.4058133714280562E-2</v>
      </c>
      <c r="W297" s="31" t="str">
        <f t="shared" si="191"/>
        <v>1-0.244139060808053i</v>
      </c>
      <c r="X297" s="17">
        <f t="shared" si="201"/>
        <v>1.0293706237367755</v>
      </c>
      <c r="Y297" s="17">
        <f t="shared" si="202"/>
        <v>-0.23945492368403629</v>
      </c>
      <c r="Z297" s="31" t="str">
        <f t="shared" si="192"/>
        <v>0.987431755493535+1.16812391617625i</v>
      </c>
      <c r="AA297" s="17">
        <f t="shared" si="203"/>
        <v>1.5295538419094579</v>
      </c>
      <c r="AB297" s="17">
        <f t="shared" si="204"/>
        <v>0.86902889807605233</v>
      </c>
      <c r="AC297" s="66" t="str">
        <f t="shared" si="205"/>
        <v>-0.440180623441674-0.227886751322953i</v>
      </c>
      <c r="AD297" s="64">
        <f t="shared" si="206"/>
        <v>-6.096101286178655</v>
      </c>
      <c r="AE297" s="61">
        <f t="shared" si="207"/>
        <v>-152.62885918933901</v>
      </c>
      <c r="AF297" s="31" t="str">
        <f t="shared" si="193"/>
        <v>-0.000106860158311346</v>
      </c>
      <c r="AG297" s="31" t="str">
        <f t="shared" si="194"/>
        <v>0.000178987146315351i</v>
      </c>
      <c r="AH297" s="31">
        <f t="shared" si="208"/>
        <v>1.78987146315351E-4</v>
      </c>
      <c r="AI297" s="31">
        <f t="shared" si="209"/>
        <v>1.5707963267948966</v>
      </c>
      <c r="AJ297" s="31" t="str">
        <f t="shared" si="195"/>
        <v>1+2.82563617728401i</v>
      </c>
      <c r="AK297" s="31">
        <f t="shared" si="210"/>
        <v>2.9973688138726264</v>
      </c>
      <c r="AL297" s="31">
        <f t="shared" si="211"/>
        <v>1.230649039841897</v>
      </c>
      <c r="AM297" s="31" t="str">
        <f t="shared" si="196"/>
        <v>1+18.1311654709057i</v>
      </c>
      <c r="AN297" s="31">
        <f t="shared" si="212"/>
        <v>18.158721357335793</v>
      </c>
      <c r="AO297" s="31">
        <f t="shared" si="213"/>
        <v>1.5156984968663696</v>
      </c>
      <c r="AP297" s="58" t="str">
        <f t="shared" si="214"/>
        <v>-1.01709601672199+3.47097029675565i</v>
      </c>
      <c r="AQ297" s="49">
        <f t="shared" si="215"/>
        <v>11.16678098915725</v>
      </c>
      <c r="AR297" s="61">
        <f t="shared" si="216"/>
        <v>106.332130839998</v>
      </c>
      <c r="AS297" s="58" t="str">
        <f t="shared" si="217"/>
        <v>1.23869410360684-1.29607116213914i</v>
      </c>
      <c r="AT297" s="64">
        <f t="shared" si="218"/>
        <v>5.0706797029785768</v>
      </c>
      <c r="AU297" s="61">
        <f t="shared" si="219"/>
        <v>-46.296728349340924</v>
      </c>
    </row>
    <row r="298" spans="14:47" x14ac:dyDescent="0.35">
      <c r="N298" s="10">
        <v>80</v>
      </c>
      <c r="O298" s="50">
        <f t="shared" si="220"/>
        <v>6309.5734448019384</v>
      </c>
      <c r="P298" s="48" t="str">
        <f t="shared" si="188"/>
        <v>547.187404092767</v>
      </c>
      <c r="Q298" s="17" t="str">
        <f t="shared" si="189"/>
        <v>1+760.309960478921i</v>
      </c>
      <c r="R298" s="17">
        <f t="shared" si="197"/>
        <v>760.3106181051653</v>
      </c>
      <c r="S298" s="17">
        <f t="shared" si="198"/>
        <v>1.5694810744960308</v>
      </c>
      <c r="T298" s="17" t="str">
        <f t="shared" si="190"/>
        <v>1+0.0143865374693774i</v>
      </c>
      <c r="U298" s="17">
        <f t="shared" si="199"/>
        <v>1.000103480876033</v>
      </c>
      <c r="V298" s="17">
        <f t="shared" si="200"/>
        <v>1.4385545053597437E-2</v>
      </c>
      <c r="W298" s="31" t="str">
        <f t="shared" si="191"/>
        <v>1-0.249825790066885i</v>
      </c>
      <c r="X298" s="17">
        <f t="shared" si="201"/>
        <v>1.0307341681454745</v>
      </c>
      <c r="Y298" s="17">
        <f t="shared" si="202"/>
        <v>-0.24481469411715939</v>
      </c>
      <c r="Z298" s="31" t="str">
        <f t="shared" si="192"/>
        <v>0.986839432378397+1.1953330175387i</v>
      </c>
      <c r="AA298" s="17">
        <f t="shared" si="203"/>
        <v>1.5500558338702162</v>
      </c>
      <c r="AB298" s="17">
        <f t="shared" si="204"/>
        <v>0.88065306172096425</v>
      </c>
      <c r="AC298" s="66" t="str">
        <f t="shared" si="205"/>
        <v>-0.428648179743857-0.212923040679232i</v>
      </c>
      <c r="AD298" s="64">
        <f t="shared" si="206"/>
        <v>-6.4002138858918443</v>
      </c>
      <c r="AE298" s="61">
        <f t="shared" si="207"/>
        <v>-153.58496296429828</v>
      </c>
      <c r="AF298" s="31" t="str">
        <f t="shared" si="193"/>
        <v>-0.000106860158311346</v>
      </c>
      <c r="AG298" s="31" t="str">
        <f t="shared" si="194"/>
        <v>0.000183156292532829i</v>
      </c>
      <c r="AH298" s="31">
        <f t="shared" si="208"/>
        <v>1.8315629253282901E-4</v>
      </c>
      <c r="AI298" s="31">
        <f t="shared" si="209"/>
        <v>1.5707963267948966</v>
      </c>
      <c r="AJ298" s="31" t="str">
        <f t="shared" si="195"/>
        <v>1+2.89145369894971i</v>
      </c>
      <c r="AK298" s="31">
        <f t="shared" si="210"/>
        <v>3.0594941564202993</v>
      </c>
      <c r="AL298" s="31">
        <f t="shared" si="211"/>
        <v>1.2378262463330665</v>
      </c>
      <c r="AM298" s="31" t="str">
        <f t="shared" si="196"/>
        <v>1+18.5534945682606i</v>
      </c>
      <c r="AN298" s="31">
        <f t="shared" si="212"/>
        <v>18.580424125796362</v>
      </c>
      <c r="AO298" s="31">
        <f t="shared" si="213"/>
        <v>1.5169502256238301</v>
      </c>
      <c r="AP298" s="58" t="str">
        <f t="shared" si="214"/>
        <v>-0.976209581982208+3.40610180931071i</v>
      </c>
      <c r="AQ298" s="49">
        <f t="shared" si="215"/>
        <v>10.987999289629469</v>
      </c>
      <c r="AR298" s="61">
        <f t="shared" si="216"/>
        <v>105.99262597425775</v>
      </c>
      <c r="AS298" s="58" t="str">
        <f t="shared" si="217"/>
        <v>1.14368801446666-1.25216182804744i</v>
      </c>
      <c r="AT298" s="64">
        <f t="shared" si="218"/>
        <v>4.5877854037376418</v>
      </c>
      <c r="AU298" s="61">
        <f t="shared" si="219"/>
        <v>-47.592336990040423</v>
      </c>
    </row>
    <row r="299" spans="14:47" x14ac:dyDescent="0.35">
      <c r="N299" s="10">
        <v>81</v>
      </c>
      <c r="O299" s="50">
        <f t="shared" si="220"/>
        <v>6456.5422903465615</v>
      </c>
      <c r="P299" s="48" t="str">
        <f t="shared" si="188"/>
        <v>547.187404092767</v>
      </c>
      <c r="Q299" s="17" t="str">
        <f t="shared" si="189"/>
        <v>1+778.019854519338i</v>
      </c>
      <c r="R299" s="17">
        <f t="shared" si="197"/>
        <v>778.02049717619389</v>
      </c>
      <c r="S299" s="17">
        <f t="shared" si="198"/>
        <v>1.5695110132601402</v>
      </c>
      <c r="T299" s="17" t="str">
        <f t="shared" si="190"/>
        <v>1+0.0147216429755985i</v>
      </c>
      <c r="U299" s="17">
        <f t="shared" si="199"/>
        <v>1.0001083575152749</v>
      </c>
      <c r="V299" s="17">
        <f t="shared" si="200"/>
        <v>1.4720579589153935E-2</v>
      </c>
      <c r="W299" s="31" t="str">
        <f t="shared" si="191"/>
        <v>1-0.255644980266447i</v>
      </c>
      <c r="X299" s="17">
        <f t="shared" si="201"/>
        <v>1.0321600437603813</v>
      </c>
      <c r="Y299" s="17">
        <f t="shared" si="202"/>
        <v>-0.25028448851449558</v>
      </c>
      <c r="Z299" s="31" t="str">
        <f t="shared" si="192"/>
        <v>0.986219193934865+1.22317590028916i</v>
      </c>
      <c r="AA299" s="17">
        <f t="shared" si="203"/>
        <v>1.5712375955067177</v>
      </c>
      <c r="AB299" s="17">
        <f t="shared" si="204"/>
        <v>0.89223935115379782</v>
      </c>
      <c r="AC299" s="66" t="str">
        <f t="shared" si="205"/>
        <v>-0.417202662887014-0.198595862018647i</v>
      </c>
      <c r="AD299" s="64">
        <f t="shared" si="206"/>
        <v>-6.7060541939585114</v>
      </c>
      <c r="AE299" s="61">
        <f t="shared" si="207"/>
        <v>-154.5447238827372</v>
      </c>
      <c r="AF299" s="31" t="str">
        <f t="shared" si="193"/>
        <v>-0.000106860158311346</v>
      </c>
      <c r="AG299" s="31" t="str">
        <f t="shared" si="194"/>
        <v>0.000187422550640968i</v>
      </c>
      <c r="AH299" s="31">
        <f t="shared" si="208"/>
        <v>1.8742255064096801E-4</v>
      </c>
      <c r="AI299" s="31">
        <f t="shared" si="209"/>
        <v>1.5707963267948966</v>
      </c>
      <c r="AJ299" s="31" t="str">
        <f t="shared" si="195"/>
        <v>1+2.95880430763951i</v>
      </c>
      <c r="AK299" s="31">
        <f t="shared" si="210"/>
        <v>3.1232231638014789</v>
      </c>
      <c r="AL299" s="31">
        <f t="shared" si="211"/>
        <v>1.2448746777129926</v>
      </c>
      <c r="AM299" s="31" t="str">
        <f t="shared" si="196"/>
        <v>1+18.9856609740201i</v>
      </c>
      <c r="AN299" s="31">
        <f t="shared" si="212"/>
        <v>19.011978398379004</v>
      </c>
      <c r="AO299" s="31">
        <f t="shared" si="213"/>
        <v>1.5181736247815714</v>
      </c>
      <c r="AP299" s="58" t="str">
        <f t="shared" si="214"/>
        <v>-0.936777148728399+3.34189661791897i</v>
      </c>
      <c r="AQ299" s="49">
        <f t="shared" si="215"/>
        <v>10.808365290072157</v>
      </c>
      <c r="AR299" s="61">
        <f t="shared" si="216"/>
        <v>105.65887621239884</v>
      </c>
      <c r="AS299" s="58" t="str">
        <f t="shared" si="217"/>
        <v>1.05451276059401-1.20820810271781i</v>
      </c>
      <c r="AT299" s="64">
        <f t="shared" si="218"/>
        <v>4.102311096113624</v>
      </c>
      <c r="AU299" s="61">
        <f t="shared" si="219"/>
        <v>-48.885847670338329</v>
      </c>
    </row>
    <row r="300" spans="14:47" x14ac:dyDescent="0.35">
      <c r="N300" s="10">
        <v>82</v>
      </c>
      <c r="O300" s="50">
        <f t="shared" si="220"/>
        <v>6606.9344800759654</v>
      </c>
      <c r="P300" s="48" t="str">
        <f t="shared" si="188"/>
        <v>547.187404092767</v>
      </c>
      <c r="Q300" s="17" t="str">
        <f t="shared" si="189"/>
        <v>1+796.14226498493i</v>
      </c>
      <c r="R300" s="17">
        <f t="shared" si="197"/>
        <v>796.14289301314147</v>
      </c>
      <c r="S300" s="17">
        <f t="shared" si="198"/>
        <v>1.5695402705370036</v>
      </c>
      <c r="T300" s="17" t="str">
        <f t="shared" si="190"/>
        <v>1+0.0150645540917891i</v>
      </c>
      <c r="U300" s="17">
        <f t="shared" si="199"/>
        <v>1.0001134639579574</v>
      </c>
      <c r="V300" s="17">
        <f t="shared" si="200"/>
        <v>1.5063414659666468E-2</v>
      </c>
      <c r="W300" s="31" t="str">
        <f t="shared" si="191"/>
        <v>1-0.261599716818406i</v>
      </c>
      <c r="X300" s="17">
        <f t="shared" si="201"/>
        <v>1.0336510106604986</v>
      </c>
      <c r="Y300" s="17">
        <f t="shared" si="202"/>
        <v>-0.25586589728635123</v>
      </c>
      <c r="Z300" s="31" t="str">
        <f t="shared" si="192"/>
        <v>0.985569724554044+1.2516673270926i</v>
      </c>
      <c r="AA300" s="17">
        <f t="shared" si="203"/>
        <v>1.5931160596983096</v>
      </c>
      <c r="AB300" s="17">
        <f t="shared" si="204"/>
        <v>0.90378228268566707</v>
      </c>
      <c r="AC300" s="66" t="str">
        <f t="shared" si="205"/>
        <v>-0.405855174232299-0.184891198963417i</v>
      </c>
      <c r="AD300" s="64">
        <f t="shared" si="206"/>
        <v>-7.0135827803346888</v>
      </c>
      <c r="AE300" s="61">
        <f t="shared" si="207"/>
        <v>-155.50790962496137</v>
      </c>
      <c r="AF300" s="31" t="str">
        <f t="shared" si="193"/>
        <v>-0.000106860158311346</v>
      </c>
      <c r="AG300" s="31" t="str">
        <f t="shared" si="194"/>
        <v>0.000191788182666287i</v>
      </c>
      <c r="AH300" s="31">
        <f t="shared" si="208"/>
        <v>1.9178818266628699E-4</v>
      </c>
      <c r="AI300" s="31">
        <f t="shared" si="209"/>
        <v>1.5707963267948966</v>
      </c>
      <c r="AJ300" s="31" t="str">
        <f t="shared" si="195"/>
        <v>1+3.02772371353761i</v>
      </c>
      <c r="AK300" s="31">
        <f t="shared" si="210"/>
        <v>3.1885907365979058</v>
      </c>
      <c r="AL300" s="31">
        <f t="shared" si="211"/>
        <v>1.2517952688899521</v>
      </c>
      <c r="AM300" s="31" t="str">
        <f t="shared" si="196"/>
        <v>1+19.427893828533i</v>
      </c>
      <c r="AN300" s="31">
        <f t="shared" si="212"/>
        <v>19.453612996375522</v>
      </c>
      <c r="AO300" s="31">
        <f t="shared" si="213"/>
        <v>1.5193693283451686</v>
      </c>
      <c r="AP300" s="58" t="str">
        <f t="shared" si="214"/>
        <v>-0.898762124394252+3.27838140869237i</v>
      </c>
      <c r="AQ300" s="49">
        <f t="shared" si="215"/>
        <v>10.627909223723089</v>
      </c>
      <c r="AR300" s="61">
        <f t="shared" si="216"/>
        <v>105.33086431396649</v>
      </c>
      <c r="AS300" s="58" t="str">
        <f t="shared" si="217"/>
        <v>0.970911127901929-1.16437485106261i</v>
      </c>
      <c r="AT300" s="64">
        <f t="shared" si="218"/>
        <v>3.6143264433883986</v>
      </c>
      <c r="AU300" s="61">
        <f t="shared" si="219"/>
        <v>-50.177045310994828</v>
      </c>
    </row>
    <row r="301" spans="14:47" x14ac:dyDescent="0.35">
      <c r="N301" s="10">
        <v>83</v>
      </c>
      <c r="O301" s="50">
        <f t="shared" si="220"/>
        <v>6760.8297539198229</v>
      </c>
      <c r="P301" s="48" t="str">
        <f t="shared" si="188"/>
        <v>547.187404092767</v>
      </c>
      <c r="Q301" s="17" t="str">
        <f t="shared" si="189"/>
        <v>1+814.686800617606i</v>
      </c>
      <c r="R301" s="17">
        <f t="shared" si="197"/>
        <v>814.68741435016102</v>
      </c>
      <c r="S301" s="17">
        <f t="shared" si="198"/>
        <v>1.569568861839016</v>
      </c>
      <c r="T301" s="17" t="str">
        <f t="shared" si="190"/>
        <v>1+0.0154154526339621i</v>
      </c>
      <c r="U301" s="17">
        <f t="shared" si="199"/>
        <v>1.0001188110319243</v>
      </c>
      <c r="V301" s="17">
        <f t="shared" si="200"/>
        <v>1.541423171827911E-2</v>
      </c>
      <c r="W301" s="31" t="str">
        <f t="shared" si="191"/>
        <v>1-0.267693157002905i</v>
      </c>
      <c r="X301" s="17">
        <f t="shared" si="201"/>
        <v>1.035209943106316</v>
      </c>
      <c r="Y301" s="17">
        <f t="shared" si="202"/>
        <v>-0.26156048820534261</v>
      </c>
      <c r="Z301" s="31" t="str">
        <f t="shared" si="192"/>
        <v>0.984889646624302+1.28082240448064i</v>
      </c>
      <c r="AA301" s="17">
        <f t="shared" si="203"/>
        <v>1.6157084043376486</v>
      </c>
      <c r="AB301" s="17">
        <f t="shared" si="204"/>
        <v>0.91527650097300906</v>
      </c>
      <c r="AC301" s="66" t="str">
        <f t="shared" si="205"/>
        <v>-0.394616410455525-0.171794661479605i</v>
      </c>
      <c r="AD301" s="64">
        <f t="shared" si="206"/>
        <v>-7.3227573791536766</v>
      </c>
      <c r="AE301" s="61">
        <f t="shared" si="207"/>
        <v>-156.47429367143619</v>
      </c>
      <c r="AF301" s="31" t="str">
        <f t="shared" si="193"/>
        <v>-0.000106860158311346</v>
      </c>
      <c r="AG301" s="31" t="str">
        <f t="shared" si="194"/>
        <v>0.000196255503324673i</v>
      </c>
      <c r="AH301" s="31">
        <f t="shared" si="208"/>
        <v>1.9625550332467301E-4</v>
      </c>
      <c r="AI301" s="31">
        <f t="shared" si="209"/>
        <v>1.5707963267948966</v>
      </c>
      <c r="AJ301" s="31" t="str">
        <f t="shared" si="195"/>
        <v>1+3.0982484586253i</v>
      </c>
      <c r="AK301" s="31">
        <f t="shared" si="210"/>
        <v>3.2556325823676802</v>
      </c>
      <c r="AL301" s="31">
        <f t="shared" si="211"/>
        <v>1.2585890366944454</v>
      </c>
      <c r="AM301" s="31" t="str">
        <f t="shared" si="196"/>
        <v>1+19.8804276095123i</v>
      </c>
      <c r="AN301" s="31">
        <f t="shared" si="212"/>
        <v>19.905562085433779</v>
      </c>
      <c r="AO301" s="31">
        <f t="shared" si="213"/>
        <v>1.5205379566086727</v>
      </c>
      <c r="AP301" s="58" t="str">
        <f t="shared" si="214"/>
        <v>-0.862127601972191+3.21558060581146i</v>
      </c>
      <c r="AQ301" s="49">
        <f t="shared" si="215"/>
        <v>10.446660572253716</v>
      </c>
      <c r="AR301" s="61">
        <f t="shared" si="216"/>
        <v>105.00856755909561</v>
      </c>
      <c r="AS301" s="58" t="str">
        <f t="shared" si="217"/>
        <v>0.892629281280659-1.12081195666268i</v>
      </c>
      <c r="AT301" s="64">
        <f t="shared" si="218"/>
        <v>3.1239031931000176</v>
      </c>
      <c r="AU301" s="61">
        <f t="shared" si="219"/>
        <v>-51.465726112340441</v>
      </c>
    </row>
    <row r="302" spans="14:47" x14ac:dyDescent="0.35">
      <c r="N302" s="10">
        <v>84</v>
      </c>
      <c r="O302" s="50">
        <f t="shared" si="220"/>
        <v>6918.3097091893687</v>
      </c>
      <c r="P302" s="48" t="str">
        <f t="shared" si="188"/>
        <v>547.187404092767</v>
      </c>
      <c r="Q302" s="17" t="str">
        <f t="shared" si="189"/>
        <v>1+833.663293975623i</v>
      </c>
      <c r="R302" s="17">
        <f t="shared" si="197"/>
        <v>833.66389373792958</v>
      </c>
      <c r="S302" s="17">
        <f t="shared" si="198"/>
        <v>1.5695968023254776</v>
      </c>
      <c r="T302" s="17" t="str">
        <f t="shared" si="190"/>
        <v>1+0.0157745246531693i</v>
      </c>
      <c r="U302" s="17">
        <f t="shared" si="199"/>
        <v>1.0001244100750832</v>
      </c>
      <c r="V302" s="17">
        <f t="shared" si="200"/>
        <v>1.5773216427234015E-2</v>
      </c>
      <c r="W302" s="31" t="str">
        <f t="shared" si="191"/>
        <v>1-0.273928531642584i</v>
      </c>
      <c r="X302" s="17">
        <f t="shared" si="201"/>
        <v>1.0368398335557243</v>
      </c>
      <c r="Y302" s="17">
        <f t="shared" si="202"/>
        <v>-0.26736980267972266</v>
      </c>
      <c r="Z302" s="31" t="str">
        <f t="shared" si="192"/>
        <v>0.984177517609169+1.31065659086123i</v>
      </c>
      <c r="AA302" s="17">
        <f t="shared" si="203"/>
        <v>1.6390320574458965</v>
      </c>
      <c r="AB302" s="17">
        <f t="shared" si="204"/>
        <v>0.92671679147288333</v>
      </c>
      <c r="AC302" s="66" t="str">
        <f t="shared" si="205"/>
        <v>-0.383496627429654-0.159291516690822i</v>
      </c>
      <c r="AD302" s="64">
        <f t="shared" si="206"/>
        <v>-7.6335329563427763</v>
      </c>
      <c r="AE302" s="61">
        <f t="shared" si="207"/>
        <v>-157.4436557979478</v>
      </c>
      <c r="AF302" s="31" t="str">
        <f t="shared" si="193"/>
        <v>-0.000106860158311346</v>
      </c>
      <c r="AG302" s="31" t="str">
        <f t="shared" si="194"/>
        <v>0.00020082688124867i</v>
      </c>
      <c r="AH302" s="31">
        <f t="shared" si="208"/>
        <v>2.0082688124866999E-4</v>
      </c>
      <c r="AI302" s="31">
        <f t="shared" si="209"/>
        <v>1.5707963267948966</v>
      </c>
      <c r="AJ302" s="31" t="str">
        <f t="shared" si="195"/>
        <v>1+3.17041593605591i</v>
      </c>
      <c r="AK302" s="31">
        <f t="shared" si="210"/>
        <v>3.3243852375435181</v>
      </c>
      <c r="AL302" s="31">
        <f t="shared" si="211"/>
        <v>1.2652570738641313</v>
      </c>
      <c r="AM302" s="31" t="str">
        <f t="shared" si="196"/>
        <v>1+20.3435022563587i</v>
      </c>
      <c r="AN302" s="31">
        <f t="shared" si="212"/>
        <v>20.368065299739971</v>
      </c>
      <c r="AO302" s="31">
        <f t="shared" si="213"/>
        <v>1.5216801164191196</v>
      </c>
      <c r="AP302" s="58" t="str">
        <f t="shared" si="214"/>
        <v>-0.826836484985845+3.15351643890765i</v>
      </c>
      <c r="AQ302" s="49">
        <f t="shared" si="215"/>
        <v>10.264648057936707</v>
      </c>
      <c r="AR302" s="61">
        <f t="shared" si="216"/>
        <v>104.69195810830432</v>
      </c>
      <c r="AS302" s="58" t="str">
        <f t="shared" si="217"/>
        <v>0.819417419890901-1.07765488111635i</v>
      </c>
      <c r="AT302" s="64">
        <f t="shared" si="218"/>
        <v>2.6311151015939194</v>
      </c>
      <c r="AU302" s="61">
        <f t="shared" si="219"/>
        <v>-52.751697689643365</v>
      </c>
    </row>
    <row r="303" spans="14:47" x14ac:dyDescent="0.35">
      <c r="N303" s="10">
        <v>85</v>
      </c>
      <c r="O303" s="50">
        <f t="shared" si="220"/>
        <v>7079.4578438413828</v>
      </c>
      <c r="P303" s="48" t="str">
        <f t="shared" si="188"/>
        <v>547.187404092767</v>
      </c>
      <c r="Q303" s="17" t="str">
        <f t="shared" si="189"/>
        <v>1+853.081806646945i</v>
      </c>
      <c r="R303" s="17">
        <f t="shared" si="197"/>
        <v>853.0823927570043</v>
      </c>
      <c r="S303" s="17">
        <f t="shared" si="198"/>
        <v>1.5696241068106289</v>
      </c>
      <c r="T303" s="17" t="str">
        <f t="shared" si="190"/>
        <v>1+0.0161419605341481i</v>
      </c>
      <c r="U303" s="17">
        <f t="shared" si="199"/>
        <v>1.000130272959421</v>
      </c>
      <c r="V303" s="17">
        <f t="shared" si="200"/>
        <v>1.6140558754664202E-2</v>
      </c>
      <c r="W303" s="31" t="str">
        <f t="shared" si="191"/>
        <v>1-0.280309146815613i</v>
      </c>
      <c r="X303" s="17">
        <f t="shared" si="201"/>
        <v>1.0385437967599136</v>
      </c>
      <c r="Y303" s="17">
        <f t="shared" si="202"/>
        <v>-0.27329535182049547</v>
      </c>
      <c r="Z303" s="31" t="str">
        <f t="shared" si="192"/>
        <v>0.983431826987528+1.34118570471487i</v>
      </c>
      <c r="AA303" s="17">
        <f t="shared" si="203"/>
        <v>1.6631047029166712</v>
      </c>
      <c r="AB303" s="17">
        <f t="shared" si="204"/>
        <v>0.93809809208184813</v>
      </c>
      <c r="AC303" s="66" t="str">
        <f t="shared" si="205"/>
        <v>-0.37250560766754-0.147366722333138i</v>
      </c>
      <c r="AD303" s="64">
        <f t="shared" si="206"/>
        <v>-7.945861784851437</v>
      </c>
      <c r="AE303" s="61">
        <f t="shared" si="207"/>
        <v>-158.41578251203751</v>
      </c>
      <c r="AF303" s="31" t="str">
        <f t="shared" si="193"/>
        <v>-0.000106860158311346</v>
      </c>
      <c r="AG303" s="31" t="str">
        <f t="shared" si="194"/>
        <v>0.000205504740243363i</v>
      </c>
      <c r="AH303" s="31">
        <f t="shared" si="208"/>
        <v>2.0550474024336299E-4</v>
      </c>
      <c r="AI303" s="31">
        <f t="shared" si="209"/>
        <v>1.5707963267948966</v>
      </c>
      <c r="AJ303" s="31" t="str">
        <f t="shared" si="195"/>
        <v>1+3.24426440998124i</v>
      </c>
      <c r="AK303" s="31">
        <f t="shared" si="210"/>
        <v>3.3948860896753104</v>
      </c>
      <c r="AL303" s="31">
        <f t="shared" si="211"/>
        <v>1.2718005432130701</v>
      </c>
      <c r="AM303" s="31" t="str">
        <f t="shared" si="196"/>
        <v>1+20.8173632973796i</v>
      </c>
      <c r="AN303" s="31">
        <f t="shared" si="212"/>
        <v>20.841367869098406</v>
      </c>
      <c r="AO303" s="31">
        <f t="shared" si="213"/>
        <v>1.5227964014381439</v>
      </c>
      <c r="AP303" s="58" t="str">
        <f t="shared" si="214"/>
        <v>-0.792851603226669+3.09220901459887i</v>
      </c>
      <c r="AQ303" s="49">
        <f t="shared" si="215"/>
        <v>10.081899638547366</v>
      </c>
      <c r="AR303" s="61">
        <f t="shared" si="216"/>
        <v>104.38100335156072</v>
      </c>
      <c r="AS303" s="58" t="str">
        <f t="shared" si="217"/>
        <v>0.751030375500552-1.03502525595411i</v>
      </c>
      <c r="AT303" s="64">
        <f t="shared" si="218"/>
        <v>2.1360378536959366</v>
      </c>
      <c r="AU303" s="61">
        <f t="shared" si="219"/>
        <v>-54.034779160476781</v>
      </c>
    </row>
    <row r="304" spans="14:47" x14ac:dyDescent="0.35">
      <c r="N304" s="10">
        <v>86</v>
      </c>
      <c r="O304" s="50">
        <f t="shared" si="220"/>
        <v>7244.3596007499036</v>
      </c>
      <c r="P304" s="48" t="str">
        <f t="shared" si="188"/>
        <v>547.187404092767</v>
      </c>
      <c r="Q304" s="17" t="str">
        <f t="shared" si="189"/>
        <v>1+872.952634584026i</v>
      </c>
      <c r="R304" s="17">
        <f t="shared" si="197"/>
        <v>872.95320735260032</v>
      </c>
      <c r="S304" s="17">
        <f t="shared" si="198"/>
        <v>1.5696507897715068</v>
      </c>
      <c r="T304" s="17" t="str">
        <f t="shared" si="190"/>
        <v>1+0.0165179550962663i</v>
      </c>
      <c r="U304" s="17">
        <f t="shared" si="199"/>
        <v>1.0001364121161485</v>
      </c>
      <c r="V304" s="17">
        <f t="shared" si="200"/>
        <v>1.6516453073552075E-2</v>
      </c>
      <c r="W304" s="31" t="str">
        <f t="shared" si="191"/>
        <v>1-0.286838385608614i</v>
      </c>
      <c r="X304" s="17">
        <f t="shared" si="201"/>
        <v>1.0403250739353329</v>
      </c>
      <c r="Y304" s="17">
        <f t="shared" si="202"/>
        <v>-0.27933861229910206</v>
      </c>
      <c r="Z304" s="31" t="str">
        <f t="shared" si="192"/>
        <v>0.982650993049594+1.37242593298186i</v>
      </c>
      <c r="AA304" s="17">
        <f t="shared" si="203"/>
        <v>1.6879442868952999</v>
      </c>
      <c r="AB304" s="17">
        <f t="shared" si="204"/>
        <v>0.94941550390625473</v>
      </c>
      <c r="AC304" s="66" t="str">
        <f t="shared" si="205"/>
        <v>-0.361652631507552-0.136004962447178i</v>
      </c>
      <c r="AD304" s="64">
        <f t="shared" si="206"/>
        <v>-8.2596935269128196</v>
      </c>
      <c r="AE304" s="61">
        <f t="shared" si="207"/>
        <v>-159.39046742753783</v>
      </c>
      <c r="AF304" s="31" t="str">
        <f t="shared" si="193"/>
        <v>-0.000106860158311346</v>
      </c>
      <c r="AG304" s="31" t="str">
        <f t="shared" si="194"/>
        <v>0.00021029156057151i</v>
      </c>
      <c r="AH304" s="31">
        <f t="shared" si="208"/>
        <v>2.1029156057151001E-4</v>
      </c>
      <c r="AI304" s="31">
        <f t="shared" si="209"/>
        <v>1.5707963267948966</v>
      </c>
      <c r="AJ304" s="31" t="str">
        <f t="shared" si="195"/>
        <v>1+3.31983303583967i</v>
      </c>
      <c r="AK304" s="31">
        <f t="shared" si="210"/>
        <v>3.467173400026661</v>
      </c>
      <c r="AL304" s="31">
        <f t="shared" si="211"/>
        <v>1.2782206719944769</v>
      </c>
      <c r="AM304" s="31" t="str">
        <f t="shared" si="196"/>
        <v>1+21.3022619799711i</v>
      </c>
      <c r="AN304" s="31">
        <f t="shared" si="212"/>
        <v>21.325720748976391</v>
      </c>
      <c r="AO304" s="31">
        <f t="shared" si="213"/>
        <v>1.5238873924005618</v>
      </c>
      <c r="AP304" s="58" t="str">
        <f t="shared" si="214"/>
        <v>-0.760135819448989+3.03167639137561i</v>
      </c>
      <c r="AQ304" s="49">
        <f t="shared" si="215"/>
        <v>9.8984425047958098</v>
      </c>
      <c r="AR304" s="61">
        <f t="shared" si="216"/>
        <v>104.0756662460891</v>
      </c>
      <c r="AS304" s="58" t="str">
        <f t="shared" si="217"/>
        <v>0.687228153167912-0.993031501241394i</v>
      </c>
      <c r="AT304" s="64">
        <f t="shared" si="218"/>
        <v>1.6387489778829922</v>
      </c>
      <c r="AU304" s="61">
        <f t="shared" si="219"/>
        <v>-55.314801181448743</v>
      </c>
    </row>
    <row r="305" spans="14:47" x14ac:dyDescent="0.35">
      <c r="N305" s="10">
        <v>87</v>
      </c>
      <c r="O305" s="50">
        <f t="shared" si="220"/>
        <v>7413.1024130091773</v>
      </c>
      <c r="P305" s="48" t="str">
        <f t="shared" si="188"/>
        <v>547.187404092767</v>
      </c>
      <c r="Q305" s="17" t="str">
        <f t="shared" si="189"/>
        <v>1+893.286313562855i</v>
      </c>
      <c r="R305" s="17">
        <f t="shared" si="197"/>
        <v>893.28687329363311</v>
      </c>
      <c r="S305" s="17">
        <f t="shared" si="198"/>
        <v>1.5696768653556183</v>
      </c>
      <c r="T305" s="17" t="str">
        <f t="shared" si="190"/>
        <v>1+0.0169027076968175i</v>
      </c>
      <c r="U305" s="17">
        <f t="shared" si="199"/>
        <v>1.000142840562029</v>
      </c>
      <c r="V305" s="17">
        <f t="shared" si="200"/>
        <v>1.6901098262896597E-2</v>
      </c>
      <c r="W305" s="31" t="str">
        <f t="shared" si="191"/>
        <v>1-0.29351970991042i</v>
      </c>
      <c r="X305" s="17">
        <f t="shared" si="201"/>
        <v>1.0421870370072241</v>
      </c>
      <c r="Y305" s="17">
        <f t="shared" si="202"/>
        <v>-0.28550102199333205</v>
      </c>
      <c r="Z305" s="31" t="str">
        <f t="shared" si="192"/>
        <v>0.981833359541897+1.40439383964471i</v>
      </c>
      <c r="AA305" s="17">
        <f t="shared" si="203"/>
        <v>1.7135690247962989</v>
      </c>
      <c r="AB305" s="17">
        <f t="shared" si="204"/>
        <v>0.96066430112073942</v>
      </c>
      <c r="AC305" s="66" t="str">
        <f t="shared" si="205"/>
        <v>-0.350946452175159-0.125190684892498i</v>
      </c>
      <c r="AD305" s="64">
        <f t="shared" si="206"/>
        <v>-8.5749753227404106</v>
      </c>
      <c r="AE305" s="61">
        <f t="shared" si="207"/>
        <v>-160.3675115745946</v>
      </c>
      <c r="AF305" s="31" t="str">
        <f t="shared" si="193"/>
        <v>-0.000106860158311346</v>
      </c>
      <c r="AG305" s="31" t="str">
        <f t="shared" si="194"/>
        <v>0.00021518988026861i</v>
      </c>
      <c r="AH305" s="31">
        <f t="shared" si="208"/>
        <v>2.1518988026861E-4</v>
      </c>
      <c r="AI305" s="31">
        <f t="shared" si="209"/>
        <v>1.5707963267948966</v>
      </c>
      <c r="AJ305" s="31" t="str">
        <f t="shared" si="195"/>
        <v>1+3.39716188111687i</v>
      </c>
      <c r="AK305" s="31">
        <f t="shared" si="210"/>
        <v>3.5412863265363774</v>
      </c>
      <c r="AL305" s="31">
        <f t="shared" si="211"/>
        <v>1.2845187464642931</v>
      </c>
      <c r="AM305" s="31" t="str">
        <f t="shared" si="196"/>
        <v>1+21.7984554038332i</v>
      </c>
      <c r="AN305" s="31">
        <f t="shared" si="212"/>
        <v>21.821380753584425</v>
      </c>
      <c r="AO305" s="31">
        <f t="shared" si="213"/>
        <v>1.5249536573698019</v>
      </c>
      <c r="AP305" s="58" t="str">
        <f t="shared" si="214"/>
        <v>-0.728652127264758+2.97193465709351i</v>
      </c>
      <c r="AQ305" s="49">
        <f t="shared" si="215"/>
        <v>9.7143030800901382</v>
      </c>
      <c r="AR305" s="61">
        <f t="shared" si="216"/>
        <v>103.77590564248963</v>
      </c>
      <c r="AS305" s="58" t="str">
        <f t="shared" si="217"/>
        <v>0.627776414110737-0.951769465142714i</v>
      </c>
      <c r="AT305" s="64">
        <f t="shared" si="218"/>
        <v>1.1393277573497258</v>
      </c>
      <c r="AU305" s="61">
        <f t="shared" si="219"/>
        <v>-56.591605932104954</v>
      </c>
    </row>
    <row r="306" spans="14:47" x14ac:dyDescent="0.35">
      <c r="N306" s="10">
        <v>88</v>
      </c>
      <c r="O306" s="50">
        <f t="shared" si="220"/>
        <v>7585.7757502918394</v>
      </c>
      <c r="P306" s="48" t="str">
        <f t="shared" si="188"/>
        <v>547.187404092767</v>
      </c>
      <c r="Q306" s="17" t="str">
        <f t="shared" si="189"/>
        <v>1+914.093624769178i</v>
      </c>
      <c r="R306" s="17">
        <f t="shared" si="197"/>
        <v>914.09417175893577</v>
      </c>
      <c r="S306" s="17">
        <f t="shared" si="198"/>
        <v>1.5697023473884413</v>
      </c>
      <c r="T306" s="17" t="str">
        <f t="shared" si="190"/>
        <v>1+0.0172964223367233i</v>
      </c>
      <c r="U306" s="17">
        <f t="shared" si="199"/>
        <v>1.0001495719269446</v>
      </c>
      <c r="V306" s="17">
        <f t="shared" si="200"/>
        <v>1.7294697811135362E-2</v>
      </c>
      <c r="W306" s="31" t="str">
        <f t="shared" si="191"/>
        <v>1-0.300356662247612i</v>
      </c>
      <c r="X306" s="17">
        <f t="shared" si="201"/>
        <v>1.0441331929196227</v>
      </c>
      <c r="Y306" s="17">
        <f t="shared" si="202"/>
        <v>-0.29178397542003071</v>
      </c>
      <c r="Z306" s="31" t="str">
        <f t="shared" si="192"/>
        <v>0.980977192154143+1.43710637451069i</v>
      </c>
      <c r="AA306" s="17">
        <f t="shared" si="203"/>
        <v>1.7399974089595323</v>
      </c>
      <c r="AB306" s="17">
        <f t="shared" si="204"/>
        <v>0.97183993988124384</v>
      </c>
      <c r="AC306" s="66" t="str">
        <f t="shared" si="205"/>
        <v>-0.340395274804222-0.114908140264846i</v>
      </c>
      <c r="AD306" s="64">
        <f t="shared" si="206"/>
        <v>-8.8916518850480948</v>
      </c>
      <c r="AE306" s="61">
        <f t="shared" si="207"/>
        <v>-161.34672364316324</v>
      </c>
      <c r="AF306" s="31" t="str">
        <f t="shared" si="193"/>
        <v>-0.000106860158311346</v>
      </c>
      <c r="AG306" s="31" t="str">
        <f t="shared" si="194"/>
        <v>0.000220202296488603i</v>
      </c>
      <c r="AH306" s="31">
        <f t="shared" si="208"/>
        <v>2.20202296488603E-4</v>
      </c>
      <c r="AI306" s="31">
        <f t="shared" si="209"/>
        <v>1.5707963267948966</v>
      </c>
      <c r="AJ306" s="31" t="str">
        <f t="shared" si="195"/>
        <v>1+3.4762919465902i</v>
      </c>
      <c r="AK306" s="31">
        <f t="shared" si="210"/>
        <v>3.6172649471566052</v>
      </c>
      <c r="AL306" s="31">
        <f t="shared" si="211"/>
        <v>1.2906961066510769</v>
      </c>
      <c r="AM306" s="31" t="str">
        <f t="shared" si="196"/>
        <v>1+22.306206657287i</v>
      </c>
      <c r="AN306" s="31">
        <f t="shared" si="212"/>
        <v>22.328610692060419</v>
      </c>
      <c r="AO306" s="31">
        <f t="shared" si="213"/>
        <v>1.525995751990076</v>
      </c>
      <c r="AP306" s="58" t="str">
        <f t="shared" si="214"/>
        <v>-0.698363740518914+2.91299800838844i</v>
      </c>
      <c r="AQ306" s="49">
        <f t="shared" si="215"/>
        <v>9.5295070224366558</v>
      </c>
      <c r="AR306" s="61">
        <f t="shared" si="216"/>
        <v>103.48167659884976</v>
      </c>
      <c r="AS306" s="58" t="str">
        <f t="shared" si="217"/>
        <v>0.572446901106356-0.911323078918104i</v>
      </c>
      <c r="AT306" s="64">
        <f t="shared" si="218"/>
        <v>0.63785513738855859</v>
      </c>
      <c r="AU306" s="61">
        <f t="shared" si="219"/>
        <v>-57.865047044313492</v>
      </c>
    </row>
    <row r="307" spans="14:47" x14ac:dyDescent="0.35">
      <c r="N307" s="10">
        <v>89</v>
      </c>
      <c r="O307" s="50">
        <f t="shared" si="220"/>
        <v>7762.4711662869322</v>
      </c>
      <c r="P307" s="48" t="str">
        <f t="shared" si="188"/>
        <v>547.187404092767</v>
      </c>
      <c r="Q307" s="17" t="str">
        <f t="shared" si="189"/>
        <v>1+935.385600514813i</v>
      </c>
      <c r="R307" s="17">
        <f t="shared" si="197"/>
        <v>935.38613505357102</v>
      </c>
      <c r="S307" s="17">
        <f t="shared" si="198"/>
        <v>1.5697272493807541</v>
      </c>
      <c r="T307" s="17" t="str">
        <f t="shared" si="190"/>
        <v>1+0.0176993077686973i</v>
      </c>
      <c r="U307" s="17">
        <f t="shared" si="199"/>
        <v>1.0001566204827577</v>
      </c>
      <c r="V307" s="17">
        <f t="shared" si="200"/>
        <v>1.7697459921865524E-2</v>
      </c>
      <c r="W307" s="31" t="str">
        <f t="shared" si="191"/>
        <v>1-0.307352867662819i</v>
      </c>
      <c r="X307" s="17">
        <f t="shared" si="201"/>
        <v>1.0461671880060845</v>
      </c>
      <c r="Y307" s="17">
        <f t="shared" si="202"/>
        <v>-0.29818881895425509</v>
      </c>
      <c r="Z307" s="31" t="str">
        <f t="shared" si="192"/>
        <v>0.980080674840517+1.47058088219879i</v>
      </c>
      <c r="AA307" s="17">
        <f t="shared" si="203"/>
        <v>1.7672482169419255</v>
      </c>
      <c r="AB307" s="17">
        <f t="shared" si="204"/>
        <v>0.98293806626790481</v>
      </c>
      <c r="AC307" s="66" t="str">
        <f t="shared" si="205"/>
        <v>-0.330006739453198-0.105141421798927i</v>
      </c>
      <c r="AD307" s="64">
        <f t="shared" si="206"/>
        <v>-9.2096655987787361</v>
      </c>
      <c r="AE307" s="61">
        <f t="shared" si="207"/>
        <v>-162.3279201585429</v>
      </c>
      <c r="AF307" s="31" t="str">
        <f t="shared" si="193"/>
        <v>-0.000106860158311346</v>
      </c>
      <c r="AG307" s="31" t="str">
        <f t="shared" si="194"/>
        <v>0.000225331466880917i</v>
      </c>
      <c r="AH307" s="31">
        <f t="shared" si="208"/>
        <v>2.2533146688091701E-4</v>
      </c>
      <c r="AI307" s="31">
        <f t="shared" si="209"/>
        <v>1.5707963267948966</v>
      </c>
      <c r="AJ307" s="31" t="str">
        <f t="shared" si="195"/>
        <v>1+3.55726518806777i</v>
      </c>
      <c r="AK307" s="31">
        <f t="shared" si="210"/>
        <v>3.6951502835796579</v>
      </c>
      <c r="AL307" s="31">
        <f t="shared" si="211"/>
        <v>1.2967541413360433</v>
      </c>
      <c r="AM307" s="31" t="str">
        <f t="shared" si="196"/>
        <v>1+22.8257849567682i</v>
      </c>
      <c r="AN307" s="31">
        <f t="shared" si="212"/>
        <v>22.847679507832417</v>
      </c>
      <c r="AO307" s="31">
        <f t="shared" si="213"/>
        <v>1.5270142197351992</v>
      </c>
      <c r="AP307" s="58" t="str">
        <f t="shared" si="214"/>
        <v>-0.669234174458761+2.8548788313897i</v>
      </c>
      <c r="AQ307" s="49">
        <f t="shared" si="215"/>
        <v>9.344079228291676</v>
      </c>
      <c r="AR307" s="61">
        <f t="shared" si="216"/>
        <v>103.1929306826231</v>
      </c>
      <c r="AS307" s="58" t="str">
        <f t="shared" si="217"/>
        <v>0.521017807239761-0.871765022061846i</v>
      </c>
      <c r="AT307" s="64">
        <f t="shared" si="218"/>
        <v>0.13441362951294339</v>
      </c>
      <c r="AU307" s="61">
        <f t="shared" si="219"/>
        <v>-59.134989475919774</v>
      </c>
    </row>
    <row r="308" spans="14:47" x14ac:dyDescent="0.35">
      <c r="N308" s="10">
        <v>90</v>
      </c>
      <c r="O308" s="50">
        <f t="shared" si="220"/>
        <v>7943.2823472428154</v>
      </c>
      <c r="P308" s="48" t="str">
        <f t="shared" si="188"/>
        <v>547.187404092767</v>
      </c>
      <c r="Q308" s="17" t="str">
        <f t="shared" si="189"/>
        <v>1+957.173530087132i</v>
      </c>
      <c r="R308" s="17">
        <f t="shared" si="197"/>
        <v>957.17405245830912</v>
      </c>
      <c r="S308" s="17">
        <f t="shared" si="198"/>
        <v>1.5697515845357994</v>
      </c>
      <c r="T308" s="17" t="str">
        <f t="shared" si="190"/>
        <v>1+0.0181115776079282i</v>
      </c>
      <c r="U308" s="17">
        <f t="shared" si="199"/>
        <v>1.0001640011735315</v>
      </c>
      <c r="V308" s="17">
        <f t="shared" si="200"/>
        <v>1.8109597621909456E-2</v>
      </c>
      <c r="W308" s="31" t="str">
        <f t="shared" si="191"/>
        <v>1-0.314512035636756i</v>
      </c>
      <c r="X308" s="17">
        <f t="shared" si="201"/>
        <v>1.0482928124147259</v>
      </c>
      <c r="Y308" s="17">
        <f t="shared" si="202"/>
        <v>-0.30471684583570491</v>
      </c>
      <c r="Z308" s="31" t="str">
        <f t="shared" si="192"/>
        <v>0.979141905967597+1.50483511133607i</v>
      </c>
      <c r="AA308" s="17">
        <f t="shared" si="203"/>
        <v>1.7953405204394235</v>
      </c>
      <c r="AB308" s="17">
        <f t="shared" si="204"/>
        <v>0.99395452324258882</v>
      </c>
      <c r="AC308" s="66" t="str">
        <f t="shared" si="205"/>
        <v>-0.319787908104761-0.0958745058470411i</v>
      </c>
      <c r="AD308" s="64">
        <f t="shared" si="206"/>
        <v>-9.5289566254322882</v>
      </c>
      <c r="AE308" s="61">
        <f t="shared" si="207"/>
        <v>-163.31092558812179</v>
      </c>
      <c r="AF308" s="31" t="str">
        <f t="shared" si="193"/>
        <v>-0.000106860158311346</v>
      </c>
      <c r="AG308" s="31" t="str">
        <f t="shared" si="194"/>
        <v>0.000230580110999585i</v>
      </c>
      <c r="AH308" s="31">
        <f t="shared" si="208"/>
        <v>2.3058011099958499E-4</v>
      </c>
      <c r="AI308" s="31">
        <f t="shared" si="209"/>
        <v>1.5707963267948966</v>
      </c>
      <c r="AJ308" s="31" t="str">
        <f t="shared" si="195"/>
        <v>1+3.64012453863402i</v>
      </c>
      <c r="AK308" s="31">
        <f t="shared" si="210"/>
        <v>3.7749843253668667</v>
      </c>
      <c r="AL308" s="31">
        <f t="shared" si="211"/>
        <v>1.3026942832456323</v>
      </c>
      <c r="AM308" s="31" t="str">
        <f t="shared" si="196"/>
        <v>1+23.3574657895683i</v>
      </c>
      <c r="AN308" s="31">
        <f t="shared" si="212"/>
        <v>23.37886242123114</v>
      </c>
      <c r="AO308" s="31">
        <f t="shared" si="213"/>
        <v>1.5280095921539771</v>
      </c>
      <c r="AP308" s="58" t="str">
        <f t="shared" si="214"/>
        <v>-0.641227319035829+2.79758778316375i</v>
      </c>
      <c r="AQ308" s="49">
        <f t="shared" si="215"/>
        <v>9.1580438381837883</v>
      </c>
      <c r="AR308" s="61">
        <f t="shared" si="216"/>
        <v>102.90961626013453</v>
      </c>
      <c r="AS308" s="58" t="str">
        <f t="shared" si="217"/>
        <v>0.473274089248636-0.833157392569188i</v>
      </c>
      <c r="AT308" s="64">
        <f t="shared" si="218"/>
        <v>-0.3709127872485008</v>
      </c>
      <c r="AU308" s="61">
        <f t="shared" si="219"/>
        <v>-60.401309327987242</v>
      </c>
    </row>
    <row r="309" spans="14:47" x14ac:dyDescent="0.35">
      <c r="N309" s="10">
        <v>91</v>
      </c>
      <c r="O309" s="50">
        <f t="shared" si="220"/>
        <v>8128.3051616410066</v>
      </c>
      <c r="P309" s="48" t="str">
        <f t="shared" si="188"/>
        <v>547.187404092767</v>
      </c>
      <c r="Q309" s="17" t="str">
        <f t="shared" si="189"/>
        <v>1+979.468965734796i</v>
      </c>
      <c r="R309" s="17">
        <f t="shared" si="197"/>
        <v>979.46947621535969</v>
      </c>
      <c r="S309" s="17">
        <f t="shared" si="198"/>
        <v>1.5697753657562832</v>
      </c>
      <c r="T309" s="17" t="str">
        <f t="shared" si="190"/>
        <v>1+0.018533450445342i</v>
      </c>
      <c r="U309" s="17">
        <f t="shared" si="199"/>
        <v>1.000171729647169</v>
      </c>
      <c r="V309" s="17">
        <f t="shared" si="200"/>
        <v>1.8531328871772567E-2</v>
      </c>
      <c r="W309" s="31" t="str">
        <f t="shared" si="191"/>
        <v>1-0.321837962055049i</v>
      </c>
      <c r="X309" s="17">
        <f t="shared" si="201"/>
        <v>1.0505140045804946</v>
      </c>
      <c r="Y309" s="17">
        <f t="shared" si="202"/>
        <v>-0.31136929096463295</v>
      </c>
      <c r="Z309" s="31" t="str">
        <f t="shared" si="192"/>
        <v>0.978158894280741+1.53988722396824i</v>
      </c>
      <c r="AA309" s="17">
        <f t="shared" si="203"/>
        <v>1.824293694831272</v>
      </c>
      <c r="AB309" s="17">
        <f t="shared" si="204"/>
        <v>1.0048853566146896</v>
      </c>
      <c r="AC309" s="66" t="str">
        <f t="shared" si="205"/>
        <v>-0.309745255593067-0.087091292537327i</v>
      </c>
      <c r="AD309" s="64">
        <f t="shared" si="206"/>
        <v>-9.8494630113993793</v>
      </c>
      <c r="AE309" s="61">
        <f t="shared" si="207"/>
        <v>-164.29557237909344</v>
      </c>
      <c r="AF309" s="31" t="str">
        <f t="shared" si="193"/>
        <v>-0.000106860158311346</v>
      </c>
      <c r="AG309" s="31" t="str">
        <f t="shared" si="194"/>
        <v>0.000235951011745194i</v>
      </c>
      <c r="AH309" s="31">
        <f t="shared" si="208"/>
        <v>2.3595101174519399E-4</v>
      </c>
      <c r="AI309" s="31">
        <f t="shared" si="209"/>
        <v>1.5707963267948966</v>
      </c>
      <c r="AJ309" s="31" t="str">
        <f t="shared" si="195"/>
        <v>1+3.72491393141342i</v>
      </c>
      <c r="AK309" s="31">
        <f t="shared" si="210"/>
        <v>3.8568100544929327</v>
      </c>
      <c r="AL309" s="31">
        <f t="shared" si="211"/>
        <v>1.3085180044575957</v>
      </c>
      <c r="AM309" s="31" t="str">
        <f t="shared" si="196"/>
        <v>1+23.9015310599027i</v>
      </c>
      <c r="AN309" s="31">
        <f t="shared" si="212"/>
        <v>23.922441075431529</v>
      </c>
      <c r="AO309" s="31">
        <f t="shared" si="213"/>
        <v>1.5289823891120977</v>
      </c>
      <c r="AP309" s="58" t="str">
        <f t="shared" si="214"/>
        <v>-0.614307504698479+2.74113387337787i</v>
      </c>
      <c r="AQ309" s="49">
        <f t="shared" si="215"/>
        <v>8.9714242439360348</v>
      </c>
      <c r="AR309" s="61">
        <f t="shared" si="216"/>
        <v>102.6316787736517</v>
      </c>
      <c r="AS309" s="58" t="str">
        <f t="shared" si="217"/>
        <v>0.429007727105898-0.795552377624671i</v>
      </c>
      <c r="AT309" s="64">
        <f t="shared" si="218"/>
        <v>-0.87803876746334886</v>
      </c>
      <c r="AU309" s="61">
        <f t="shared" si="219"/>
        <v>-61.663893605441721</v>
      </c>
    </row>
    <row r="310" spans="14:47" x14ac:dyDescent="0.35">
      <c r="N310" s="10">
        <v>92</v>
      </c>
      <c r="O310" s="50">
        <f t="shared" si="220"/>
        <v>8317.6377110267094</v>
      </c>
      <c r="P310" s="48" t="str">
        <f t="shared" si="188"/>
        <v>547.187404092767</v>
      </c>
      <c r="Q310" s="17" t="str">
        <f t="shared" si="189"/>
        <v>1+1002.28372879289i</v>
      </c>
      <c r="R310" s="17">
        <f t="shared" si="197"/>
        <v>1002.2842276535032</v>
      </c>
      <c r="S310" s="17">
        <f t="shared" si="198"/>
        <v>1.5697986056512157</v>
      </c>
      <c r="T310" s="17" t="str">
        <f t="shared" si="190"/>
        <v>1+0.0189651499635011i</v>
      </c>
      <c r="U310" s="17">
        <f t="shared" si="199"/>
        <v>1.0001798222885412</v>
      </c>
      <c r="V310" s="17">
        <f t="shared" si="200"/>
        <v>1.8962876678537782E-2</v>
      </c>
      <c r="W310" s="31" t="str">
        <f t="shared" si="191"/>
        <v>1-0.32933453122085i</v>
      </c>
      <c r="X310" s="17">
        <f t="shared" si="201"/>
        <v>1.052834855736861</v>
      </c>
      <c r="Y310" s="17">
        <f t="shared" si="202"/>
        <v>-0.31814732549085711</v>
      </c>
      <c r="Z310" s="31" t="str">
        <f t="shared" si="192"/>
        <v>0.977129554680366+1.57575580518936i</v>
      </c>
      <c r="AA310" s="17">
        <f t="shared" si="203"/>
        <v>1.8541274293364571</v>
      </c>
      <c r="AB310" s="17">
        <f t="shared" si="204"/>
        <v>1.0157268200174334</v>
      </c>
      <c r="AC310" s="66" t="str">
        <f t="shared" si="205"/>
        <v>-0.299884664361872-0.0787756462336666i</v>
      </c>
      <c r="AD310" s="64">
        <f t="shared" si="206"/>
        <v>-10.171120799726696</v>
      </c>
      <c r="AE310" s="61">
        <f t="shared" si="207"/>
        <v>-165.28170092747283</v>
      </c>
      <c r="AF310" s="31" t="str">
        <f t="shared" si="193"/>
        <v>-0.000106860158311346</v>
      </c>
      <c r="AG310" s="31" t="str">
        <f t="shared" si="194"/>
        <v>0.00024144701684041i</v>
      </c>
      <c r="AH310" s="31">
        <f t="shared" si="208"/>
        <v>2.4144701684041E-4</v>
      </c>
      <c r="AI310" s="31">
        <f t="shared" si="209"/>
        <v>1.5707963267948966</v>
      </c>
      <c r="AJ310" s="31" t="str">
        <f t="shared" si="195"/>
        <v>1+3.8116783228643i</v>
      </c>
      <c r="AK310" s="31">
        <f t="shared" si="210"/>
        <v>3.940671470319951</v>
      </c>
      <c r="AL310" s="31">
        <f t="shared" si="211"/>
        <v>1.3142268120203819</v>
      </c>
      <c r="AM310" s="31" t="str">
        <f t="shared" si="196"/>
        <v>1+24.4582692383792i</v>
      </c>
      <c r="AN310" s="31">
        <f t="shared" si="212"/>
        <v>24.478703685796887</v>
      </c>
      <c r="AO310" s="31">
        <f t="shared" si="213"/>
        <v>1.5299331190304619</v>
      </c>
      <c r="AP310" s="58" t="str">
        <f t="shared" si="214"/>
        <v>-0.588439561047071+2.68552454572656i</v>
      </c>
      <c r="AQ310" s="49">
        <f t="shared" si="215"/>
        <v>8.784243097324282</v>
      </c>
      <c r="AR310" s="61">
        <f t="shared" si="216"/>
        <v>102.35906100603077</v>
      </c>
      <c r="AS310" s="58" t="str">
        <f t="shared" si="217"/>
        <v>0.388017931827832-0.75899292033984i</v>
      </c>
      <c r="AT310" s="64">
        <f t="shared" si="218"/>
        <v>-1.3868777024024135</v>
      </c>
      <c r="AU310" s="61">
        <f t="shared" si="219"/>
        <v>-62.922639921442041</v>
      </c>
    </row>
    <row r="311" spans="14:47" x14ac:dyDescent="0.35">
      <c r="N311" s="10">
        <v>93</v>
      </c>
      <c r="O311" s="50">
        <f t="shared" si="220"/>
        <v>8511.3803820237772</v>
      </c>
      <c r="P311" s="48" t="str">
        <f t="shared" si="188"/>
        <v>547.187404092767</v>
      </c>
      <c r="Q311" s="17" t="str">
        <f t="shared" si="189"/>
        <v>1+1025.62991595079i</v>
      </c>
      <c r="R311" s="17">
        <f t="shared" si="197"/>
        <v>1025.6304034559548</v>
      </c>
      <c r="S311" s="17">
        <f t="shared" si="198"/>
        <v>1.5698213165425958</v>
      </c>
      <c r="T311" s="17" t="str">
        <f t="shared" si="190"/>
        <v>1+0.0194069050552043i</v>
      </c>
      <c r="U311" s="17">
        <f t="shared" si="199"/>
        <v>1.0001882962541713</v>
      </c>
      <c r="V311" s="17">
        <f t="shared" si="200"/>
        <v>1.9404469211246441E-2</v>
      </c>
      <c r="W311" s="31" t="str">
        <f t="shared" si="191"/>
        <v>1-0.337005717914363i</v>
      </c>
      <c r="X311" s="17">
        <f t="shared" si="201"/>
        <v>1.0552596144584399</v>
      </c>
      <c r="Y311" s="17">
        <f t="shared" si="202"/>
        <v>-0.32505205120120573</v>
      </c>
      <c r="Z311" s="31" t="str">
        <f t="shared" si="192"/>
        <v>0.976051703799174+1.61245987299599i</v>
      </c>
      <c r="AA311" s="17">
        <f t="shared" si="203"/>
        <v>1.8848617377705756</v>
      </c>
      <c r="AB311" s="17">
        <f t="shared" si="204"/>
        <v>1.0264753789051626</v>
      </c>
      <c r="AC311" s="66" t="str">
        <f t="shared" si="205"/>
        <v>-0.290211422919239-0.0709114354417621i</v>
      </c>
      <c r="AD311" s="64">
        <f t="shared" si="206"/>
        <v>-10.493864144772759</v>
      </c>
      <c r="AE311" s="61">
        <f t="shared" si="207"/>
        <v>-166.2691594793225</v>
      </c>
      <c r="AF311" s="31" t="str">
        <f t="shared" si="193"/>
        <v>-0.000106860158311346</v>
      </c>
      <c r="AG311" s="31" t="str">
        <f t="shared" si="194"/>
        <v>0.000247071040339885i</v>
      </c>
      <c r="AH311" s="31">
        <f t="shared" si="208"/>
        <v>2.4707104033988499E-4</v>
      </c>
      <c r="AI311" s="31">
        <f t="shared" si="209"/>
        <v>1.5707963267948966</v>
      </c>
      <c r="AJ311" s="31" t="str">
        <f t="shared" si="195"/>
        <v>1+3.9004637166155i</v>
      </c>
      <c r="AK311" s="31">
        <f t="shared" si="210"/>
        <v>4.0266136150162213</v>
      </c>
      <c r="AL311" s="31">
        <f t="shared" si="211"/>
        <v>1.3198222437845488</v>
      </c>
      <c r="AM311" s="31" t="str">
        <f t="shared" si="196"/>
        <v>1+25.0279755149494i</v>
      </c>
      <c r="AN311" s="31">
        <f t="shared" si="212"/>
        <v>25.047945192708053</v>
      </c>
      <c r="AO311" s="31">
        <f t="shared" si="213"/>
        <v>1.5308622791199165</v>
      </c>
      <c r="AP311" s="58" t="str">
        <f t="shared" si="214"/>
        <v>-0.563588868732412+2.63076575871455i</v>
      </c>
      <c r="AQ311" s="49">
        <f t="shared" si="215"/>
        <v>8.5965223200154135</v>
      </c>
      <c r="AR311" s="61">
        <f t="shared" si="216"/>
        <v>102.09170333300835</v>
      </c>
      <c r="AS311" s="58" t="str">
        <f t="shared" si="217"/>
        <v>0.350111303797763-0.723513378522947i</v>
      </c>
      <c r="AT311" s="64">
        <f t="shared" si="218"/>
        <v>-1.8973418247573441</v>
      </c>
      <c r="AU311" s="61">
        <f t="shared" si="219"/>
        <v>-64.177456146314114</v>
      </c>
    </row>
    <row r="312" spans="14:47" x14ac:dyDescent="0.35">
      <c r="N312" s="10">
        <v>94</v>
      </c>
      <c r="O312" s="50">
        <f t="shared" si="220"/>
        <v>8709.6358995608189</v>
      </c>
      <c r="P312" s="48" t="str">
        <f t="shared" si="188"/>
        <v>547.187404092767</v>
      </c>
      <c r="Q312" s="17" t="str">
        <f t="shared" si="189"/>
        <v>1+1049.51990566594i</v>
      </c>
      <c r="R312" s="17">
        <f t="shared" si="197"/>
        <v>1049.5203820741376</v>
      </c>
      <c r="S312" s="17">
        <f t="shared" si="198"/>
        <v>1.5698435104719457</v>
      </c>
      <c r="T312" s="17" t="str">
        <f t="shared" si="190"/>
        <v>1+0.0198589499448485i</v>
      </c>
      <c r="U312" s="17">
        <f t="shared" si="199"/>
        <v>1.0001971695085485</v>
      </c>
      <c r="V312" s="17">
        <f t="shared" si="200"/>
        <v>1.9856339918811045E-2</v>
      </c>
      <c r="W312" s="31" t="str">
        <f t="shared" si="191"/>
        <v>1-0.344855589500312i</v>
      </c>
      <c r="X312" s="17">
        <f t="shared" si="201"/>
        <v>1.057792691225274</v>
      </c>
      <c r="Y312" s="17">
        <f t="shared" si="202"/>
        <v>-0.33208449471239976</v>
      </c>
      <c r="Z312" s="31" t="str">
        <f t="shared" si="192"/>
        <v>0.974923055370936+1.65001888837071i</v>
      </c>
      <c r="AA312" s="17">
        <f t="shared" si="203"/>
        <v>1.9165169698893656</v>
      </c>
      <c r="AB312" s="17">
        <f t="shared" si="204"/>
        <v>1.0371277135895414</v>
      </c>
      <c r="AC312" s="66" t="str">
        <f t="shared" si="205"/>
        <v>-0.280730227821418-0.0634825718323203i</v>
      </c>
      <c r="AD312" s="64">
        <f t="shared" si="206"/>
        <v>-10.817625429243341</v>
      </c>
      <c r="AE312" s="61">
        <f t="shared" si="207"/>
        <v>-167.25780396560725</v>
      </c>
      <c r="AF312" s="31" t="str">
        <f t="shared" si="193"/>
        <v>-0.000106860158311346</v>
      </c>
      <c r="AG312" s="31" t="str">
        <f t="shared" si="194"/>
        <v>0.00025282606417532i</v>
      </c>
      <c r="AH312" s="31">
        <f t="shared" si="208"/>
        <v>2.5282606417532E-4</v>
      </c>
      <c r="AI312" s="31">
        <f t="shared" si="209"/>
        <v>1.5707963267948966</v>
      </c>
      <c r="AJ312" s="31" t="str">
        <f t="shared" si="195"/>
        <v>1+3.99131718785799i</v>
      </c>
      <c r="AK312" s="31">
        <f t="shared" si="210"/>
        <v>4.1146825994346896</v>
      </c>
      <c r="AL312" s="31">
        <f t="shared" si="211"/>
        <v>1.3253058644439173</v>
      </c>
      <c r="AM312" s="31" t="str">
        <f t="shared" si="196"/>
        <v>1+25.610951955422i</v>
      </c>
      <c r="AN312" s="31">
        <f t="shared" si="212"/>
        <v>25.630467417956584</v>
      </c>
      <c r="AO312" s="31">
        <f t="shared" si="213"/>
        <v>1.531770355612343</v>
      </c>
      <c r="AP312" s="58" t="str">
        <f t="shared" si="214"/>
        <v>-0.539721404982893+2.57686206544003i</v>
      </c>
      <c r="AQ312" s="49">
        <f t="shared" si="215"/>
        <v>8.408283114640783</v>
      </c>
      <c r="AR312" s="61">
        <f t="shared" si="216"/>
        <v>101.82954396326696</v>
      </c>
      <c r="AS312" s="58" t="str">
        <f t="shared" si="217"/>
        <v>0.315101944152221-0.689140171834082i</v>
      </c>
      <c r="AT312" s="64">
        <f t="shared" si="218"/>
        <v>-2.4093423146025579</v>
      </c>
      <c r="AU312" s="61">
        <f t="shared" si="219"/>
        <v>-65.428260002340352</v>
      </c>
    </row>
    <row r="313" spans="14:47" x14ac:dyDescent="0.35">
      <c r="N313" s="10">
        <v>95</v>
      </c>
      <c r="O313" s="50">
        <f t="shared" si="220"/>
        <v>8912.5093813374679</v>
      </c>
      <c r="P313" s="48" t="str">
        <f t="shared" si="188"/>
        <v>547.187404092767</v>
      </c>
      <c r="Q313" s="17" t="str">
        <f t="shared" si="189"/>
        <v>1+1073.96636472712i</v>
      </c>
      <c r="R313" s="17">
        <f t="shared" si="197"/>
        <v>1073.9668302909479</v>
      </c>
      <c r="S313" s="17">
        <f t="shared" si="198"/>
        <v>1.5698651992066928</v>
      </c>
      <c r="T313" s="17" t="str">
        <f t="shared" si="190"/>
        <v>1+0.0203215243126177i</v>
      </c>
      <c r="U313" s="17">
        <f t="shared" si="199"/>
        <v>1.0002064608621504</v>
      </c>
      <c r="V313" s="17">
        <f t="shared" si="200"/>
        <v>2.0318727650509166E-2</v>
      </c>
      <c r="W313" s="31" t="str">
        <f t="shared" si="191"/>
        <v>1-0.352888308084518i</v>
      </c>
      <c r="X313" s="17">
        <f t="shared" si="201"/>
        <v>1.0604386629988336</v>
      </c>
      <c r="Y313" s="17">
        <f t="shared" si="202"/>
        <v>-0.33924560147840144</v>
      </c>
      <c r="Z313" s="31" t="str">
        <f t="shared" si="192"/>
        <v>0.973741215381015+1.68845276560063i</v>
      </c>
      <c r="AA313" s="17">
        <f t="shared" si="203"/>
        <v>1.9491138233043532</v>
      </c>
      <c r="AB313" s="17">
        <f t="shared" si="204"/>
        <v>1.0476807213397696</v>
      </c>
      <c r="AC313" s="66" t="str">
        <f t="shared" si="205"/>
        <v>-0.271445188989488-0.0564730480812382i</v>
      </c>
      <c r="AD313" s="64">
        <f t="shared" si="206"/>
        <v>-11.142335383141223</v>
      </c>
      <c r="AE313" s="61">
        <f t="shared" si="207"/>
        <v>-168.24749777263773</v>
      </c>
      <c r="AF313" s="31" t="str">
        <f t="shared" si="193"/>
        <v>-0.000106860158311346</v>
      </c>
      <c r="AG313" s="31" t="str">
        <f t="shared" si="194"/>
        <v>0.000258715139736529i</v>
      </c>
      <c r="AH313" s="31">
        <f t="shared" si="208"/>
        <v>2.5871513973652901E-4</v>
      </c>
      <c r="AI313" s="31">
        <f t="shared" si="209"/>
        <v>1.5707963267948966</v>
      </c>
      <c r="AJ313" s="31" t="str">
        <f t="shared" si="195"/>
        <v>1+4.0842869083048i</v>
      </c>
      <c r="AK313" s="31">
        <f t="shared" si="210"/>
        <v>4.2049256294671826</v>
      </c>
      <c r="AL313" s="31">
        <f t="shared" si="211"/>
        <v>1.3306792617834033</v>
      </c>
      <c r="AM313" s="31" t="str">
        <f t="shared" si="196"/>
        <v>1+26.2075076616224i</v>
      </c>
      <c r="AN313" s="31">
        <f t="shared" si="212"/>
        <v>26.226579224786384</v>
      </c>
      <c r="AO313" s="31">
        <f t="shared" si="213"/>
        <v>1.5326578239880808</v>
      </c>
      <c r="AP313" s="58" t="str">
        <f t="shared" si="214"/>
        <v>-0.516803783146001+2.52381669206617i</v>
      </c>
      <c r="AQ313" s="49">
        <f t="shared" si="215"/>
        <v>8.2195459768645858</v>
      </c>
      <c r="AR313" s="61">
        <f t="shared" si="216"/>
        <v>101.5725191664486</v>
      </c>
      <c r="AS313" s="58" t="str">
        <f t="shared" si="217"/>
        <v>0.282811521985833-0.655892414058556i</v>
      </c>
      <c r="AT313" s="64">
        <f t="shared" si="218"/>
        <v>-2.9227894062766375</v>
      </c>
      <c r="AU313" s="61">
        <f t="shared" si="219"/>
        <v>-66.6749786061891</v>
      </c>
    </row>
    <row r="314" spans="14:47" x14ac:dyDescent="0.35">
      <c r="N314" s="10">
        <v>96</v>
      </c>
      <c r="O314" s="50">
        <f t="shared" si="220"/>
        <v>9120.1083935591087</v>
      </c>
      <c r="P314" s="48" t="str">
        <f t="shared" si="188"/>
        <v>547.187404092767</v>
      </c>
      <c r="Q314" s="17" t="str">
        <f t="shared" si="189"/>
        <v>1+1098.9822549705i</v>
      </c>
      <c r="R314" s="17">
        <f t="shared" si="197"/>
        <v>1098.9827099368056</v>
      </c>
      <c r="S314" s="17">
        <f t="shared" si="198"/>
        <v>1.5698863942464094</v>
      </c>
      <c r="T314" s="17" t="str">
        <f t="shared" si="190"/>
        <v>1+0.0207948734215646i</v>
      </c>
      <c r="U314" s="17">
        <f t="shared" si="199"/>
        <v>1.000216190011249</v>
      </c>
      <c r="V314" s="17">
        <f t="shared" si="200"/>
        <v>2.0791876779106166E-2</v>
      </c>
      <c r="W314" s="31" t="str">
        <f t="shared" si="191"/>
        <v>1-0.361108132720699i</v>
      </c>
      <c r="X314" s="17">
        <f t="shared" si="201"/>
        <v>1.0632022777990224</v>
      </c>
      <c r="Y314" s="17">
        <f t="shared" si="202"/>
        <v>-0.34653622962326153</v>
      </c>
      <c r="Z314" s="31" t="str">
        <f t="shared" si="192"/>
        <v>0.972503676988341+1.72778188283618i</v>
      </c>
      <c r="AA314" s="17">
        <f t="shared" si="203"/>
        <v>1.9826733559547265</v>
      </c>
      <c r="AB314" s="17">
        <f t="shared" si="204"/>
        <v>1.0581315175780828</v>
      </c>
      <c r="AC314" s="66" t="str">
        <f t="shared" si="205"/>
        <v>-0.262359838138228-0.0498669742582577i</v>
      </c>
      <c r="AD314" s="64">
        <f t="shared" si="206"/>
        <v>-11.467923204204842</v>
      </c>
      <c r="AE314" s="61">
        <f t="shared" si="207"/>
        <v>-169.23811145051738</v>
      </c>
      <c r="AF314" s="31" t="str">
        <f t="shared" si="193"/>
        <v>-0.000106860158311346</v>
      </c>
      <c r="AG314" s="31" t="str">
        <f t="shared" si="194"/>
        <v>0.000264741389489327i</v>
      </c>
      <c r="AH314" s="31">
        <f t="shared" si="208"/>
        <v>2.64741389489327E-4</v>
      </c>
      <c r="AI314" s="31">
        <f t="shared" si="209"/>
        <v>1.5707963267948966</v>
      </c>
      <c r="AJ314" s="31" t="str">
        <f t="shared" si="195"/>
        <v>1+4.17942217173233i</v>
      </c>
      <c r="AK314" s="31">
        <f t="shared" si="210"/>
        <v>4.2973910328905127</v>
      </c>
      <c r="AL314" s="31">
        <f t="shared" si="211"/>
        <v>1.3359440431297034</v>
      </c>
      <c r="AM314" s="31" t="str">
        <f t="shared" si="196"/>
        <v>1+26.8179589352824i</v>
      </c>
      <c r="AN314" s="31">
        <f t="shared" si="212"/>
        <v>26.836596681667611</v>
      </c>
      <c r="AO314" s="31">
        <f t="shared" si="213"/>
        <v>1.533525149199658</v>
      </c>
      <c r="AP314" s="58" t="str">
        <f t="shared" si="214"/>
        <v>-0.494803286627469+2.47163161471284i</v>
      </c>
      <c r="AQ314" s="49">
        <f t="shared" si="215"/>
        <v>8.0303307083184308</v>
      </c>
      <c r="AR314" s="61">
        <f t="shared" si="216"/>
        <v>101.32056348933504</v>
      </c>
      <c r="AS314" s="58" t="str">
        <f t="shared" si="217"/>
        <v>0.253069300296627-0.623782527616235i</v>
      </c>
      <c r="AT314" s="64">
        <f t="shared" si="218"/>
        <v>-3.437592495886407</v>
      </c>
      <c r="AU314" s="61">
        <f t="shared" si="219"/>
        <v>-67.917547961182365</v>
      </c>
    </row>
    <row r="315" spans="14:47" x14ac:dyDescent="0.35">
      <c r="N315" s="10">
        <v>97</v>
      </c>
      <c r="O315" s="50">
        <f t="shared" si="220"/>
        <v>9332.5430079699217</v>
      </c>
      <c r="P315" s="48" t="str">
        <f t="shared" si="188"/>
        <v>547.187404092767</v>
      </c>
      <c r="Q315" s="17" t="str">
        <f t="shared" si="189"/>
        <v>1+1124.58084015221i</v>
      </c>
      <c r="R315" s="17">
        <f t="shared" si="197"/>
        <v>1124.5812847622221</v>
      </c>
      <c r="S315" s="17">
        <f t="shared" si="198"/>
        <v>1.5699071068289101</v>
      </c>
      <c r="T315" s="17" t="str">
        <f t="shared" si="190"/>
        <v>1+0.0212792482476524i</v>
      </c>
      <c r="U315" s="17">
        <f t="shared" si="199"/>
        <v>1.0002263775795883</v>
      </c>
      <c r="V315" s="17">
        <f t="shared" si="200"/>
        <v>2.1276037326655596E-2</v>
      </c>
      <c r="W315" s="31" t="str">
        <f t="shared" si="191"/>
        <v>1-0.369519421668679i</v>
      </c>
      <c r="X315" s="17">
        <f t="shared" si="201"/>
        <v>1.0660884592707844</v>
      </c>
      <c r="Y315" s="17">
        <f t="shared" si="202"/>
        <v>-0.35395714361276354</v>
      </c>
      <c r="Z315" s="31" t="str">
        <f t="shared" si="192"/>
        <v>0.971207815208063+1.76802709289591i</v>
      </c>
      <c r="AA315" s="17">
        <f t="shared" si="203"/>
        <v>2.0172169991191287</v>
      </c>
      <c r="AB315" s="17">
        <f t="shared" si="204"/>
        <v>1.0684774362074974</v>
      </c>
      <c r="AC315" s="66" t="str">
        <f t="shared" si="205"/>
        <v>-0.253477140077022-0.0436486125283574i</v>
      </c>
      <c r="AD315" s="64">
        <f t="shared" si="206"/>
        <v>-11.794316679460984</v>
      </c>
      <c r="AE315" s="61">
        <f t="shared" si="207"/>
        <v>-170.22952236247565</v>
      </c>
      <c r="AF315" s="31" t="str">
        <f t="shared" si="193"/>
        <v>-0.000106860158311346</v>
      </c>
      <c r="AG315" s="31" t="str">
        <f t="shared" si="194"/>
        <v>0.000270908008631098i</v>
      </c>
      <c r="AH315" s="31">
        <f t="shared" si="208"/>
        <v>2.70908008631098E-4</v>
      </c>
      <c r="AI315" s="31">
        <f t="shared" si="209"/>
        <v>1.5707963267948966</v>
      </c>
      <c r="AJ315" s="31" t="str">
        <f t="shared" si="195"/>
        <v>1+4.2767734201165i</v>
      </c>
      <c r="AK315" s="31">
        <f t="shared" si="210"/>
        <v>4.392128286721027</v>
      </c>
      <c r="AL315" s="31">
        <f t="shared" si="211"/>
        <v>1.3411018320003871</v>
      </c>
      <c r="AM315" s="31" t="str">
        <f t="shared" si="196"/>
        <v>1+27.4426294457475i</v>
      </c>
      <c r="AN315" s="31">
        <f t="shared" si="212"/>
        <v>27.460843229890223</v>
      </c>
      <c r="AO315" s="31">
        <f t="shared" si="213"/>
        <v>1.5343727858918186</v>
      </c>
      <c r="AP315" s="58" t="str">
        <f t="shared" si="214"/>
        <v>-0.473687897605633+2.42030763454038i</v>
      </c>
      <c r="AQ315" s="49">
        <f t="shared" si="215"/>
        <v>7.8406564302822694</v>
      </c>
      <c r="AR315" s="61">
        <f t="shared" si="216"/>
        <v>101.07360996044655</v>
      </c>
      <c r="AS315" s="58" t="str">
        <f t="shared" si="217"/>
        <v>0.225712123713651-0.592816837807917i</v>
      </c>
      <c r="AT315" s="64">
        <f t="shared" si="218"/>
        <v>-3.9536602491787178</v>
      </c>
      <c r="AU315" s="61">
        <f t="shared" si="219"/>
        <v>-69.155912402029145</v>
      </c>
    </row>
    <row r="316" spans="14:47" x14ac:dyDescent="0.35">
      <c r="N316" s="10">
        <v>98</v>
      </c>
      <c r="O316" s="50">
        <f t="shared" si="220"/>
        <v>9549.9258602143691</v>
      </c>
      <c r="P316" s="48" t="str">
        <f t="shared" si="188"/>
        <v>547.187404092767</v>
      </c>
      <c r="Q316" s="17" t="str">
        <f t="shared" si="189"/>
        <v>1+1150.77569298096i</v>
      </c>
      <c r="R316" s="17">
        <f t="shared" si="197"/>
        <v>1150.7761274704167</v>
      </c>
      <c r="S316" s="17">
        <f t="shared" si="198"/>
        <v>1.569927347936209</v>
      </c>
      <c r="T316" s="17" t="str">
        <f t="shared" si="190"/>
        <v>1+0.0217749056128252i</v>
      </c>
      <c r="U316" s="17">
        <f t="shared" si="199"/>
        <v>1.0002370451620193</v>
      </c>
      <c r="V316" s="17">
        <f t="shared" si="200"/>
        <v>2.1771465093025542E-2</v>
      </c>
      <c r="W316" s="31" t="str">
        <f t="shared" si="191"/>
        <v>1-0.378126634705197i</v>
      </c>
      <c r="X316" s="17">
        <f t="shared" si="201"/>
        <v>1.0691023112281992</v>
      </c>
      <c r="Y316" s="17">
        <f t="shared" si="202"/>
        <v>-0.36150900778050554</v>
      </c>
      <c r="Z316" s="31" t="str">
        <f t="shared" si="192"/>
        <v>0.969850881343606+1.8092097343229i</v>
      </c>
      <c r="AA316" s="17">
        <f t="shared" si="203"/>
        <v>2.0527665709504594</v>
      </c>
      <c r="AB316" s="17">
        <f t="shared" si="204"/>
        <v>1.0787160291135329</v>
      </c>
      <c r="AC316" s="66" t="str">
        <f t="shared" si="205"/>
        <v>-0.244799506627737-0.0378024099640111i</v>
      </c>
      <c r="AD316" s="64">
        <f t="shared" si="206"/>
        <v>-12.121442307564044</v>
      </c>
      <c r="AE316" s="61">
        <f t="shared" si="207"/>
        <v>-171.22161427836593</v>
      </c>
      <c r="AF316" s="31" t="str">
        <f t="shared" si="193"/>
        <v>-0.000106860158311346</v>
      </c>
      <c r="AG316" s="31" t="str">
        <f t="shared" si="194"/>
        <v>0.000277218266784936i</v>
      </c>
      <c r="AH316" s="31">
        <f t="shared" si="208"/>
        <v>2.7721826678493602E-4</v>
      </c>
      <c r="AI316" s="31">
        <f t="shared" si="209"/>
        <v>1.5707963267948966</v>
      </c>
      <c r="AJ316" s="31" t="str">
        <f t="shared" si="195"/>
        <v>1+4.37639227037781i</v>
      </c>
      <c r="AK316" s="31">
        <f t="shared" si="210"/>
        <v>4.4891880450948634</v>
      </c>
      <c r="AL316" s="31">
        <f t="shared" si="211"/>
        <v>1.3461542649464533</v>
      </c>
      <c r="AM316" s="31" t="str">
        <f t="shared" si="196"/>
        <v>1+28.0818504015909i</v>
      </c>
      <c r="AN316" s="31">
        <f t="shared" si="212"/>
        <v>28.09964985506636</v>
      </c>
      <c r="AO316" s="31">
        <f t="shared" si="213"/>
        <v>1.535201178617841</v>
      </c>
      <c r="AP316" s="58" t="str">
        <f t="shared" si="214"/>
        <v>-0.453426320890425+2.36984445083282i</v>
      </c>
      <c r="AQ316" s="49">
        <f t="shared" si="215"/>
        <v>7.6505415979955762</v>
      </c>
      <c r="AR316" s="61">
        <f t="shared" si="216"/>
        <v>100.83159028334454</v>
      </c>
      <c r="AS316" s="58" t="str">
        <f t="shared" si="217"/>
        <v>0.200584371127325-0.562996144677582i</v>
      </c>
      <c r="AT316" s="64">
        <f t="shared" si="218"/>
        <v>-4.4709007095684639</v>
      </c>
      <c r="AU316" s="61">
        <f t="shared" si="219"/>
        <v>-70.390023995021437</v>
      </c>
    </row>
    <row r="317" spans="14:47" x14ac:dyDescent="0.35">
      <c r="N317" s="10">
        <v>99</v>
      </c>
      <c r="O317" s="50">
        <f t="shared" si="220"/>
        <v>9772.3722095581161</v>
      </c>
      <c r="P317" s="48" t="str">
        <f t="shared" si="188"/>
        <v>547.187404092767</v>
      </c>
      <c r="Q317" s="17" t="str">
        <f t="shared" si="189"/>
        <v>1+1177.58070231445i</v>
      </c>
      <c r="R317" s="17">
        <f t="shared" si="197"/>
        <v>1177.5811269137228</v>
      </c>
      <c r="S317" s="17">
        <f t="shared" si="198"/>
        <v>1.5699471283003432</v>
      </c>
      <c r="T317" s="17" t="str">
        <f t="shared" si="190"/>
        <v>1+0.0222821083211789i</v>
      </c>
      <c r="U317" s="17">
        <f t="shared" si="199"/>
        <v>1.0002482153701833</v>
      </c>
      <c r="V317" s="17">
        <f t="shared" si="200"/>
        <v>2.2278421787201193E-2</v>
      </c>
      <c r="W317" s="31" t="str">
        <f t="shared" si="191"/>
        <v>1-0.386934335488533i</v>
      </c>
      <c r="X317" s="17">
        <f t="shared" si="201"/>
        <v>1.072249122163293</v>
      </c>
      <c r="Y317" s="17">
        <f t="shared" si="202"/>
        <v>-0.36919237972655616</v>
      </c>
      <c r="Z317" s="31" t="str">
        <f t="shared" si="192"/>
        <v>0.968429997156316+1.85135164269875i</v>
      </c>
      <c r="AA317" s="17">
        <f t="shared" si="203"/>
        <v>2.0893442905168937</v>
      </c>
      <c r="AB317" s="17">
        <f t="shared" si="204"/>
        <v>1.088845064885805</v>
      </c>
      <c r="AC317" s="66" t="str">
        <f t="shared" si="205"/>
        <v>-0.236328812894159-0.0323130293003584i</v>
      </c>
      <c r="AD317" s="64">
        <f t="shared" si="206"/>
        <v>-12.449225421643806</v>
      </c>
      <c r="AE317" s="61">
        <f t="shared" si="207"/>
        <v>-172.21427691600218</v>
      </c>
      <c r="AF317" s="31" t="str">
        <f t="shared" si="193"/>
        <v>-0.000106860158311346</v>
      </c>
      <c r="AG317" s="31" t="str">
        <f t="shared" si="194"/>
        <v>0.000283675509733242i</v>
      </c>
      <c r="AH317" s="31">
        <f t="shared" si="208"/>
        <v>2.83675509733242E-4</v>
      </c>
      <c r="AI317" s="31">
        <f t="shared" si="209"/>
        <v>1.5707963267948966</v>
      </c>
      <c r="AJ317" s="31" t="str">
        <f t="shared" si="195"/>
        <v>1+4.47833154174928i</v>
      </c>
      <c r="AK317" s="31">
        <f t="shared" si="210"/>
        <v>4.5886221676911338</v>
      </c>
      <c r="AL317" s="31">
        <f t="shared" si="211"/>
        <v>1.3511029885829322</v>
      </c>
      <c r="AM317" s="31" t="str">
        <f t="shared" si="196"/>
        <v>1+28.7359607262245i</v>
      </c>
      <c r="AN317" s="31">
        <f t="shared" si="212"/>
        <v>28.753355262631821</v>
      </c>
      <c r="AO317" s="31">
        <f t="shared" si="213"/>
        <v>1.5360107620521435</v>
      </c>
      <c r="AP317" s="58" t="str">
        <f t="shared" si="214"/>
        <v>-0.433988003286756+2.3202407319239i</v>
      </c>
      <c r="AQ317" s="49">
        <f t="shared" si="215"/>
        <v>7.4600040154980549</v>
      </c>
      <c r="AR317" s="61">
        <f t="shared" si="216"/>
        <v>100.5944350189469</v>
      </c>
      <c r="AS317" s="58" t="str">
        <f t="shared" si="217"/>
        <v>0.177537876381607-0.534316270738041i</v>
      </c>
      <c r="AT317" s="64">
        <f t="shared" si="218"/>
        <v>-4.9892214061457523</v>
      </c>
      <c r="AU317" s="61">
        <f t="shared" si="219"/>
        <v>-71.619841897055309</v>
      </c>
    </row>
    <row r="318" spans="14:47" x14ac:dyDescent="0.35">
      <c r="N318" s="10">
        <v>100</v>
      </c>
      <c r="O318" s="50">
        <f t="shared" si="220"/>
        <v>10000</v>
      </c>
      <c r="P318" s="48" t="str">
        <f t="shared" si="188"/>
        <v>547.187404092767</v>
      </c>
      <c r="Q318" s="17" t="str">
        <f t="shared" si="189"/>
        <v>1+1205.01008052342i</v>
      </c>
      <c r="R318" s="17">
        <f t="shared" si="197"/>
        <v>1205.0104954576368</v>
      </c>
      <c r="S318" s="17">
        <f t="shared" si="198"/>
        <v>1.5699664584090611</v>
      </c>
      <c r="T318" s="17" t="str">
        <f t="shared" si="190"/>
        <v>1+0.022801125298303i</v>
      </c>
      <c r="U318" s="17">
        <f t="shared" si="199"/>
        <v>1.0002599118803417</v>
      </c>
      <c r="V318" s="17">
        <f t="shared" si="200"/>
        <v>2.2797175161410981E-2</v>
      </c>
      <c r="W318" s="31" t="str">
        <f t="shared" si="191"/>
        <v>1-0.395947193978226i</v>
      </c>
      <c r="X318" s="17">
        <f t="shared" si="201"/>
        <v>1.0755343697061619</v>
      </c>
      <c r="Y318" s="17">
        <f t="shared" si="202"/>
        <v>-0.37700770360946778</v>
      </c>
      <c r="Z318" s="31" t="str">
        <f t="shared" si="192"/>
        <v>0.96694214876033+1.89447516222109i</v>
      </c>
      <c r="AA318" s="17">
        <f t="shared" si="203"/>
        <v>2.1269727923323019</v>
      </c>
      <c r="AB318" s="17">
        <f t="shared" si="204"/>
        <v>1.0988625268086714</v>
      </c>
      <c r="AC318" s="66" t="str">
        <f t="shared" si="205"/>
        <v>-0.228066415611418-0.0271653774990142i</v>
      </c>
      <c r="AD318" s="64">
        <f t="shared" si="206"/>
        <v>-12.777590312436324</v>
      </c>
      <c r="AE318" s="61">
        <f t="shared" si="207"/>
        <v>-173.20740543433047</v>
      </c>
      <c r="AF318" s="31" t="str">
        <f t="shared" si="193"/>
        <v>-0.000106860158311346</v>
      </c>
      <c r="AG318" s="31" t="str">
        <f t="shared" si="194"/>
        <v>0.000290283161191697i</v>
      </c>
      <c r="AH318" s="31">
        <f t="shared" si="208"/>
        <v>2.9028316119169699E-4</v>
      </c>
      <c r="AI318" s="31">
        <f t="shared" si="209"/>
        <v>1.5707963267948966</v>
      </c>
      <c r="AJ318" s="31" t="str">
        <f t="shared" si="195"/>
        <v>1+4.5826452837819i</v>
      </c>
      <c r="AK318" s="31">
        <f t="shared" si="210"/>
        <v>4.6904837487159554</v>
      </c>
      <c r="AL318" s="31">
        <f t="shared" si="211"/>
        <v>1.3559496568017919</v>
      </c>
      <c r="AM318" s="31" t="str">
        <f t="shared" si="196"/>
        <v>1+29.4053072376004i</v>
      </c>
      <c r="AN318" s="31">
        <f t="shared" si="212"/>
        <v>29.422306057440064</v>
      </c>
      <c r="AO318" s="31">
        <f t="shared" si="213"/>
        <v>1.5368019611991819</v>
      </c>
      <c r="AP318" s="58" t="str">
        <f t="shared" si="214"/>
        <v>-0.415343148809947+2.27149418383795i</v>
      </c>
      <c r="AQ318" s="49">
        <f t="shared" si="215"/>
        <v>7.2690608508990806</v>
      </c>
      <c r="AR318" s="61">
        <f t="shared" si="216"/>
        <v>100.36207375718571</v>
      </c>
      <c r="AS318" s="58" t="str">
        <f t="shared" si="217"/>
        <v>0.156431820188617-0.506768583161053i</v>
      </c>
      <c r="AT318" s="64">
        <f t="shared" si="218"/>
        <v>-5.508529461537246</v>
      </c>
      <c r="AU318" s="61">
        <f t="shared" si="219"/>
        <v>-72.845331677144813</v>
      </c>
    </row>
    <row r="319" spans="14:47" x14ac:dyDescent="0.35">
      <c r="N319" s="10">
        <v>1</v>
      </c>
      <c r="O319" s="50">
        <f>10^(4+(N319/100))</f>
        <v>10232.929922807549</v>
      </c>
      <c r="P319" s="48" t="str">
        <f t="shared" si="188"/>
        <v>547.187404092767</v>
      </c>
      <c r="Q319" s="17" t="str">
        <f t="shared" si="189"/>
        <v>1+1233.07837102728i</v>
      </c>
      <c r="R319" s="17">
        <f t="shared" si="197"/>
        <v>1233.0787765164437</v>
      </c>
      <c r="S319" s="17">
        <f t="shared" si="198"/>
        <v>1.5699853485113846</v>
      </c>
      <c r="T319" s="17" t="str">
        <f t="shared" si="190"/>
        <v>1+0.0233322317338689i</v>
      </c>
      <c r="U319" s="17">
        <f t="shared" si="199"/>
        <v>1.0002721594834492</v>
      </c>
      <c r="V319" s="17">
        <f t="shared" si="200"/>
        <v>2.3327999148127193E-2</v>
      </c>
      <c r="W319" s="31" t="str">
        <f t="shared" si="191"/>
        <v>1-0.405169988911147i</v>
      </c>
      <c r="X319" s="17">
        <f t="shared" si="201"/>
        <v>1.0789637250224213</v>
      </c>
      <c r="Y319" s="17">
        <f t="shared" si="202"/>
        <v>-0.38495530335512107</v>
      </c>
      <c r="Z319" s="31" t="str">
        <f t="shared" si="192"/>
        <v>0.965384180229722+1.93860315755079i</v>
      </c>
      <c r="AA319" s="17">
        <f t="shared" si="203"/>
        <v>2.1656751413597806</v>
      </c>
      <c r="AB319" s="17">
        <f t="shared" si="204"/>
        <v>1.1087666101727338</v>
      </c>
      <c r="AC319" s="66" t="str">
        <f t="shared" si="205"/>
        <v>-0.220013173301974-0.02234463201891i</v>
      </c>
      <c r="AD319" s="64">
        <f t="shared" si="206"/>
        <v>-13.106460351516942</v>
      </c>
      <c r="AE319" s="61">
        <f t="shared" si="207"/>
        <v>-174.20089988275694</v>
      </c>
      <c r="AF319" s="31" t="str">
        <f t="shared" si="193"/>
        <v>-0.000106860158311346</v>
      </c>
      <c r="AG319" s="31" t="str">
        <f t="shared" si="194"/>
        <v>0.000297044724624568i</v>
      </c>
      <c r="AH319" s="31">
        <f t="shared" si="208"/>
        <v>2.9704472462456797E-4</v>
      </c>
      <c r="AI319" s="31">
        <f t="shared" si="209"/>
        <v>1.5707963267948966</v>
      </c>
      <c r="AJ319" s="31" t="str">
        <f t="shared" si="195"/>
        <v>1+4.68938880500246i</v>
      </c>
      <c r="AK319" s="31">
        <f t="shared" si="210"/>
        <v>4.794827146465491</v>
      </c>
      <c r="AL319" s="31">
        <f t="shared" si="211"/>
        <v>1.3606959281611151</v>
      </c>
      <c r="AM319" s="31" t="str">
        <f t="shared" si="196"/>
        <v>1+30.0902448320991i</v>
      </c>
      <c r="AN319" s="31">
        <f t="shared" si="212"/>
        <v>30.106856927545035</v>
      </c>
      <c r="AO319" s="31">
        <f t="shared" si="213"/>
        <v>1.5375751915986524</v>
      </c>
      <c r="AP319" s="58" t="str">
        <f t="shared" si="214"/>
        <v>-0.397462730088295+2.2236016165478i</v>
      </c>
      <c r="AQ319" s="49">
        <f t="shared" si="215"/>
        <v>7.0777286519896432</v>
      </c>
      <c r="AR319" s="61">
        <f t="shared" si="216"/>
        <v>100.13443527835355</v>
      </c>
      <c r="AS319" s="58" t="str">
        <f t="shared" si="217"/>
        <v>0.137132596394406-0.480340489371026i</v>
      </c>
      <c r="AT319" s="64">
        <f t="shared" si="218"/>
        <v>-6.0287316995273024</v>
      </c>
      <c r="AU319" s="61">
        <f t="shared" si="219"/>
        <v>-74.06646460440335</v>
      </c>
    </row>
    <row r="320" spans="14:47" x14ac:dyDescent="0.35">
      <c r="N320" s="10">
        <v>2</v>
      </c>
      <c r="O320" s="50">
        <f t="shared" ref="O320:O383" si="221">10^(4+(N320/100))</f>
        <v>10471.285480509003</v>
      </c>
      <c r="P320" s="48" t="str">
        <f t="shared" si="188"/>
        <v>547.187404092767</v>
      </c>
      <c r="Q320" s="17" t="str">
        <f t="shared" si="189"/>
        <v>1+1261.80045600519i</v>
      </c>
      <c r="R320" s="17">
        <f t="shared" si="197"/>
        <v>1261.8008522642967</v>
      </c>
      <c r="S320" s="17">
        <f t="shared" si="198"/>
        <v>1.5700038086230421</v>
      </c>
      <c r="T320" s="17" t="str">
        <f t="shared" si="190"/>
        <v>1+0.0238757092275387i</v>
      </c>
      <c r="U320" s="17">
        <f t="shared" si="199"/>
        <v>1.0002849841375796</v>
      </c>
      <c r="V320" s="17">
        <f t="shared" si="200"/>
        <v>2.3871173999988421E-2</v>
      </c>
      <c r="W320" s="31" t="str">
        <f t="shared" si="191"/>
        <v>1-0.414607610335247i</v>
      </c>
      <c r="X320" s="17">
        <f t="shared" si="201"/>
        <v>1.0825430571334813</v>
      </c>
      <c r="Y320" s="17">
        <f t="shared" si="202"/>
        <v>-0.39303537580871178</v>
      </c>
      <c r="Z320" s="31" t="str">
        <f t="shared" si="192"/>
        <v>0.963752786904357+1.98375902593506i</v>
      </c>
      <c r="AA320" s="17">
        <f t="shared" si="203"/>
        <v>2.2054748484724853</v>
      </c>
      <c r="AB320" s="17">
        <f t="shared" si="204"/>
        <v>1.118555718960855</v>
      </c>
      <c r="AC320" s="66" t="str">
        <f t="shared" si="205"/>
        <v>-0.212169467966412-0.0178362647240192i</v>
      </c>
      <c r="AD320" s="64">
        <f t="shared" si="206"/>
        <v>-13.435758114502168</v>
      </c>
      <c r="AE320" s="61">
        <f t="shared" si="207"/>
        <v>-175.19466461119936</v>
      </c>
      <c r="AF320" s="31" t="str">
        <f t="shared" si="193"/>
        <v>-0.000106860158311346</v>
      </c>
      <c r="AG320" s="31" t="str">
        <f t="shared" si="194"/>
        <v>0.000303963785102287i</v>
      </c>
      <c r="AH320" s="31">
        <f t="shared" si="208"/>
        <v>3.0396378510228698E-4</v>
      </c>
      <c r="AI320" s="31">
        <f t="shared" si="209"/>
        <v>1.5707963267948966</v>
      </c>
      <c r="AJ320" s="31" t="str">
        <f t="shared" si="195"/>
        <v>1+4.79861870223884i</v>
      </c>
      <c r="AK320" s="31">
        <f t="shared" si="210"/>
        <v>4.9017080134863571</v>
      </c>
      <c r="AL320" s="31">
        <f t="shared" si="211"/>
        <v>1.3653434634442931</v>
      </c>
      <c r="AM320" s="31" t="str">
        <f t="shared" si="196"/>
        <v>1+30.7911366726992i</v>
      </c>
      <c r="AN320" s="31">
        <f t="shared" si="212"/>
        <v>30.80737083226742</v>
      </c>
      <c r="AO320" s="31">
        <f t="shared" si="213"/>
        <v>1.5383308595270095</v>
      </c>
      <c r="AP320" s="58" t="str">
        <f t="shared" si="214"/>
        <v>-0.380318496273627+2.1765590077758i</v>
      </c>
      <c r="AQ320" s="49">
        <f t="shared" si="215"/>
        <v>6.8860233621124571</v>
      </c>
      <c r="AR320" s="61">
        <f t="shared" si="216"/>
        <v>99.91144770449759</v>
      </c>
      <c r="AS320" s="58" t="str">
        <f t="shared" si="217"/>
        <v>0.119513655662299-0.455015905298316i</v>
      </c>
      <c r="AT320" s="64">
        <f t="shared" si="218"/>
        <v>-6.5497347523897078</v>
      </c>
      <c r="AU320" s="61">
        <f t="shared" si="219"/>
        <v>-75.283216906701782</v>
      </c>
    </row>
    <row r="321" spans="14:47" x14ac:dyDescent="0.35">
      <c r="N321" s="10">
        <v>3</v>
      </c>
      <c r="O321" s="50">
        <f t="shared" si="221"/>
        <v>10715.193052376071</v>
      </c>
      <c r="P321" s="48" t="str">
        <f t="shared" si="188"/>
        <v>547.187404092767</v>
      </c>
      <c r="Q321" s="17" t="str">
        <f t="shared" si="189"/>
        <v>1+1291.19156428677i</v>
      </c>
      <c r="R321" s="17">
        <f t="shared" si="197"/>
        <v>1291.191951525921</v>
      </c>
      <c r="S321" s="17">
        <f t="shared" si="198"/>
        <v>1.570021848531779</v>
      </c>
      <c r="T321" s="17" t="str">
        <f t="shared" si="190"/>
        <v>1+0.0244318459382733i</v>
      </c>
      <c r="U321" s="17">
        <f t="shared" si="199"/>
        <v>1.0002984130228096</v>
      </c>
      <c r="V321" s="17">
        <f t="shared" si="200"/>
        <v>2.4426986432694444E-2</v>
      </c>
      <c r="W321" s="31" t="str">
        <f t="shared" si="191"/>
        <v>1-0.424265062202328i</v>
      </c>
      <c r="X321" s="17">
        <f t="shared" si="201"/>
        <v>1.0862784371447061</v>
      </c>
      <c r="Y321" s="17">
        <f t="shared" si="202"/>
        <v>-0.40124798385907667</v>
      </c>
      <c r="Z321" s="31" t="str">
        <f t="shared" si="192"/>
        <v>0.962044508380268+2.02996670961304i</v>
      </c>
      <c r="AA321" s="17">
        <f t="shared" si="203"/>
        <v>2.2463958863570381</v>
      </c>
      <c r="AB321" s="17">
        <f t="shared" si="204"/>
        <v>1.1282284619635932</v>
      </c>
      <c r="AC321" s="66" t="str">
        <f t="shared" si="205"/>
        <v>-0.204535228042394-0.0136260633873667i</v>
      </c>
      <c r="AD321" s="64">
        <f t="shared" si="206"/>
        <v>-13.765405504130872</v>
      </c>
      <c r="AE321" s="61">
        <f t="shared" si="207"/>
        <v>-176.1886076456905</v>
      </c>
      <c r="AF321" s="31" t="str">
        <f t="shared" si="193"/>
        <v>-0.000106860158311346</v>
      </c>
      <c r="AG321" s="31" t="str">
        <f t="shared" si="194"/>
        <v>0.000311044011202303i</v>
      </c>
      <c r="AH321" s="31">
        <f t="shared" si="208"/>
        <v>3.1104401120230299E-4</v>
      </c>
      <c r="AI321" s="31">
        <f t="shared" si="209"/>
        <v>1.5707963267948966</v>
      </c>
      <c r="AJ321" s="31" t="str">
        <f t="shared" si="195"/>
        <v>1+4.91039289062837i</v>
      </c>
      <c r="AK321" s="31">
        <f t="shared" si="210"/>
        <v>5.0111833273522981</v>
      </c>
      <c r="AL321" s="31">
        <f t="shared" si="211"/>
        <v>1.3698939233828435</v>
      </c>
      <c r="AM321" s="31" t="str">
        <f t="shared" si="196"/>
        <v>1+31.508354381532i</v>
      </c>
      <c r="AN321" s="31">
        <f t="shared" si="212"/>
        <v>31.524219194647898</v>
      </c>
      <c r="AO321" s="31">
        <f t="shared" si="213"/>
        <v>1.5390693621953213</v>
      </c>
      <c r="AP321" s="58" t="str">
        <f t="shared" si="214"/>
        <v>-0.363882977766147+2.13036156428781i</v>
      </c>
      <c r="AQ321" s="49">
        <f t="shared" si="215"/>
        <v>6.6939603362161169</v>
      </c>
      <c r="AR321" s="61">
        <f t="shared" si="216"/>
        <v>99.693038641228696</v>
      </c>
      <c r="AS321" s="58" t="str">
        <f t="shared" si="217"/>
        <v>0.10345532955114-0.430775695843733i</v>
      </c>
      <c r="AT321" s="64">
        <f t="shared" si="218"/>
        <v>-7.0714451679147583</v>
      </c>
      <c r="AU321" s="61">
        <f t="shared" si="219"/>
        <v>-76.495569004461743</v>
      </c>
    </row>
    <row r="322" spans="14:47" x14ac:dyDescent="0.35">
      <c r="N322" s="10">
        <v>4</v>
      </c>
      <c r="O322" s="50">
        <f t="shared" si="221"/>
        <v>10964.781961431856</v>
      </c>
      <c r="P322" s="48" t="str">
        <f t="shared" si="188"/>
        <v>547.187404092767</v>
      </c>
      <c r="Q322" s="17" t="str">
        <f t="shared" si="189"/>
        <v>1+1321.26727942667i</v>
      </c>
      <c r="R322" s="17">
        <f t="shared" si="197"/>
        <v>1321.2676578511844</v>
      </c>
      <c r="S322" s="17">
        <f t="shared" si="198"/>
        <v>1.5700394778025459</v>
      </c>
      <c r="T322" s="17" t="str">
        <f t="shared" si="190"/>
        <v>1+0.0250009367371181i</v>
      </c>
      <c r="U322" s="17">
        <f t="shared" si="199"/>
        <v>1.0003124745986793</v>
      </c>
      <c r="V322" s="17">
        <f t="shared" si="200"/>
        <v>2.4995729770921335E-2</v>
      </c>
      <c r="W322" s="31" t="str">
        <f t="shared" si="191"/>
        <v>1-0.434147465021201i</v>
      </c>
      <c r="X322" s="17">
        <f t="shared" si="201"/>
        <v>1.0901761423661476</v>
      </c>
      <c r="Y322" s="17">
        <f t="shared" si="202"/>
        <v>-0.40959304956745968</v>
      </c>
      <c r="Z322" s="31" t="str">
        <f t="shared" si="192"/>
        <v>0.960255721169672+2.07725070851025i</v>
      </c>
      <c r="AA322" s="17">
        <f t="shared" si="203"/>
        <v>2.2884627058454372</v>
      </c>
      <c r="AB322" s="17">
        <f t="shared" si="204"/>
        <v>1.1377836483794448</v>
      </c>
      <c r="AC322" s="66" t="str">
        <f t="shared" si="205"/>
        <v>-0.197109952373243-0.00970015077844325i</v>
      </c>
      <c r="AD322" s="64">
        <f t="shared" si="206"/>
        <v>-14.095323873171923</v>
      </c>
      <c r="AE322" s="61">
        <f t="shared" si="207"/>
        <v>-177.18264003453342</v>
      </c>
      <c r="AF322" s="31" t="str">
        <f t="shared" si="193"/>
        <v>-0.000106860158311346</v>
      </c>
      <c r="AG322" s="31" t="str">
        <f t="shared" si="194"/>
        <v>0.000318289156954213i</v>
      </c>
      <c r="AH322" s="31">
        <f t="shared" si="208"/>
        <v>3.18289156954213E-4</v>
      </c>
      <c r="AI322" s="31">
        <f t="shared" si="209"/>
        <v>1.5707963267948966</v>
      </c>
      <c r="AJ322" s="31" t="str">
        <f t="shared" si="195"/>
        <v>1+5.02477063432525i</v>
      </c>
      <c r="AK322" s="31">
        <f t="shared" si="210"/>
        <v>5.1233114220762905</v>
      </c>
      <c r="AL322" s="31">
        <f t="shared" si="211"/>
        <v>1.3743489665363586</v>
      </c>
      <c r="AM322" s="31" t="str">
        <f t="shared" si="196"/>
        <v>1+32.2422782369203i</v>
      </c>
      <c r="AN322" s="31">
        <f t="shared" si="212"/>
        <v>32.257782098386492</v>
      </c>
      <c r="AO322" s="31">
        <f t="shared" si="213"/>
        <v>1.5397910879434822</v>
      </c>
      <c r="AP322" s="58" t="str">
        <f t="shared" si="214"/>
        <v>-0.348129488044664+2.08500378065022i</v>
      </c>
      <c r="AQ322" s="49">
        <f t="shared" si="215"/>
        <v>6.5015543570253476</v>
      </c>
      <c r="AR322" s="61">
        <f t="shared" si="216"/>
        <v>99.479135310319137</v>
      </c>
      <c r="AS322" s="58" t="str">
        <f t="shared" si="217"/>
        <v>0.0888446378541365-0.407598087377541i</v>
      </c>
      <c r="AT322" s="64">
        <f t="shared" si="218"/>
        <v>-7.5937695161465761</v>
      </c>
      <c r="AU322" s="61">
        <f t="shared" si="219"/>
        <v>-77.703504724214298</v>
      </c>
    </row>
    <row r="323" spans="14:47" x14ac:dyDescent="0.35">
      <c r="N323" s="10">
        <v>5</v>
      </c>
      <c r="O323" s="50">
        <f t="shared" si="221"/>
        <v>11220.184543019639</v>
      </c>
      <c r="P323" s="48" t="str">
        <f t="shared" si="188"/>
        <v>547.187404092767</v>
      </c>
      <c r="Q323" s="17" t="str">
        <f t="shared" si="189"/>
        <v>1+1352.04354796717i</v>
      </c>
      <c r="R323" s="17">
        <f t="shared" si="197"/>
        <v>1352.0439177776932</v>
      </c>
      <c r="S323" s="17">
        <f t="shared" si="198"/>
        <v>1.5700567057825727</v>
      </c>
      <c r="T323" s="17" t="str">
        <f t="shared" si="190"/>
        <v>1+0.0255832833635474i</v>
      </c>
      <c r="U323" s="17">
        <f t="shared" si="199"/>
        <v>1.0003271986643467</v>
      </c>
      <c r="V323" s="17">
        <f t="shared" si="200"/>
        <v>2.5577704097305382E-2</v>
      </c>
      <c r="W323" s="31" t="str">
        <f t="shared" si="191"/>
        <v>1-0.444260058572648i</v>
      </c>
      <c r="X323" s="17">
        <f t="shared" si="201"/>
        <v>1.0942426603103046</v>
      </c>
      <c r="Y323" s="17">
        <f t="shared" si="202"/>
        <v>-0.41807034733577675</v>
      </c>
      <c r="Z323" s="31" t="str">
        <f t="shared" si="192"/>
        <v>0.958382631015069+2.12563609322877i</v>
      </c>
      <c r="AA323" s="17">
        <f t="shared" si="203"/>
        <v>2.3317002526629009</v>
      </c>
      <c r="AB323" s="17">
        <f t="shared" si="204"/>
        <v>1.1472202829553251</v>
      </c>
      <c r="AC323" s="66" t="str">
        <f t="shared" si="205"/>
        <v>-0.189892734938251-0.00604500134638778i</v>
      </c>
      <c r="AD323" s="64">
        <f t="shared" si="206"/>
        <v>-14.425434147140264</v>
      </c>
      <c r="AE323" s="61">
        <f t="shared" si="207"/>
        <v>-178.17667517019731</v>
      </c>
      <c r="AF323" s="31" t="str">
        <f t="shared" si="193"/>
        <v>-0.000106860158311346</v>
      </c>
      <c r="AG323" s="31" t="str">
        <f t="shared" si="194"/>
        <v>0.000325703063830196i</v>
      </c>
      <c r="AH323" s="31">
        <f t="shared" si="208"/>
        <v>3.2570306383019601E-4</v>
      </c>
      <c r="AI323" s="31">
        <f t="shared" si="209"/>
        <v>1.5707963267948966</v>
      </c>
      <c r="AJ323" s="31" t="str">
        <f t="shared" si="195"/>
        <v>1+5.14181257792315i</v>
      </c>
      <c r="AK323" s="31">
        <f t="shared" si="210"/>
        <v>5.2381520201774121</v>
      </c>
      <c r="AL323" s="31">
        <f t="shared" si="211"/>
        <v>1.3787102473230322</v>
      </c>
      <c r="AM323" s="31" t="str">
        <f t="shared" si="196"/>
        <v>1+32.9932973750068i</v>
      </c>
      <c r="AN323" s="31">
        <f t="shared" si="212"/>
        <v>33.008448489373599</v>
      </c>
      <c r="AO323" s="31">
        <f t="shared" si="213"/>
        <v>1.5404964164308101</v>
      </c>
      <c r="AP323" s="58" t="str">
        <f t="shared" si="214"/>
        <v>-0.33303212287774+2.04047949543757i</v>
      </c>
      <c r="AQ323" s="49">
        <f t="shared" si="215"/>
        <v>6.3088196512630956</v>
      </c>
      <c r="AR323" s="61">
        <f t="shared" si="216"/>
        <v>99.269664673465513</v>
      </c>
      <c r="AS323" s="58" t="str">
        <f t="shared" si="217"/>
        <v>0.0755750819327425-0.385459052342876i</v>
      </c>
      <c r="AT323" s="64">
        <f t="shared" si="218"/>
        <v>-8.116614495877176</v>
      </c>
      <c r="AU323" s="61">
        <f t="shared" si="219"/>
        <v>-78.907010496731772</v>
      </c>
    </row>
    <row r="324" spans="14:47" x14ac:dyDescent="0.35">
      <c r="N324" s="10">
        <v>6</v>
      </c>
      <c r="O324" s="50">
        <f t="shared" si="221"/>
        <v>11481.536214968832</v>
      </c>
      <c r="P324" s="48" t="str">
        <f t="shared" si="188"/>
        <v>547.187404092767</v>
      </c>
      <c r="Q324" s="17" t="str">
        <f t="shared" si="189"/>
        <v>1+1383.53668789322i</v>
      </c>
      <c r="R324" s="17">
        <f t="shared" si="197"/>
        <v>1383.5370492858301</v>
      </c>
      <c r="S324" s="17">
        <f t="shared" si="198"/>
        <v>1.5700735416063207</v>
      </c>
      <c r="T324" s="17" t="str">
        <f t="shared" si="190"/>
        <v>1+0.0261791945854508i</v>
      </c>
      <c r="U324" s="17">
        <f t="shared" si="199"/>
        <v>1.0003426164215652</v>
      </c>
      <c r="V324" s="17">
        <f t="shared" si="200"/>
        <v>2.6173216404544272E-2</v>
      </c>
      <c r="W324" s="31" t="str">
        <f t="shared" si="191"/>
        <v>1-0.454608204687629i</v>
      </c>
      <c r="X324" s="17">
        <f t="shared" si="201"/>
        <v>1.0984846925512022</v>
      </c>
      <c r="Y324" s="17">
        <f t="shared" si="202"/>
        <v>-0.42667949715233477</v>
      </c>
      <c r="Z324" s="31" t="str">
        <f t="shared" si="192"/>
        <v>0.95642126484111+2.17514851834004i</v>
      </c>
      <c r="AA324" s="17">
        <f t="shared" si="203"/>
        <v>2.3761339845802341</v>
      </c>
      <c r="AB324" s="17">
        <f t="shared" si="204"/>
        <v>1.1565375607221131</v>
      </c>
      <c r="AC324" s="66" t="str">
        <f t="shared" si="205"/>
        <v>-0.182882290109577-0.00264745553422951i</v>
      </c>
      <c r="AD324" s="64">
        <f t="shared" si="206"/>
        <v>-14.755656946832156</v>
      </c>
      <c r="AE324" s="61">
        <f t="shared" si="207"/>
        <v>-179.1706280922624</v>
      </c>
      <c r="AF324" s="31" t="str">
        <f t="shared" si="193"/>
        <v>-0.000106860158311346</v>
      </c>
      <c r="AG324" s="31" t="str">
        <f t="shared" si="194"/>
        <v>0.00033328966278181i</v>
      </c>
      <c r="AH324" s="31">
        <f t="shared" si="208"/>
        <v>3.3328966278181003E-4</v>
      </c>
      <c r="AI324" s="31">
        <f t="shared" si="209"/>
        <v>1.5707963267948966</v>
      </c>
      <c r="AJ324" s="31" t="str">
        <f t="shared" si="195"/>
        <v>1+5.26158077860979i</v>
      </c>
      <c r="AK324" s="31">
        <f t="shared" si="210"/>
        <v>5.3557662654223455</v>
      </c>
      <c r="AL324" s="31">
        <f t="shared" si="211"/>
        <v>1.3829794141942164</v>
      </c>
      <c r="AM324" s="31" t="str">
        <f t="shared" si="196"/>
        <v>1+33.7618099960794i</v>
      </c>
      <c r="AN324" s="31">
        <f t="shared" si="212"/>
        <v>33.776616381919709</v>
      </c>
      <c r="AO324" s="31">
        <f t="shared" si="213"/>
        <v>1.5411857188230587</v>
      </c>
      <c r="AP324" s="58" t="str">
        <f t="shared" si="214"/>
        <v>-0.318565757175866+1.99678194489548i</v>
      </c>
      <c r="AQ324" s="49">
        <f t="shared" si="215"/>
        <v>6.1157699058711792</v>
      </c>
      <c r="AR324" s="61">
        <f t="shared" si="216"/>
        <v>99.064553547593647</v>
      </c>
      <c r="AS324" s="58" t="str">
        <f t="shared" si="217"/>
        <v>0.0635464266334769-0.364332666255089i</v>
      </c>
      <c r="AT324" s="64">
        <f t="shared" si="218"/>
        <v>-8.639887040960982</v>
      </c>
      <c r="AU324" s="61">
        <f t="shared" si="219"/>
        <v>-80.106074544668758</v>
      </c>
    </row>
    <row r="325" spans="14:47" x14ac:dyDescent="0.35">
      <c r="N325" s="10">
        <v>7</v>
      </c>
      <c r="O325" s="50">
        <f t="shared" si="221"/>
        <v>11748.975549395318</v>
      </c>
      <c r="P325" s="48" t="str">
        <f t="shared" si="188"/>
        <v>547.187404092767</v>
      </c>
      <c r="Q325" s="17" t="str">
        <f t="shared" si="189"/>
        <v>1+1415.76339728445i</v>
      </c>
      <c r="R325" s="17">
        <f t="shared" si="197"/>
        <v>1415.7637504507622</v>
      </c>
      <c r="S325" s="17">
        <f t="shared" si="198"/>
        <v>1.5700899942003288</v>
      </c>
      <c r="T325" s="17" t="str">
        <f t="shared" si="190"/>
        <v>1+0.0267889863628461i</v>
      </c>
      <c r="U325" s="17">
        <f t="shared" si="199"/>
        <v>1.0003587605406117</v>
      </c>
      <c r="V325" s="17">
        <f t="shared" si="200"/>
        <v>2.6782580750662727E-2</v>
      </c>
      <c r="W325" s="31" t="str">
        <f t="shared" si="191"/>
        <v>1-0.465197390090186i</v>
      </c>
      <c r="X325" s="17">
        <f t="shared" si="201"/>
        <v>1.1029091584290707</v>
      </c>
      <c r="Y325" s="17">
        <f t="shared" si="202"/>
        <v>-0.43541995795578875</v>
      </c>
      <c r="Z325" s="31" t="str">
        <f t="shared" si="192"/>
        <v>0.954367462327177+2.22581423598723i</v>
      </c>
      <c r="AA325" s="17">
        <f t="shared" si="203"/>
        <v>2.4217898889606899</v>
      </c>
      <c r="AB325" s="17">
        <f t="shared" si="204"/>
        <v>1.1657348613790182</v>
      </c>
      <c r="AC325" s="66" t="str">
        <f t="shared" si="205"/>
        <v>-0.176076978215112+0.000505268220223595i</v>
      </c>
      <c r="AD325" s="64">
        <f t="shared" si="206"/>
        <v>-15.085912710712757</v>
      </c>
      <c r="AE325" s="61">
        <f t="shared" si="207"/>
        <v>179.83558522316625</v>
      </c>
      <c r="AF325" s="31" t="str">
        <f t="shared" si="193"/>
        <v>-0.000106860158311346</v>
      </c>
      <c r="AG325" s="31" t="str">
        <f t="shared" si="194"/>
        <v>0.000341052976324243i</v>
      </c>
      <c r="AH325" s="31">
        <f t="shared" si="208"/>
        <v>3.4105297632424302E-4</v>
      </c>
      <c r="AI325" s="31">
        <f t="shared" si="209"/>
        <v>1.5707963267948966</v>
      </c>
      <c r="AJ325" s="31" t="str">
        <f t="shared" si="195"/>
        <v>1+5.38413873907053i</v>
      </c>
      <c r="AK325" s="31">
        <f t="shared" si="210"/>
        <v>5.4762167562615698</v>
      </c>
      <c r="AL325" s="31">
        <f t="shared" si="211"/>
        <v>1.3871581079464919</v>
      </c>
      <c r="AM325" s="31" t="str">
        <f t="shared" si="196"/>
        <v>1+34.5482235757025i</v>
      </c>
      <c r="AN325" s="31">
        <f t="shared" si="212"/>
        <v>34.562693069793134</v>
      </c>
      <c r="AO325" s="31">
        <f t="shared" si="213"/>
        <v>1.5418593579758721</v>
      </c>
      <c r="AP325" s="58" t="str">
        <f t="shared" si="214"/>
        <v>-0.304706039729065+1.95390381407594i</v>
      </c>
      <c r="AQ325" s="49">
        <f t="shared" si="215"/>
        <v>5.9224182841751301</v>
      </c>
      <c r="AR325" s="61">
        <f t="shared" si="216"/>
        <v>98.863728712081567</v>
      </c>
      <c r="AS325" s="58" t="str">
        <f t="shared" si="217"/>
        <v>0.0526644732167614-0.344191437583859i</v>
      </c>
      <c r="AT325" s="64">
        <f t="shared" si="218"/>
        <v>-9.1634944265376213</v>
      </c>
      <c r="AU325" s="61">
        <f t="shared" si="219"/>
        <v>-81.300686064752199</v>
      </c>
    </row>
    <row r="326" spans="14:47" x14ac:dyDescent="0.35">
      <c r="N326" s="10">
        <v>8</v>
      </c>
      <c r="O326" s="50">
        <f t="shared" si="221"/>
        <v>12022.644346174151</v>
      </c>
      <c r="P326" s="48" t="str">
        <f t="shared" si="188"/>
        <v>547.187404092767</v>
      </c>
      <c r="Q326" s="17" t="str">
        <f t="shared" si="189"/>
        <v>1+1448.74076316877i</v>
      </c>
      <c r="R326" s="17">
        <f t="shared" si="197"/>
        <v>1448.7411082960371</v>
      </c>
      <c r="S326" s="17">
        <f t="shared" si="198"/>
        <v>1.5701060722879443</v>
      </c>
      <c r="T326" s="17" t="str">
        <f t="shared" si="190"/>
        <v>1+0.0274129820154051i</v>
      </c>
      <c r="U326" s="17">
        <f t="shared" si="199"/>
        <v>1.0003756652293061</v>
      </c>
      <c r="V326" s="17">
        <f t="shared" si="200"/>
        <v>2.7406118417488953E-2</v>
      </c>
      <c r="W326" s="31" t="str">
        <f t="shared" si="191"/>
        <v>1-0.476033229306583i</v>
      </c>
      <c r="X326" s="17">
        <f t="shared" si="201"/>
        <v>1.1075231985850471</v>
      </c>
      <c r="Y326" s="17">
        <f t="shared" si="202"/>
        <v>-0.44429102116090324</v>
      </c>
      <c r="Z326" s="31" t="str">
        <f t="shared" si="192"/>
        <v>0.952216867082779+2.27766010980447i</v>
      </c>
      <c r="AA326" s="17">
        <f t="shared" si="203"/>
        <v>2.4686945006929175</v>
      </c>
      <c r="AB326" s="17">
        <f t="shared" si="204"/>
        <v>1.1748117433790877</v>
      </c>
      <c r="AC326" s="66" t="str">
        <f t="shared" si="205"/>
        <v>-0.169474831202528+0.00342556372352839i</v>
      </c>
      <c r="AD326" s="64">
        <f t="shared" si="206"/>
        <v>-15.416121817205326</v>
      </c>
      <c r="AE326" s="61">
        <f t="shared" si="207"/>
        <v>178.84204858209068</v>
      </c>
      <c r="AF326" s="31" t="str">
        <f t="shared" si="193"/>
        <v>-0.000106860158311346</v>
      </c>
      <c r="AG326" s="31" t="str">
        <f t="shared" si="194"/>
        <v>0.000348997120669091i</v>
      </c>
      <c r="AH326" s="31">
        <f t="shared" si="208"/>
        <v>3.4899712066909102E-4</v>
      </c>
      <c r="AI326" s="31">
        <f t="shared" si="209"/>
        <v>1.5707963267948966</v>
      </c>
      <c r="AJ326" s="31" t="str">
        <f t="shared" si="195"/>
        <v>1+5.5095514411582i</v>
      </c>
      <c r="AK326" s="31">
        <f t="shared" si="210"/>
        <v>5.5995675799804747</v>
      </c>
      <c r="AL326" s="31">
        <f t="shared" si="211"/>
        <v>1.3912479601647805</v>
      </c>
      <c r="AM326" s="31" t="str">
        <f t="shared" si="196"/>
        <v>1+35.352955080765i</v>
      </c>
      <c r="AN326" s="31">
        <f t="shared" si="212"/>
        <v>35.367095342176292</v>
      </c>
      <c r="AO326" s="31">
        <f t="shared" si="213"/>
        <v>1.5425176886147223</v>
      </c>
      <c r="AP326" s="58" t="str">
        <f t="shared" si="214"/>
        <v>-0.291429386059171+1.91183728547591i</v>
      </c>
      <c r="AQ326" s="49">
        <f t="shared" si="215"/>
        <v>5.7287774419517623</v>
      </c>
      <c r="AR326" s="61">
        <f t="shared" si="216"/>
        <v>98.667117008271745</v>
      </c>
      <c r="AS326" s="58" t="str">
        <f t="shared" si="217"/>
        <v>0.0428408255594191-0.325006611175584i</v>
      </c>
      <c r="AT326" s="64">
        <f t="shared" si="218"/>
        <v>-9.6873443752535557</v>
      </c>
      <c r="AU326" s="61">
        <f t="shared" si="219"/>
        <v>-82.490834409637586</v>
      </c>
    </row>
    <row r="327" spans="14:47" x14ac:dyDescent="0.35">
      <c r="N327" s="10">
        <v>9</v>
      </c>
      <c r="O327" s="50">
        <f t="shared" si="221"/>
        <v>12302.687708123816</v>
      </c>
      <c r="P327" s="48" t="str">
        <f t="shared" si="188"/>
        <v>547.187404092767</v>
      </c>
      <c r="Q327" s="17" t="str">
        <f t="shared" si="189"/>
        <v>1+1482.48627058208i</v>
      </c>
      <c r="R327" s="17">
        <f t="shared" si="197"/>
        <v>1482.4866078532932</v>
      </c>
      <c r="S327" s="17">
        <f t="shared" si="198"/>
        <v>1.5701217843939486</v>
      </c>
      <c r="T327" s="17" t="str">
        <f t="shared" si="190"/>
        <v>1+0.0280515123938824i</v>
      </c>
      <c r="U327" s="17">
        <f t="shared" si="199"/>
        <v>1.0003933663052669</v>
      </c>
      <c r="V327" s="17">
        <f t="shared" si="200"/>
        <v>2.8044158072389341E-2</v>
      </c>
      <c r="W327" s="31" t="str">
        <f t="shared" si="191"/>
        <v>1-0.487121467642203i</v>
      </c>
      <c r="X327" s="17">
        <f t="shared" si="201"/>
        <v>1.1123341783105893</v>
      </c>
      <c r="Y327" s="17">
        <f t="shared" si="202"/>
        <v>-0.45329180439222239</v>
      </c>
      <c r="Z327" s="31" t="str">
        <f t="shared" si="192"/>
        <v>0.949964917407067+2.33071362916033i</v>
      </c>
      <c r="AA327" s="17">
        <f t="shared" si="203"/>
        <v>2.5168749205031884</v>
      </c>
      <c r="AB327" s="17">
        <f t="shared" si="204"/>
        <v>1.1837679377663131</v>
      </c>
      <c r="AC327" s="66" t="str">
        <f t="shared" si="205"/>
        <v>-0.16307357821651+0.00612542941735586i</v>
      </c>
      <c r="AD327" s="64">
        <f t="shared" si="206"/>
        <v>-15.746204706941121</v>
      </c>
      <c r="AE327" s="61">
        <f t="shared" si="207"/>
        <v>177.84884629376378</v>
      </c>
      <c r="AF327" s="31" t="str">
        <f t="shared" si="193"/>
        <v>-0.000106860158311346</v>
      </c>
      <c r="AG327" s="31" t="str">
        <f t="shared" si="194"/>
        <v>0.000357126307906841i</v>
      </c>
      <c r="AH327" s="31">
        <f t="shared" si="208"/>
        <v>3.5712630790684101E-4</v>
      </c>
      <c r="AI327" s="31">
        <f t="shared" si="209"/>
        <v>1.5707963267948966</v>
      </c>
      <c r="AJ327" s="31" t="str">
        <f t="shared" si="195"/>
        <v>1+5.63788538034751i</v>
      </c>
      <c r="AK327" s="31">
        <f t="shared" si="210"/>
        <v>5.7258843475865095</v>
      </c>
      <c r="AL327" s="31">
        <f t="shared" si="211"/>
        <v>1.3952505917901559</v>
      </c>
      <c r="AM327" s="31" t="str">
        <f t="shared" si="196"/>
        <v>1+36.1764311905631i</v>
      </c>
      <c r="AN327" s="31">
        <f t="shared" si="212"/>
        <v>36.190249704658669</v>
      </c>
      <c r="AO327" s="31">
        <f t="shared" si="213"/>
        <v>1.5431610575113617</v>
      </c>
      <c r="AP327" s="58" t="str">
        <f t="shared" si="214"/>
        <v>-0.278712969600762+1.87057408521884i</v>
      </c>
      <c r="AQ327" s="49">
        <f t="shared" si="215"/>
        <v>5.5348595433556174</v>
      </c>
      <c r="AR327" s="61">
        <f t="shared" si="216"/>
        <v>98.47464543163953</v>
      </c>
      <c r="AS327" s="58" t="str">
        <f t="shared" si="217"/>
        <v>0.0339926517192026-0.306748446018702i</v>
      </c>
      <c r="AT327" s="64">
        <f t="shared" si="218"/>
        <v>-10.211345163585513</v>
      </c>
      <c r="AU327" s="61">
        <f t="shared" si="219"/>
        <v>-83.676508274596671</v>
      </c>
    </row>
    <row r="328" spans="14:47" x14ac:dyDescent="0.35">
      <c r="N328" s="10">
        <v>10</v>
      </c>
      <c r="O328" s="50">
        <f t="shared" si="221"/>
        <v>12589.254117941671</v>
      </c>
      <c r="P328" s="48" t="str">
        <f t="shared" si="188"/>
        <v>547.187404092767</v>
      </c>
      <c r="Q328" s="17" t="str">
        <f t="shared" si="189"/>
        <v>1+1517.01781183907i</v>
      </c>
      <c r="R328" s="17">
        <f t="shared" si="197"/>
        <v>1517.0181414330548</v>
      </c>
      <c r="S328" s="17">
        <f t="shared" si="198"/>
        <v>1.5701371388490777</v>
      </c>
      <c r="T328" s="17" t="str">
        <f t="shared" si="190"/>
        <v>1+0.0287049160555365i</v>
      </c>
      <c r="U328" s="17">
        <f t="shared" si="199"/>
        <v>1.0004119012715489</v>
      </c>
      <c r="V328" s="17">
        <f t="shared" si="200"/>
        <v>2.8697035933304711E-2</v>
      </c>
      <c r="W328" s="31" t="str">
        <f t="shared" si="191"/>
        <v>1-0.498467984227782i</v>
      </c>
      <c r="X328" s="17">
        <f t="shared" si="201"/>
        <v>1.1173496906967435</v>
      </c>
      <c r="Y328" s="17">
        <f t="shared" si="202"/>
        <v>-0.46242124547415281</v>
      </c>
      <c r="Z328" s="31" t="str">
        <f t="shared" si="192"/>
        <v>0.947606836612856+2.385002923733i</v>
      </c>
      <c r="AA328" s="17">
        <f t="shared" si="203"/>
        <v>2.5663588336416212</v>
      </c>
      <c r="AB328" s="17">
        <f t="shared" si="204"/>
        <v>1.1926033418126256</v>
      </c>
      <c r="AC328" s="66" t="str">
        <f t="shared" si="205"/>
        <v>-0.156870670918546+0.0086164628198353i</v>
      </c>
      <c r="AD328" s="64">
        <f t="shared" si="206"/>
        <v>-16.076082005032436</v>
      </c>
      <c r="AE328" s="61">
        <f t="shared" si="207"/>
        <v>176.85606388880154</v>
      </c>
      <c r="AF328" s="31" t="str">
        <f t="shared" si="193"/>
        <v>-0.000106860158311346</v>
      </c>
      <c r="AG328" s="31" t="str">
        <f t="shared" si="194"/>
        <v>0.00036544484824017i</v>
      </c>
      <c r="AH328" s="31">
        <f t="shared" si="208"/>
        <v>3.6544484824016998E-4</v>
      </c>
      <c r="AI328" s="31">
        <f t="shared" si="209"/>
        <v>1.5707963267948966</v>
      </c>
      <c r="AJ328" s="31" t="str">
        <f t="shared" si="195"/>
        <v>1+5.76920860099172i</v>
      </c>
      <c r="AK328" s="31">
        <f t="shared" si="210"/>
        <v>5.8552342294528961</v>
      </c>
      <c r="AL328" s="31">
        <f t="shared" si="211"/>
        <v>1.3991676118060816</v>
      </c>
      <c r="AM328" s="31" t="str">
        <f t="shared" si="196"/>
        <v>1+37.0190885230301i</v>
      </c>
      <c r="AN328" s="31">
        <f t="shared" si="212"/>
        <v>37.032592605378561</v>
      </c>
      <c r="AO328" s="31">
        <f t="shared" si="213"/>
        <v>1.5437898036568316</v>
      </c>
      <c r="AP328" s="58" t="str">
        <f t="shared" si="214"/>
        <v>-0.266534711410249+1.83010552682871i</v>
      </c>
      <c r="AQ328" s="49">
        <f t="shared" si="215"/>
        <v>5.3406762766700684</v>
      </c>
      <c r="AR328" s="61">
        <f t="shared" si="216"/>
        <v>98.286241216979278</v>
      </c>
      <c r="AS328" s="58" t="str">
        <f t="shared" si="217"/>
        <v>0.0260424427737121-0.289386468276421i</v>
      </c>
      <c r="AT328" s="64">
        <f t="shared" si="218"/>
        <v>-10.735405728362359</v>
      </c>
      <c r="AU328" s="61">
        <f t="shared" si="219"/>
        <v>-84.857694894219193</v>
      </c>
    </row>
    <row r="329" spans="14:47" x14ac:dyDescent="0.35">
      <c r="N329" s="10">
        <v>11</v>
      </c>
      <c r="O329" s="50">
        <f t="shared" si="221"/>
        <v>12882.49551693136</v>
      </c>
      <c r="P329" s="48" t="str">
        <f t="shared" si="188"/>
        <v>547.187404092767</v>
      </c>
      <c r="Q329" s="17" t="str">
        <f t="shared" si="189"/>
        <v>1+1552.35369602i</v>
      </c>
      <c r="R329" s="17">
        <f t="shared" si="197"/>
        <v>1552.3540181115113</v>
      </c>
      <c r="S329" s="17">
        <f t="shared" si="198"/>
        <v>1.5701521437944375</v>
      </c>
      <c r="T329" s="17" t="str">
        <f t="shared" si="190"/>
        <v>1+0.0293735394436379i</v>
      </c>
      <c r="U329" s="17">
        <f t="shared" si="199"/>
        <v>1.0004313093958261</v>
      </c>
      <c r="V329" s="17">
        <f t="shared" si="200"/>
        <v>2.9365095937133878E-2</v>
      </c>
      <c r="W329" s="31" t="str">
        <f t="shared" si="191"/>
        <v>1-0.510078795136604i</v>
      </c>
      <c r="X329" s="17">
        <f t="shared" si="201"/>
        <v>1.1225775595690526</v>
      </c>
      <c r="Y329" s="17">
        <f t="shared" si="202"/>
        <v>-0.47167809672808941</v>
      </c>
      <c r="Z329" s="31" t="str">
        <f t="shared" si="192"/>
        <v>0.945137622894626+2.4405567784251i</v>
      </c>
      <c r="AA329" s="17">
        <f t="shared" si="203"/>
        <v>2.6171745289391013</v>
      </c>
      <c r="AB329" s="17">
        <f t="shared" si="204"/>
        <v>1.2013180125007212</v>
      </c>
      <c r="AC329" s="66" t="str">
        <f t="shared" si="205"/>
        <v>-0.150863308396299+0.0109098569063559i</v>
      </c>
      <c r="AD329" s="64">
        <f t="shared" si="206"/>
        <v>-16.405674643428185</v>
      </c>
      <c r="AE329" s="61">
        <f t="shared" si="207"/>
        <v>175.86378882873632</v>
      </c>
      <c r="AF329" s="31" t="str">
        <f t="shared" si="193"/>
        <v>-0.000106860158311346</v>
      </c>
      <c r="AG329" s="31" t="str">
        <f t="shared" si="194"/>
        <v>0.00037395715226927i</v>
      </c>
      <c r="AH329" s="31">
        <f t="shared" si="208"/>
        <v>3.7395715226927001E-4</v>
      </c>
      <c r="AI329" s="31">
        <f t="shared" si="209"/>
        <v>1.5707963267948966</v>
      </c>
      <c r="AJ329" s="31" t="str">
        <f t="shared" si="195"/>
        <v>1+5.90359073240069i</v>
      </c>
      <c r="AK329" s="31">
        <f t="shared" si="210"/>
        <v>5.9876859917406593</v>
      </c>
      <c r="AL329" s="31">
        <f t="shared" si="211"/>
        <v>1.4030006160369777</v>
      </c>
      <c r="AM329" s="31" t="str">
        <f t="shared" si="196"/>
        <v>1+37.8813738662377i</v>
      </c>
      <c r="AN329" s="31">
        <f t="shared" si="212"/>
        <v>37.894570666438185</v>
      </c>
      <c r="AO329" s="31">
        <f t="shared" si="213"/>
        <v>1.5444042584310662</v>
      </c>
      <c r="AP329" s="58" t="str">
        <f t="shared" si="214"/>
        <v>-0.254873268588244+1.79042255265322i</v>
      </c>
      <c r="AQ329" s="49">
        <f t="shared" si="215"/>
        <v>5.1462388698516275</v>
      </c>
      <c r="AR329" s="61">
        <f t="shared" si="216"/>
        <v>98.101831916958375</v>
      </c>
      <c r="AS329" s="58" t="str">
        <f t="shared" si="217"/>
        <v>0.0189177706696419-0.272889700610165i</v>
      </c>
      <c r="AT329" s="64">
        <f t="shared" si="218"/>
        <v>-11.259435773576541</v>
      </c>
      <c r="AU329" s="61">
        <f t="shared" si="219"/>
        <v>-86.034379254305307</v>
      </c>
    </row>
    <row r="330" spans="14:47" x14ac:dyDescent="0.35">
      <c r="N330" s="10">
        <v>12</v>
      </c>
      <c r="O330" s="50">
        <f t="shared" si="221"/>
        <v>13182.567385564091</v>
      </c>
      <c r="P330" s="48" t="str">
        <f t="shared" si="188"/>
        <v>547.187404092767</v>
      </c>
      <c r="Q330" s="17" t="str">
        <f t="shared" si="189"/>
        <v>1+1588.5126586784i</v>
      </c>
      <c r="R330" s="17">
        <f t="shared" si="197"/>
        <v>1588.5129734382151</v>
      </c>
      <c r="S330" s="17">
        <f t="shared" si="198"/>
        <v>1.5701668071858217</v>
      </c>
      <c r="T330" s="17" t="str">
        <f t="shared" si="190"/>
        <v>1+0.030057737071157i</v>
      </c>
      <c r="U330" s="17">
        <f t="shared" si="199"/>
        <v>1.000451631793281</v>
      </c>
      <c r="V330" s="17">
        <f t="shared" si="200"/>
        <v>3.0048689911504712E-2</v>
      </c>
      <c r="W330" s="31" t="str">
        <f t="shared" si="191"/>
        <v>1-0.521960056574297i</v>
      </c>
      <c r="X330" s="17">
        <f t="shared" si="201"/>
        <v>1.1280258421946916</v>
      </c>
      <c r="Y330" s="17">
        <f t="shared" si="202"/>
        <v>-0.48106091962900205</v>
      </c>
      <c r="Z330" s="31" t="str">
        <f t="shared" si="192"/>
        <v>0.942552038719029+2.4974046486257i</v>
      </c>
      <c r="AA330" s="17">
        <f t="shared" si="203"/>
        <v>2.6693509182328681</v>
      </c>
      <c r="AB330" s="17">
        <f t="shared" si="204"/>
        <v>1.2099121598959608</v>
      </c>
      <c r="AC330" s="66" t="str">
        <f t="shared" si="205"/>
        <v>-0.145048461527298+0.0130163983108996i</v>
      </c>
      <c r="AD330" s="64">
        <f t="shared" si="206"/>
        <v>-16.734903983397519</v>
      </c>
      <c r="AE330" s="61">
        <f t="shared" si="207"/>
        <v>174.87211120152722</v>
      </c>
      <c r="AF330" s="31" t="str">
        <f t="shared" si="193"/>
        <v>-0.000106860158311346</v>
      </c>
      <c r="AG330" s="31" t="str">
        <f t="shared" si="194"/>
        <v>0.000382667733330411i</v>
      </c>
      <c r="AH330" s="31">
        <f t="shared" si="208"/>
        <v>3.8266773333041099E-4</v>
      </c>
      <c r="AI330" s="31">
        <f t="shared" si="209"/>
        <v>1.5707963267948966</v>
      </c>
      <c r="AJ330" s="31" t="str">
        <f t="shared" si="195"/>
        <v>1+6.04110302575923i</v>
      </c>
      <c r="AK330" s="31">
        <f t="shared" si="210"/>
        <v>6.1233100336204869</v>
      </c>
      <c r="AL330" s="31">
        <f t="shared" si="211"/>
        <v>1.4067511860531476</v>
      </c>
      <c r="AM330" s="31" t="str">
        <f t="shared" si="196"/>
        <v>1+38.7637444152883i</v>
      </c>
      <c r="AN330" s="31">
        <f t="shared" si="212"/>
        <v>38.776640920711472</v>
      </c>
      <c r="AO330" s="31">
        <f t="shared" si="213"/>
        <v>1.5450047457691354</v>
      </c>
      <c r="AP330" s="58" t="str">
        <f t="shared" si="214"/>
        <v>-0.243708021586706+1.7515157729985i</v>
      </c>
      <c r="AQ330" s="49">
        <f t="shared" si="215"/>
        <v>4.9515581058382878</v>
      </c>
      <c r="AR330" s="61">
        <f t="shared" si="216"/>
        <v>97.921345474385987</v>
      </c>
      <c r="AS330" s="58" t="str">
        <f t="shared" si="217"/>
        <v>0.0125510466438416-0.257226868894762i</v>
      </c>
      <c r="AT330" s="64">
        <f t="shared" si="218"/>
        <v>-11.783345877559249</v>
      </c>
      <c r="AU330" s="61">
        <f t="shared" si="219"/>
        <v>-87.206543324086766</v>
      </c>
    </row>
    <row r="331" spans="14:47" x14ac:dyDescent="0.35">
      <c r="N331" s="10">
        <v>13</v>
      </c>
      <c r="O331" s="50">
        <f t="shared" si="221"/>
        <v>13489.628825916556</v>
      </c>
      <c r="P331" s="48" t="str">
        <f t="shared" si="188"/>
        <v>547.187404092767</v>
      </c>
      <c r="Q331" s="17" t="str">
        <f t="shared" si="189"/>
        <v>1+1625.51387177487i</v>
      </c>
      <c r="R331" s="17">
        <f t="shared" si="197"/>
        <v>1625.5141793698781</v>
      </c>
      <c r="S331" s="17">
        <f t="shared" si="198"/>
        <v>1.5701811367979295</v>
      </c>
      <c r="T331" s="17" t="str">
        <f t="shared" si="190"/>
        <v>1+0.0307578717087324i</v>
      </c>
      <c r="U331" s="17">
        <f t="shared" si="199"/>
        <v>1.0004729115133757</v>
      </c>
      <c r="V331" s="17">
        <f t="shared" si="200"/>
        <v>3.0748177749977065E-2</v>
      </c>
      <c r="W331" s="31" t="str">
        <f t="shared" si="191"/>
        <v>1-0.534118068142944i</v>
      </c>
      <c r="X331" s="17">
        <f t="shared" si="201"/>
        <v>1.1337028317494628</v>
      </c>
      <c r="Y331" s="17">
        <f t="shared" si="202"/>
        <v>-0.4905680798753651</v>
      </c>
      <c r="Z331" s="31" t="str">
        <f t="shared" si="192"/>
        <v>0.939844599715372+2.55557667582805i</v>
      </c>
      <c r="AA331" s="17">
        <f t="shared" si="203"/>
        <v>2.7229175561611285</v>
      </c>
      <c r="AB331" s="17">
        <f t="shared" si="204"/>
        <v>1.218386140447965</v>
      </c>
      <c r="AC331" s="66" t="str">
        <f t="shared" si="205"/>
        <v>-0.139422896678979+0.0149464672233502i</v>
      </c>
      <c r="AD331" s="64">
        <f t="shared" si="206"/>
        <v>-17.063691938175051</v>
      </c>
      <c r="AE331" s="61">
        <f t="shared" si="207"/>
        <v>173.8811243976196</v>
      </c>
      <c r="AF331" s="31" t="str">
        <f t="shared" si="193"/>
        <v>-0.000106860158311346</v>
      </c>
      <c r="AG331" s="31" t="str">
        <f t="shared" si="194"/>
        <v>0.00039158120988897i</v>
      </c>
      <c r="AH331" s="31">
        <f t="shared" si="208"/>
        <v>3.9158120988896998E-4</v>
      </c>
      <c r="AI331" s="31">
        <f t="shared" si="209"/>
        <v>1.5707963267948966</v>
      </c>
      <c r="AJ331" s="31" t="str">
        <f t="shared" si="195"/>
        <v>1+6.18181839190548i</v>
      </c>
      <c r="AK331" s="31">
        <f t="shared" si="210"/>
        <v>6.2621784253166135</v>
      </c>
      <c r="AL331" s="31">
        <f t="shared" si="211"/>
        <v>1.4104208881762825</v>
      </c>
      <c r="AM331" s="31" t="str">
        <f t="shared" si="196"/>
        <v>1+39.6666680147267i</v>
      </c>
      <c r="AN331" s="31">
        <f t="shared" si="212"/>
        <v>39.679271054173142</v>
      </c>
      <c r="AO331" s="31">
        <f t="shared" si="213"/>
        <v>1.5455915823241679</v>
      </c>
      <c r="AP331" s="58" t="str">
        <f t="shared" si="214"/>
        <v>-0.233019060559142+1.71337550304337i</v>
      </c>
      <c r="AQ331" s="49">
        <f t="shared" si="215"/>
        <v>4.7566443375997949</v>
      </c>
      <c r="AR331" s="61">
        <f t="shared" si="216"/>
        <v>97.7447102885276</v>
      </c>
      <c r="AS331" s="58" t="str">
        <f t="shared" si="217"/>
        <v>0.00687928160704112-0.242366587484173i</v>
      </c>
      <c r="AT331" s="64">
        <f t="shared" si="218"/>
        <v>-12.30704760057524</v>
      </c>
      <c r="AU331" s="61">
        <f t="shared" si="219"/>
        <v>-88.374165313852814</v>
      </c>
    </row>
    <row r="332" spans="14:47" x14ac:dyDescent="0.35">
      <c r="N332" s="10">
        <v>14</v>
      </c>
      <c r="O332" s="50">
        <f t="shared" si="221"/>
        <v>13803.842646028841</v>
      </c>
      <c r="P332" s="48" t="str">
        <f t="shared" si="188"/>
        <v>547.187404092767</v>
      </c>
      <c r="Q332" s="17" t="str">
        <f t="shared" si="189"/>
        <v>1+1663.37695384238i</v>
      </c>
      <c r="R332" s="17">
        <f t="shared" si="197"/>
        <v>1663.3772544356723</v>
      </c>
      <c r="S332" s="17">
        <f t="shared" si="198"/>
        <v>1.5701951402284873</v>
      </c>
      <c r="T332" s="17" t="str">
        <f t="shared" si="190"/>
        <v>1+0.0314743145770163i</v>
      </c>
      <c r="U332" s="17">
        <f t="shared" si="199"/>
        <v>1.0004951936306805</v>
      </c>
      <c r="V332" s="17">
        <f t="shared" si="200"/>
        <v>3.1463927590714036E-2</v>
      </c>
      <c r="W332" s="31" t="str">
        <f t="shared" si="191"/>
        <v>1-0.546559276181208i</v>
      </c>
      <c r="X332" s="17">
        <f t="shared" si="201"/>
        <v>1.1396170595334758</v>
      </c>
      <c r="Y332" s="17">
        <f t="shared" si="202"/>
        <v>-0.50019774292726904</v>
      </c>
      <c r="Z332" s="31" t="str">
        <f t="shared" si="192"/>
        <v>0.937009563042537+2.61510370361099i</v>
      </c>
      <c r="AA332" s="17">
        <f t="shared" si="203"/>
        <v>2.7779046603281907</v>
      </c>
      <c r="AB332" s="17">
        <f t="shared" si="204"/>
        <v>1.2267404502595454</v>
      </c>
      <c r="AC332" s="66" t="str">
        <f t="shared" si="205"/>
        <v>-0.133983198644094+0.0167100388545985i</v>
      </c>
      <c r="AD332" s="64">
        <f t="shared" si="206"/>
        <v>-17.391961095774093</v>
      </c>
      <c r="AE332" s="61">
        <f t="shared" si="207"/>
        <v>172.89092576125597</v>
      </c>
      <c r="AF332" s="31" t="str">
        <f t="shared" si="193"/>
        <v>-0.000106860158311346</v>
      </c>
      <c r="AG332" s="31" t="str">
        <f t="shared" si="194"/>
        <v>0.000400702307988201i</v>
      </c>
      <c r="AH332" s="31">
        <f t="shared" si="208"/>
        <v>4.0070230798820098E-4</v>
      </c>
      <c r="AI332" s="31">
        <f t="shared" si="209"/>
        <v>1.5707963267948966</v>
      </c>
      <c r="AJ332" s="31" t="str">
        <f t="shared" si="195"/>
        <v>1+6.32581143998915i</v>
      </c>
      <c r="AK332" s="31">
        <f t="shared" si="210"/>
        <v>6.4043649469949475</v>
      </c>
      <c r="AL332" s="31">
        <f t="shared" si="211"/>
        <v>1.414011272579913</v>
      </c>
      <c r="AM332" s="31" t="str">
        <f t="shared" si="196"/>
        <v>1+40.5906234065969i</v>
      </c>
      <c r="AN332" s="31">
        <f t="shared" si="212"/>
        <v>40.602939653874472</v>
      </c>
      <c r="AO332" s="31">
        <f t="shared" si="213"/>
        <v>1.5461650776270024</v>
      </c>
      <c r="AP332" s="58" t="str">
        <f t="shared" si="214"/>
        <v>-0.222787170899651+1.6759917976043i</v>
      </c>
      <c r="AQ332" s="49">
        <f t="shared" si="215"/>
        <v>4.5615075029076166</v>
      </c>
      <c r="AR332" s="61">
        <f t="shared" si="216"/>
        <v>97.571855275792899</v>
      </c>
      <c r="AS332" s="58" t="str">
        <f t="shared" si="217"/>
        <v>0.00184384971604742-0.228277524226328i</v>
      </c>
      <c r="AT332" s="64">
        <f t="shared" si="218"/>
        <v>-12.83045359286649</v>
      </c>
      <c r="AU332" s="61">
        <f t="shared" si="219"/>
        <v>-89.53721896295113</v>
      </c>
    </row>
    <row r="333" spans="14:47" x14ac:dyDescent="0.35">
      <c r="N333" s="10">
        <v>15</v>
      </c>
      <c r="O333" s="50">
        <f t="shared" si="221"/>
        <v>14125.375446227561</v>
      </c>
      <c r="P333" s="48" t="str">
        <f t="shared" si="188"/>
        <v>547.187404092767</v>
      </c>
      <c r="Q333" s="17" t="str">
        <f t="shared" si="189"/>
        <v>1+1702.12198038822i</v>
      </c>
      <c r="R333" s="17">
        <f t="shared" si="197"/>
        <v>1702.1222741391748</v>
      </c>
      <c r="S333" s="17">
        <f t="shared" si="198"/>
        <v>1.5702088249022772</v>
      </c>
      <c r="T333" s="17" t="str">
        <f t="shared" si="190"/>
        <v>1+0.0322074455435008i</v>
      </c>
      <c r="U333" s="17">
        <f t="shared" si="199"/>
        <v>1.0005185253399547</v>
      </c>
      <c r="V333" s="17">
        <f t="shared" si="200"/>
        <v>3.2196315998660859E-2</v>
      </c>
      <c r="W333" s="31" t="str">
        <f t="shared" si="191"/>
        <v>1-0.559290277182273i</v>
      </c>
      <c r="X333" s="17">
        <f t="shared" si="201"/>
        <v>1.1457772969258135</v>
      </c>
      <c r="Y333" s="17">
        <f t="shared" si="202"/>
        <v>-0.50994787006812214</v>
      </c>
      <c r="Z333" s="31" t="str">
        <f t="shared" si="192"/>
        <v>0.93404091520764+2.67601729399257i</v>
      </c>
      <c r="AA333" s="17">
        <f t="shared" si="203"/>
        <v>2.8343431318436449</v>
      </c>
      <c r="AB333" s="17">
        <f t="shared" si="204"/>
        <v>1.234975718357771</v>
      </c>
      <c r="AC333" s="66" t="str">
        <f t="shared" si="205"/>
        <v>-0.128725792726751+0.0183166863394966i</v>
      </c>
      <c r="AD333" s="64">
        <f t="shared" si="206"/>
        <v>-17.71963484194535</v>
      </c>
      <c r="AE333" s="61">
        <f t="shared" si="207"/>
        <v>171.90161721186948</v>
      </c>
      <c r="AF333" s="31" t="str">
        <f t="shared" si="193"/>
        <v>-0.000106860158311346</v>
      </c>
      <c r="AG333" s="31" t="str">
        <f t="shared" si="194"/>
        <v>0.000410035863755051i</v>
      </c>
      <c r="AH333" s="31">
        <f t="shared" si="208"/>
        <v>4.1003586375505099E-4</v>
      </c>
      <c r="AI333" s="31">
        <f t="shared" si="209"/>
        <v>1.5707963267948966</v>
      </c>
      <c r="AJ333" s="31" t="str">
        <f t="shared" si="195"/>
        <v>1+6.47315851703033i</v>
      </c>
      <c r="AK333" s="31">
        <f t="shared" si="210"/>
        <v>6.5499451285184298</v>
      </c>
      <c r="AL333" s="31">
        <f t="shared" si="211"/>
        <v>1.4175238724793966</v>
      </c>
      <c r="AM333" s="31" t="str">
        <f t="shared" si="196"/>
        <v>1+41.5361004842779i</v>
      </c>
      <c r="AN333" s="31">
        <f t="shared" si="212"/>
        <v>41.548136461699826</v>
      </c>
      <c r="AO333" s="31">
        <f t="shared" si="213"/>
        <v>1.5467255342426085</v>
      </c>
      <c r="AP333" s="58" t="str">
        <f t="shared" si="214"/>
        <v>-0.212993818104541+1.63935448382574i</v>
      </c>
      <c r="AQ333" s="49">
        <f t="shared" si="215"/>
        <v>4.3661571388081644</v>
      </c>
      <c r="AR333" s="61">
        <f t="shared" si="216"/>
        <v>97.402709925108766</v>
      </c>
      <c r="AS333" s="58" t="str">
        <f t="shared" si="217"/>
        <v>-0.00260974379807898-0.214928546449095i</v>
      </c>
      <c r="AT333" s="64">
        <f t="shared" si="218"/>
        <v>-13.353477703137175</v>
      </c>
      <c r="AU333" s="61">
        <f t="shared" si="219"/>
        <v>-90.695672863021741</v>
      </c>
    </row>
    <row r="334" spans="14:47" x14ac:dyDescent="0.35">
      <c r="N334" s="10">
        <v>16</v>
      </c>
      <c r="O334" s="50">
        <f t="shared" si="221"/>
        <v>14454.397707459291</v>
      </c>
      <c r="P334" s="48" t="str">
        <f t="shared" si="188"/>
        <v>547.187404092767</v>
      </c>
      <c r="Q334" s="17" t="str">
        <f t="shared" si="189"/>
        <v>1+1741.76949453831i</v>
      </c>
      <c r="R334" s="17">
        <f t="shared" si="197"/>
        <v>1741.7697816026778</v>
      </c>
      <c r="S334" s="17">
        <f t="shared" si="198"/>
        <v>1.5702221980750739</v>
      </c>
      <c r="T334" s="17" t="str">
        <f t="shared" si="190"/>
        <v>1+0.0329576533239283i</v>
      </c>
      <c r="U334" s="17">
        <f t="shared" si="199"/>
        <v>1.0005429560556709</v>
      </c>
      <c r="V334" s="17">
        <f t="shared" si="200"/>
        <v>3.2945728151265632E-2</v>
      </c>
      <c r="W334" s="31" t="str">
        <f t="shared" si="191"/>
        <v>1-0.57231782129138i</v>
      </c>
      <c r="X334" s="17">
        <f t="shared" si="201"/>
        <v>1.1521925570700897</v>
      </c>
      <c r="Y334" s="17">
        <f t="shared" si="202"/>
        <v>-0.51981621504526809</v>
      </c>
      <c r="Z334" s="31" t="str">
        <f t="shared" si="192"/>
        <v>0.93093235931061+2.73834974416471i</v>
      </c>
      <c r="AA334" s="17">
        <f t="shared" si="203"/>
        <v>2.8922645762410037</v>
      </c>
      <c r="AB334" s="17">
        <f t="shared" si="204"/>
        <v>1.2430926999990333</v>
      </c>
      <c r="AC334" s="66" t="str">
        <f t="shared" si="205"/>
        <v>-0.123646965909759+0.0197755849475265i</v>
      </c>
      <c r="AD334" s="64">
        <f t="shared" si="206"/>
        <v>-18.04663748322649</v>
      </c>
      <c r="AE334" s="61">
        <f t="shared" si="207"/>
        <v>170.91330583057044</v>
      </c>
      <c r="AF334" s="31" t="str">
        <f t="shared" si="193"/>
        <v>-0.000106860158311346</v>
      </c>
      <c r="AG334" s="31" t="str">
        <f t="shared" si="194"/>
        <v>0.00041958682596433i</v>
      </c>
      <c r="AH334" s="31">
        <f t="shared" si="208"/>
        <v>4.1958682596432998E-4</v>
      </c>
      <c r="AI334" s="31">
        <f t="shared" si="209"/>
        <v>1.5707963267948966</v>
      </c>
      <c r="AJ334" s="31" t="str">
        <f t="shared" si="195"/>
        <v>1+6.62393774839961i</v>
      </c>
      <c r="AK334" s="31">
        <f t="shared" si="210"/>
        <v>6.6989962900925155</v>
      </c>
      <c r="AL334" s="31">
        <f t="shared" si="211"/>
        <v>1.4209602034061899</v>
      </c>
      <c r="AM334" s="31" t="str">
        <f t="shared" si="196"/>
        <v>1+42.5036005522308i</v>
      </c>
      <c r="AN334" s="31">
        <f t="shared" si="212"/>
        <v>42.515362634036109</v>
      </c>
      <c r="AO334" s="31">
        <f t="shared" si="213"/>
        <v>1.5472732479233278</v>
      </c>
      <c r="AP334" s="58" t="str">
        <f t="shared" si="214"/>
        <v>-0.203621132078941+1.60345319187219i</v>
      </c>
      <c r="AQ334" s="49">
        <f t="shared" si="215"/>
        <v>4.1706023957837033</v>
      </c>
      <c r="AR334" s="61">
        <f t="shared" si="216"/>
        <v>97.237204348280088</v>
      </c>
      <c r="AS334" s="58" t="str">
        <f t="shared" si="217"/>
        <v>-0.00653208962857964-0.202288849147854i</v>
      </c>
      <c r="AT334" s="64">
        <f t="shared" si="218"/>
        <v>-13.876035087442764</v>
      </c>
      <c r="AU334" s="61">
        <f t="shared" si="219"/>
        <v>-91.849489821149476</v>
      </c>
    </row>
    <row r="335" spans="14:47" x14ac:dyDescent="0.35">
      <c r="N335" s="10">
        <v>17</v>
      </c>
      <c r="O335" s="50">
        <f t="shared" si="221"/>
        <v>14791.083881682089</v>
      </c>
      <c r="P335" s="48" t="str">
        <f t="shared" si="188"/>
        <v>547.187404092767</v>
      </c>
      <c r="Q335" s="17" t="str">
        <f t="shared" si="189"/>
        <v>1+1782.34051792944i</v>
      </c>
      <c r="R335" s="17">
        <f t="shared" si="197"/>
        <v>1782.3407984594262</v>
      </c>
      <c r="S335" s="17">
        <f t="shared" si="198"/>
        <v>1.5702352668374917</v>
      </c>
      <c r="T335" s="17" t="str">
        <f t="shared" si="190"/>
        <v>1+0.0337253356883944i</v>
      </c>
      <c r="U335" s="17">
        <f t="shared" si="199"/>
        <v>1.0005685375161937</v>
      </c>
      <c r="V335" s="17">
        <f t="shared" si="200"/>
        <v>3.3712558027776354E-2</v>
      </c>
      <c r="W335" s="31" t="str">
        <f t="shared" si="191"/>
        <v>1-0.585648815884858i</v>
      </c>
      <c r="X335" s="17">
        <f t="shared" si="201"/>
        <v>1.1588720962847179</v>
      </c>
      <c r="Y335" s="17">
        <f t="shared" si="202"/>
        <v>-0.52980032134428501</v>
      </c>
      <c r="Z335" s="31" t="str">
        <f t="shared" si="192"/>
        <v>0.927677301687618+2.80213410361754i</v>
      </c>
      <c r="AA335" s="17">
        <f t="shared" si="203"/>
        <v>2.9517013247825217</v>
      </c>
      <c r="AB335" s="17">
        <f t="shared" si="204"/>
        <v>1.251092270037012</v>
      </c>
      <c r="AC335" s="66" t="str">
        <f t="shared" si="205"/>
        <v>-0.118742887048526+0.0210955174723621i</v>
      </c>
      <c r="AD335" s="64">
        <f t="shared" si="206"/>
        <v>-18.372894369986035</v>
      </c>
      <c r="AE335" s="61">
        <f t="shared" si="207"/>
        <v>169.92610440692994</v>
      </c>
      <c r="AF335" s="31" t="str">
        <f t="shared" si="193"/>
        <v>-0.000106860158311346</v>
      </c>
      <c r="AG335" s="31" t="str">
        <f t="shared" si="194"/>
        <v>0.000429360258662623i</v>
      </c>
      <c r="AH335" s="31">
        <f t="shared" si="208"/>
        <v>4.29360258662623E-4</v>
      </c>
      <c r="AI335" s="31">
        <f t="shared" si="209"/>
        <v>1.5707963267948966</v>
      </c>
      <c r="AJ335" s="31" t="str">
        <f t="shared" si="195"/>
        <v>1+6.77822907924128i</v>
      </c>
      <c r="AK335" s="31">
        <f t="shared" si="210"/>
        <v>6.8515975838246712</v>
      </c>
      <c r="AL335" s="31">
        <f t="shared" si="211"/>
        <v>1.4243217625613813</v>
      </c>
      <c r="AM335" s="31" t="str">
        <f t="shared" si="196"/>
        <v>1+43.4936365917981i</v>
      </c>
      <c r="AN335" s="31">
        <f t="shared" si="212"/>
        <v>43.505131007496104</v>
      </c>
      <c r="AO335" s="31">
        <f t="shared" si="213"/>
        <v>1.5478085077589805</v>
      </c>
      <c r="AP335" s="58" t="str">
        <f t="shared" si="214"/>
        <v>-0.194651891000133+1.56827738370016i</v>
      </c>
      <c r="AQ335" s="49">
        <f t="shared" si="215"/>
        <v>3.9748520515901271</v>
      </c>
      <c r="AR335" s="61">
        <f t="shared" si="216"/>
        <v>97.075269325629776</v>
      </c>
      <c r="AS335" s="58" t="str">
        <f t="shared" si="217"/>
        <v>-0.00997009544254626-0.190328066601088i</v>
      </c>
      <c r="AT335" s="64">
        <f t="shared" si="218"/>
        <v>-14.398042318395891</v>
      </c>
      <c r="AU335" s="61">
        <f t="shared" si="219"/>
        <v>-92.998626267440258</v>
      </c>
    </row>
    <row r="336" spans="14:47" x14ac:dyDescent="0.35">
      <c r="N336" s="10">
        <v>18</v>
      </c>
      <c r="O336" s="50">
        <f t="shared" si="221"/>
        <v>15135.612484362096</v>
      </c>
      <c r="P336" s="48" t="str">
        <f t="shared" si="188"/>
        <v>547.187404092767</v>
      </c>
      <c r="Q336" s="17" t="str">
        <f t="shared" si="189"/>
        <v>1+1823.85656185524i</v>
      </c>
      <c r="R336" s="17">
        <f t="shared" si="197"/>
        <v>1823.8568359995852</v>
      </c>
      <c r="S336" s="17">
        <f t="shared" si="198"/>
        <v>1.5702480381187434</v>
      </c>
      <c r="T336" s="17" t="str">
        <f t="shared" si="190"/>
        <v>1+0.03451089967225i</v>
      </c>
      <c r="U336" s="17">
        <f t="shared" si="199"/>
        <v>1.0005953238928254</v>
      </c>
      <c r="V336" s="17">
        <f t="shared" si="200"/>
        <v>3.4497208602141831E-2</v>
      </c>
      <c r="W336" s="31" t="str">
        <f t="shared" si="191"/>
        <v>1-0.599290329232497i</v>
      </c>
      <c r="X336" s="17">
        <f t="shared" si="201"/>
        <v>1.1658254151937135</v>
      </c>
      <c r="Y336" s="17">
        <f t="shared" si="202"/>
        <v>-0.53989752015038606</v>
      </c>
      <c r="Z336" s="31" t="str">
        <f t="shared" si="192"/>
        <v>0.924268837925032+2.86740419166274i</v>
      </c>
      <c r="AA336" s="17">
        <f t="shared" si="203"/>
        <v>3.0126864561590772</v>
      </c>
      <c r="AB336" s="17">
        <f t="shared" si="204"/>
        <v>1.2589754163796174</v>
      </c>
      <c r="AC336" s="66" t="str">
        <f t="shared" si="205"/>
        <v>-0.114009626050248+0.0222848806740157i</v>
      </c>
      <c r="AD336" s="64">
        <f t="shared" si="206"/>
        <v>-18.698332019324454</v>
      </c>
      <c r="AE336" s="61">
        <f t="shared" si="207"/>
        <v>168.94013194150961</v>
      </c>
      <c r="AF336" s="31" t="str">
        <f t="shared" si="193"/>
        <v>-0.000106860158311346</v>
      </c>
      <c r="AG336" s="31" t="str">
        <f t="shared" si="194"/>
        <v>0.000439361343853314i</v>
      </c>
      <c r="AH336" s="31">
        <f t="shared" si="208"/>
        <v>4.3936134385331402E-4</v>
      </c>
      <c r="AI336" s="31">
        <f t="shared" si="209"/>
        <v>1.5707963267948966</v>
      </c>
      <c r="AJ336" s="31" t="str">
        <f t="shared" si="195"/>
        <v>1+6.93611431686123i</v>
      </c>
      <c r="AK336" s="31">
        <f t="shared" si="210"/>
        <v>7.007830036221435</v>
      </c>
      <c r="AL336" s="31">
        <f t="shared" si="211"/>
        <v>1.4276100282436337</v>
      </c>
      <c r="AM336" s="31" t="str">
        <f t="shared" si="196"/>
        <v>1+44.5067335331928i</v>
      </c>
      <c r="AN336" s="31">
        <f t="shared" si="212"/>
        <v>44.517966370833122</v>
      </c>
      <c r="AO336" s="31">
        <f t="shared" si="213"/>
        <v>1.5483315963238846</v>
      </c>
      <c r="AP336" s="58" t="str">
        <f t="shared" si="214"/>
        <v>-0.186069504839214+1.53381637998839i</v>
      </c>
      <c r="AQ336" s="49">
        <f t="shared" si="215"/>
        <v>3.7789145247605171</v>
      </c>
      <c r="AR336" s="61">
        <f t="shared" si="216"/>
        <v>96.91683634719962</v>
      </c>
      <c r="AS336" s="58" t="str">
        <f t="shared" si="217"/>
        <v>-0.0129672003378184-0.179016368624637i</v>
      </c>
      <c r="AT336" s="64">
        <f t="shared" si="218"/>
        <v>-14.919417494563916</v>
      </c>
      <c r="AU336" s="61">
        <f t="shared" si="219"/>
        <v>-94.143031711290732</v>
      </c>
    </row>
    <row r="337" spans="14:47" x14ac:dyDescent="0.35">
      <c r="N337" s="10">
        <v>19</v>
      </c>
      <c r="O337" s="50">
        <f t="shared" si="221"/>
        <v>15488.166189124853</v>
      </c>
      <c r="P337" s="48" t="str">
        <f t="shared" si="188"/>
        <v>547.187404092767</v>
      </c>
      <c r="Q337" s="17" t="str">
        <f t="shared" si="189"/>
        <v>1+1866.33963867174i</v>
      </c>
      <c r="R337" s="17">
        <f t="shared" si="197"/>
        <v>1866.339906575799</v>
      </c>
      <c r="S337" s="17">
        <f t="shared" si="198"/>
        <v>1.5702605186903145</v>
      </c>
      <c r="T337" s="17" t="str">
        <f t="shared" si="190"/>
        <v>1+0.0353147617919176i</v>
      </c>
      <c r="U337" s="17">
        <f t="shared" si="199"/>
        <v>1.0006233719039446</v>
      </c>
      <c r="V337" s="17">
        <f t="shared" si="200"/>
        <v>3.5300092039546864E-2</v>
      </c>
      <c r="W337" s="31" t="str">
        <f t="shared" si="191"/>
        <v>1-0.613249594245241i</v>
      </c>
      <c r="X337" s="17">
        <f t="shared" si="201"/>
        <v>1.1730622595761713</v>
      </c>
      <c r="Y337" s="17">
        <f t="shared" si="202"/>
        <v>-0.55010492904845565</v>
      </c>
      <c r="Z337" s="31" t="str">
        <f t="shared" si="192"/>
        <v>0.920699738214231+2.93419461536495i</v>
      </c>
      <c r="AA337" s="17">
        <f t="shared" si="203"/>
        <v>3.0752538185952099</v>
      </c>
      <c r="AB337" s="17">
        <f t="shared" si="204"/>
        <v>1.2667432335581252</v>
      </c>
      <c r="AC337" s="66" t="str">
        <f t="shared" si="205"/>
        <v>-0.109443172009635+0.0233516926508775i</v>
      </c>
      <c r="AD337" s="64">
        <f t="shared" si="206"/>
        <v>-19.022878237645934</v>
      </c>
      <c r="AE337" s="61">
        <f t="shared" si="207"/>
        <v>167.95551409985544</v>
      </c>
      <c r="AF337" s="31" t="str">
        <f t="shared" si="193"/>
        <v>-0.000106860158311346</v>
      </c>
      <c r="AG337" s="31" t="str">
        <f t="shared" si="194"/>
        <v>0.000449595384244152i</v>
      </c>
      <c r="AH337" s="31">
        <f t="shared" si="208"/>
        <v>4.4959538424415202E-4</v>
      </c>
      <c r="AI337" s="31">
        <f t="shared" si="209"/>
        <v>1.5707963267948966</v>
      </c>
      <c r="AJ337" s="31" t="str">
        <f t="shared" si="195"/>
        <v>1+7.09767717410232i</v>
      </c>
      <c r="AK337" s="31">
        <f t="shared" si="210"/>
        <v>7.1677765916477263</v>
      </c>
      <c r="AL337" s="31">
        <f t="shared" si="211"/>
        <v>1.4308264593469056</v>
      </c>
      <c r="AM337" s="31" t="str">
        <f t="shared" si="196"/>
        <v>1+45.5434285338231i</v>
      </c>
      <c r="AN337" s="31">
        <f t="shared" si="212"/>
        <v>45.554405743192973</v>
      </c>
      <c r="AO337" s="31">
        <f t="shared" si="213"/>
        <v>1.5488427898208379</v>
      </c>
      <c r="AP337" s="58" t="str">
        <f t="shared" si="214"/>
        <v>-0.177857998633172+1.50005938530535i</v>
      </c>
      <c r="AQ337" s="49">
        <f t="shared" si="215"/>
        <v>3.582797887768161</v>
      </c>
      <c r="AR337" s="61">
        <f t="shared" si="216"/>
        <v>96.761837649777519</v>
      </c>
      <c r="AS337" s="58" t="str">
        <f t="shared" si="217"/>
        <v>-0.0155635821860151-0.168324542650223i</v>
      </c>
      <c r="AT337" s="64">
        <f t="shared" si="218"/>
        <v>-15.440080349877764</v>
      </c>
      <c r="AU337" s="61">
        <f t="shared" si="219"/>
        <v>-95.282648250367046</v>
      </c>
    </row>
    <row r="338" spans="14:47" x14ac:dyDescent="0.35">
      <c r="N338" s="10">
        <v>20</v>
      </c>
      <c r="O338" s="50">
        <f t="shared" si="221"/>
        <v>15848.931924611146</v>
      </c>
      <c r="P338" s="48" t="str">
        <f t="shared" si="188"/>
        <v>547.187404092767</v>
      </c>
      <c r="Q338" s="17" t="str">
        <f t="shared" si="189"/>
        <v>1+1909.81227346859i</v>
      </c>
      <c r="R338" s="17">
        <f t="shared" si="197"/>
        <v>1909.8125352744089</v>
      </c>
      <c r="S338" s="17">
        <f t="shared" si="198"/>
        <v>1.5702727151695539</v>
      </c>
      <c r="T338" s="17" t="str">
        <f t="shared" si="190"/>
        <v>1+0.0361373482657334i</v>
      </c>
      <c r="U338" s="17">
        <f t="shared" si="199"/>
        <v>1.0006527409344756</v>
      </c>
      <c r="V338" s="17">
        <f t="shared" si="200"/>
        <v>3.6121629896602607E-2</v>
      </c>
      <c r="W338" s="31" t="str">
        <f t="shared" si="191"/>
        <v>1-0.62753401231017i</v>
      </c>
      <c r="X338" s="17">
        <f t="shared" si="201"/>
        <v>1.1805926209349695</v>
      </c>
      <c r="Y338" s="17">
        <f t="shared" si="202"/>
        <v>-0.56041945151054129</v>
      </c>
      <c r="Z338" s="31" t="str">
        <f t="shared" si="192"/>
        <v>0.916962432016212+3.00254078789087i</v>
      </c>
      <c r="AA338" s="17">
        <f t="shared" si="203"/>
        <v>3.1394380523713812</v>
      </c>
      <c r="AB338" s="17">
        <f t="shared" si="204"/>
        <v>1.2743969164290445</v>
      </c>
      <c r="AC338" s="66" t="str">
        <f t="shared" si="205"/>
        <v>-0.105039450283755+0.0243036010234357i</v>
      </c>
      <c r="AD338" s="64">
        <f t="shared" si="206"/>
        <v>-19.34646224266849</v>
      </c>
      <c r="AE338" s="61">
        <f t="shared" si="207"/>
        <v>166.97238361398396</v>
      </c>
      <c r="AF338" s="31" t="str">
        <f t="shared" si="193"/>
        <v>-0.000106860158311346</v>
      </c>
      <c r="AG338" s="31" t="str">
        <f t="shared" si="194"/>
        <v>0.000460067806058813i</v>
      </c>
      <c r="AH338" s="31">
        <f t="shared" si="208"/>
        <v>4.60067806058813E-4</v>
      </c>
      <c r="AI338" s="31">
        <f t="shared" si="209"/>
        <v>1.5707963267948966</v>
      </c>
      <c r="AJ338" s="31" t="str">
        <f t="shared" si="195"/>
        <v>1+7.26300331372995i</v>
      </c>
      <c r="AK338" s="31">
        <f t="shared" si="210"/>
        <v>7.3315221567729187</v>
      </c>
      <c r="AL338" s="31">
        <f t="shared" si="211"/>
        <v>1.4339724949235115</v>
      </c>
      <c r="AM338" s="31" t="str">
        <f t="shared" si="196"/>
        <v>1+46.6042712631004i</v>
      </c>
      <c r="AN338" s="31">
        <f t="shared" si="212"/>
        <v>46.614998658850624</v>
      </c>
      <c r="AO338" s="31">
        <f t="shared" si="213"/>
        <v>1.5493423582221106</v>
      </c>
      <c r="AP338" s="58" t="str">
        <f t="shared" si="214"/>
        <v>-0.170001995590664+1.46699551159235i</v>
      </c>
      <c r="AQ338" s="49">
        <f t="shared" si="215"/>
        <v>3.3865098798427695</v>
      </c>
      <c r="AR338" s="61">
        <f t="shared" si="216"/>
        <v>96.610206250010989</v>
      </c>
      <c r="AS338" s="58" t="str">
        <f t="shared" si="217"/>
        <v>-0.0177963574529267-0.15822406278042i</v>
      </c>
      <c r="AT338" s="64">
        <f t="shared" si="218"/>
        <v>-15.959952362825707</v>
      </c>
      <c r="AU338" s="61">
        <f t="shared" si="219"/>
        <v>-96.417410136005003</v>
      </c>
    </row>
    <row r="339" spans="14:47" x14ac:dyDescent="0.35">
      <c r="N339" s="10">
        <v>21</v>
      </c>
      <c r="O339" s="50">
        <f t="shared" si="221"/>
        <v>16218.100973589309</v>
      </c>
      <c r="P339" s="48" t="str">
        <f t="shared" ref="P339:P402" si="222">COMPLEX(Adc,0)</f>
        <v>547.187404092767</v>
      </c>
      <c r="Q339" s="17" t="str">
        <f t="shared" ref="Q339:Q402" si="223">IMSUM(COMPLEX(1,0),IMDIV(COMPLEX(0,2*PI()*O339),COMPLEX(wp_lf,0)))</f>
        <v>1+1954.29751601217i</v>
      </c>
      <c r="R339" s="17">
        <f t="shared" si="197"/>
        <v>1954.2977718585614</v>
      </c>
      <c r="S339" s="17">
        <f t="shared" si="198"/>
        <v>1.570284634023182</v>
      </c>
      <c r="T339" s="17" t="str">
        <f t="shared" ref="T339:T402" si="224">IMSUM(COMPLEX(1,0),IMDIV(COMPLEX(0,2*PI()*O339),COMPLEX(wz_esr,0)))</f>
        <v>1+0.0369790952399339i</v>
      </c>
      <c r="U339" s="17">
        <f t="shared" si="199"/>
        <v>1.0006834931609314</v>
      </c>
      <c r="V339" s="17">
        <f t="shared" si="200"/>
        <v>3.6962253325213773E-2</v>
      </c>
      <c r="W339" s="31" t="str">
        <f t="shared" ref="W339:W402" si="225">IMSUB(COMPLEX(1,0),IMDIV(COMPLEX(0,2*PI()*O339),COMPLEX(wz_rhp,0)))</f>
        <v>1-0.64215115721482i</v>
      </c>
      <c r="X339" s="17">
        <f t="shared" si="201"/>
        <v>1.1884267367878982</v>
      </c>
      <c r="Y339" s="17">
        <f t="shared" si="202"/>
        <v>-0.57083777721622631</v>
      </c>
      <c r="Z339" s="31" t="str">
        <f t="shared" ref="Z339:Z402" si="226">IMSUM(COMPLEX(1,0),IMDIV(COMPLEX(0,2*PI()*O339),COMPLEX(Q*(wsl/2),0)),IMDIV(IMPOWER(COMPLEX(0,2*PI()*O339),2),IMPOWER(COMPLEX(wsl/2,0),2)))</f>
        <v>0.913048992003459+3.07247894728585i</v>
      </c>
      <c r="AA339" s="17">
        <f t="shared" si="203"/>
        <v>3.2052746127770857</v>
      </c>
      <c r="AB339" s="17">
        <f t="shared" si="204"/>
        <v>1.2819377540266372</v>
      </c>
      <c r="AC339" s="66" t="str">
        <f t="shared" si="205"/>
        <v>-0.100794338498838+0.025147891816679i</v>
      </c>
      <c r="AD339" s="64">
        <f t="shared" si="206"/>
        <v>-19.669014784590992</v>
      </c>
      <c r="AE339" s="61">
        <f t="shared" si="207"/>
        <v>165.99088062772967</v>
      </c>
      <c r="AF339" s="31" t="str">
        <f t="shared" ref="AF339:AF402" si="227">COMPLEX(Adc_ea,0)</f>
        <v>-0.000106860158311346</v>
      </c>
      <c r="AG339" s="31" t="str">
        <f t="shared" ref="AG339:AG402" si="228">COMPLEX(0,2*PI()*O339*wp0_ea)</f>
        <v>0.000470784161913964i</v>
      </c>
      <c r="AH339" s="31">
        <f t="shared" si="208"/>
        <v>4.7078416191396398E-4</v>
      </c>
      <c r="AI339" s="31">
        <f t="shared" si="209"/>
        <v>1.5707963267948966</v>
      </c>
      <c r="AJ339" s="31" t="str">
        <f t="shared" ref="AJ339:AJ402" si="229">IMSUM(COMPLEX(1,0),IMDIV(COMPLEX(0,2*PI()*O339),COMPLEX(wp1_ea,0)))</f>
        <v>1+7.43218039385174i</v>
      </c>
      <c r="AK339" s="31">
        <f t="shared" si="210"/>
        <v>7.4991536460292787</v>
      </c>
      <c r="AL339" s="31">
        <f t="shared" si="211"/>
        <v>1.4370495538082857</v>
      </c>
      <c r="AM339" s="31" t="str">
        <f t="shared" ref="AM339:AM402" si="230">IMSUM(COMPLEX(1,0),IMDIV(COMPLEX(0,2*PI()*O339),COMPLEX(wz_ea,0)))</f>
        <v>1+47.6898241938819i</v>
      </c>
      <c r="AN339" s="31">
        <f t="shared" si="212"/>
        <v>47.700307458583147</v>
      </c>
      <c r="AO339" s="31">
        <f t="shared" si="213"/>
        <v>1.5498305654074973</v>
      </c>
      <c r="AP339" s="58" t="str">
        <f t="shared" si="214"/>
        <v>-0.162486700106413+1.43461380004001i</v>
      </c>
      <c r="AQ339" s="49">
        <f t="shared" si="215"/>
        <v>3.1900579194364438</v>
      </c>
      <c r="AR339" s="61">
        <f t="shared" si="216"/>
        <v>96.461875973850823</v>
      </c>
      <c r="AS339" s="58" t="str">
        <f t="shared" si="217"/>
        <v>-0.019699773190036-0.148687146932262i</v>
      </c>
      <c r="AT339" s="64">
        <f t="shared" si="218"/>
        <v>-16.478956865154561</v>
      </c>
      <c r="AU339" s="61">
        <f t="shared" si="219"/>
        <v>-97.547243398419525</v>
      </c>
    </row>
    <row r="340" spans="14:47" x14ac:dyDescent="0.35">
      <c r="N340" s="10">
        <v>22</v>
      </c>
      <c r="O340" s="50">
        <f t="shared" si="221"/>
        <v>16595.869074375616</v>
      </c>
      <c r="P340" s="48" t="str">
        <f t="shared" si="222"/>
        <v>547.187404092767</v>
      </c>
      <c r="Q340" s="17" t="str">
        <f t="shared" si="223"/>
        <v>1+1999.81895296695i</v>
      </c>
      <c r="R340" s="17">
        <f t="shared" ref="R340:R403" si="231">IMABS(Q340)</f>
        <v>1999.8192029895672</v>
      </c>
      <c r="S340" s="17">
        <f t="shared" ref="S340:S403" si="232">IMARGUMENT(Q340)</f>
        <v>1.5702962815707187</v>
      </c>
      <c r="T340" s="17" t="str">
        <f t="shared" si="224"/>
        <v>1+0.0378404490199071i</v>
      </c>
      <c r="U340" s="17">
        <f t="shared" ref="U340:U403" si="233">IMABS(T340)</f>
        <v>1.0007156936822907</v>
      </c>
      <c r="V340" s="17">
        <f t="shared" ref="V340:V403" si="234">IMARGUMENT(T340)</f>
        <v>3.7822403280139041E-2</v>
      </c>
      <c r="W340" s="31" t="str">
        <f t="shared" si="225"/>
        <v>1-0.657108779162904i</v>
      </c>
      <c r="X340" s="17">
        <f t="shared" ref="X340:X403" si="235">IMABS(W340)</f>
        <v>1.1965750906871504</v>
      </c>
      <c r="Y340" s="17">
        <f t="shared" ref="Y340:Y403" si="236">IMARGUMENT(W340)</f>
        <v>-0.58135638324711747</v>
      </c>
      <c r="Z340" s="31" t="str">
        <f t="shared" si="226"/>
        <v>0.908951117245019+3.14404617568777i</v>
      </c>
      <c r="AA340" s="17">
        <f t="shared" ref="AA340:AA403" si="237">IMABS(Z340)</f>
        <v>3.2727997935098108</v>
      </c>
      <c r="AB340" s="17">
        <f t="shared" ref="AB340:AB403" si="238">IMARGUMENT(Z340)</f>
        <v>1.2893671235815105</v>
      </c>
      <c r="AC340" s="66" t="str">
        <f t="shared" ref="AC340:AC403" si="239">(IMDIV(IMPRODUCT(P340,T340,W340),IMPRODUCT(Q340,Z340)))</f>
        <v>-0.0967036814911124+0.0258914989339469i</v>
      </c>
      <c r="AD340" s="64">
        <f t="shared" ref="AD340:AD403" si="240">20*LOG(IMABS(AC340))</f>
        <v>-19.990468266081336</v>
      </c>
      <c r="AE340" s="61">
        <f t="shared" ref="AE340:AE403" si="241">(180/PI())*IMARGUMENT(AC340)</f>
        <v>165.01115298271156</v>
      </c>
      <c r="AF340" s="31" t="str">
        <f t="shared" si="227"/>
        <v>-0.000106860158311346</v>
      </c>
      <c r="AG340" s="31" t="str">
        <f t="shared" si="228"/>
        <v>0.000481750133763327i</v>
      </c>
      <c r="AH340" s="31">
        <f t="shared" ref="AH340:AH403" si="242">IMABS(AG340)</f>
        <v>4.8175013376332699E-4</v>
      </c>
      <c r="AI340" s="31">
        <f t="shared" ref="AI340:AI403" si="243">IMARGUMENT(AG340)</f>
        <v>1.5707963267948966</v>
      </c>
      <c r="AJ340" s="31" t="str">
        <f t="shared" si="229"/>
        <v>1+7.60529811439492i</v>
      </c>
      <c r="AK340" s="31">
        <f t="shared" ref="AK340:AK403" si="244">IMABS(AJ340)</f>
        <v>7.6707600281079653</v>
      </c>
      <c r="AL340" s="31">
        <f t="shared" ref="AL340:AL403" si="245">IMARGUMENT(AJ340)</f>
        <v>1.4400590342997992</v>
      </c>
      <c r="AM340" s="31" t="str">
        <f t="shared" si="230"/>
        <v>1+48.8006629007007i</v>
      </c>
      <c r="AN340" s="31">
        <f t="shared" ref="AN340:AN403" si="246">IMABS(AM340)</f>
        <v>48.810907587831494</v>
      </c>
      <c r="AO340" s="31">
        <f t="shared" ref="AO340:AO403" si="247">IMARGUMENT(AM340)</f>
        <v>1.5503076692994775</v>
      </c>
      <c r="AP340" s="58" t="str">
        <f t="shared" ref="AP340:AP403" si="248">IMPRODUCT(AF340,IMDIV(AM340,IMPRODUCT(AG340,AJ340)))</f>
        <v>-0.155297880751462+1.40290324143466i</v>
      </c>
      <c r="AQ340" s="49">
        <f t="shared" ref="AQ340:AQ403" si="249">20*LOG(IMABS(AP340))</f>
        <v>2.9934491163370724</v>
      </c>
      <c r="AR340" s="61">
        <f t="shared" ref="AR340:AR403" si="250">(180/PI())*IMARGUMENT(AP340)</f>
        <v>96.316781482559861</v>
      </c>
      <c r="AS340" s="58" t="str">
        <f t="shared" ref="AS340:AS403" si="251">IMPRODUCT(AC340,AP340)</f>
        <v>-0.021305390983602-0.139686803136467i</v>
      </c>
      <c r="AT340" s="64">
        <f t="shared" ref="AT340:AT403" si="252">20*LOG(IMABS(AS340))</f>
        <v>-16.997019149744279</v>
      </c>
      <c r="AU340" s="61">
        <f t="shared" ref="AU340:AU403" si="253">(180/PI())*IMARGUMENT(AS340)</f>
        <v>-98.67206553472856</v>
      </c>
    </row>
    <row r="341" spans="14:47" x14ac:dyDescent="0.35">
      <c r="N341" s="10">
        <v>23</v>
      </c>
      <c r="O341" s="50">
        <f t="shared" si="221"/>
        <v>16982.436524617482</v>
      </c>
      <c r="P341" s="48" t="str">
        <f t="shared" si="222"/>
        <v>547.187404092767</v>
      </c>
      <c r="Q341" s="17" t="str">
        <f t="shared" si="223"/>
        <v>1+2046.40072040133i</v>
      </c>
      <c r="R341" s="17">
        <f t="shared" si="231"/>
        <v>2046.4009647327384</v>
      </c>
      <c r="S341" s="17">
        <f t="shared" si="232"/>
        <v>1.5703076639878357</v>
      </c>
      <c r="T341" s="17" t="str">
        <f t="shared" si="224"/>
        <v>1+0.0387218663068283i</v>
      </c>
      <c r="U341" s="17">
        <f t="shared" si="233"/>
        <v>1.0007494106569754</v>
      </c>
      <c r="V341" s="17">
        <f t="shared" si="234"/>
        <v>3.8702530730253509E-2</v>
      </c>
      <c r="W341" s="31" t="str">
        <f t="shared" si="225"/>
        <v>1-0.672414808883565i</v>
      </c>
      <c r="X341" s="17">
        <f t="shared" si="235"/>
        <v>1.2050484119760172</v>
      </c>
      <c r="Y341" s="17">
        <f t="shared" si="236"/>
        <v>-0.59197153619176068</v>
      </c>
      <c r="Z341" s="31" t="str">
        <f t="shared" si="226"/>
        <v>0.904660115599119+3.21728041898842i</v>
      </c>
      <c r="AA341" s="17">
        <f t="shared" si="237"/>
        <v>3.34205075053658</v>
      </c>
      <c r="AB341" s="17">
        <f t="shared" si="238"/>
        <v>1.2966864847183583</v>
      </c>
      <c r="AC341" s="66" t="str">
        <f t="shared" si="239"/>
        <v>-0.0927633051917784+0.0265410141211863i</v>
      </c>
      <c r="AD341" s="64">
        <f t="shared" si="240"/>
        <v>-20.310756860705808</v>
      </c>
      <c r="AE341" s="61">
        <f t="shared" si="241"/>
        <v>164.03335644208792</v>
      </c>
      <c r="AF341" s="31" t="str">
        <f t="shared" si="227"/>
        <v>-0.000106860158311346</v>
      </c>
      <c r="AG341" s="31" t="str">
        <f t="shared" si="228"/>
        <v>0.00049297153591033i</v>
      </c>
      <c r="AH341" s="31">
        <f t="shared" si="242"/>
        <v>4.9297153591033004E-4</v>
      </c>
      <c r="AI341" s="31">
        <f t="shared" si="243"/>
        <v>1.5707963267948966</v>
      </c>
      <c r="AJ341" s="31" t="str">
        <f t="shared" si="229"/>
        <v>1+7.7824482646664i</v>
      </c>
      <c r="AK341" s="31">
        <f t="shared" si="244"/>
        <v>7.8464323735191313</v>
      </c>
      <c r="AL341" s="31">
        <f t="shared" si="245"/>
        <v>1.4430023138947896</v>
      </c>
      <c r="AM341" s="31" t="str">
        <f t="shared" si="230"/>
        <v>1+49.9373763649426i</v>
      </c>
      <c r="AN341" s="31">
        <f t="shared" si="246"/>
        <v>49.947387901810515</v>
      </c>
      <c r="AO341" s="31">
        <f t="shared" si="247"/>
        <v>1.5507739219955334</v>
      </c>
      <c r="AP341" s="58" t="str">
        <f t="shared" si="248"/>
        <v>-0.148421853299352+1.37185279504987i</v>
      </c>
      <c r="AQ341" s="49">
        <f t="shared" si="249"/>
        <v>2.7966902834286884</v>
      </c>
      <c r="AR341" s="61">
        <f t="shared" si="250"/>
        <v>96.174858295510546</v>
      </c>
      <c r="AS341" s="58" t="str">
        <f t="shared" si="251"/>
        <v>-0.0226422627308703-0.131196866009716i</v>
      </c>
      <c r="AT341" s="64">
        <f t="shared" si="252"/>
        <v>-17.51406657727712</v>
      </c>
      <c r="AU341" s="61">
        <f t="shared" si="253"/>
        <v>-99.791785262401504</v>
      </c>
    </row>
    <row r="342" spans="14:47" x14ac:dyDescent="0.35">
      <c r="N342" s="10">
        <v>24</v>
      </c>
      <c r="O342" s="50">
        <f t="shared" si="221"/>
        <v>17378.008287493791</v>
      </c>
      <c r="P342" s="48" t="str">
        <f t="shared" si="222"/>
        <v>547.187404092767</v>
      </c>
      <c r="Q342" s="17" t="str">
        <f t="shared" si="223"/>
        <v>1+2094.06751658495i</v>
      </c>
      <c r="R342" s="17">
        <f t="shared" si="231"/>
        <v>2094.0677553546971</v>
      </c>
      <c r="S342" s="17">
        <f t="shared" si="232"/>
        <v>1.5703187873096291</v>
      </c>
      <c r="T342" s="17" t="str">
        <f t="shared" si="224"/>
        <v>1+0.0396238144398094i</v>
      </c>
      <c r="U342" s="17">
        <f t="shared" si="233"/>
        <v>1.0007847154462144</v>
      </c>
      <c r="V342" s="17">
        <f t="shared" si="234"/>
        <v>3.9603096873523182E-2</v>
      </c>
      <c r="W342" s="31" t="str">
        <f t="shared" si="225"/>
        <v>1-0.688077361836351i</v>
      </c>
      <c r="X342" s="17">
        <f t="shared" si="235"/>
        <v>1.2138576752946257</v>
      </c>
      <c r="Y342" s="17">
        <f t="shared" si="236"/>
        <v>-0.60267929519163765</v>
      </c>
      <c r="Z342" s="31" t="str">
        <f t="shared" si="226"/>
        <v>0.900166885275966+3.29222050695292i</v>
      </c>
      <c r="AA342" s="17">
        <f t="shared" si="237"/>
        <v>3.4130655264364287</v>
      </c>
      <c r="AB342" s="17">
        <f t="shared" si="238"/>
        <v>1.3038973738437454</v>
      </c>
      <c r="AC342" s="66" t="str">
        <f t="shared" si="239"/>
        <v>-0.0889690294733159+0.0271026973270531i</v>
      </c>
      <c r="AD342" s="64">
        <f t="shared" si="240"/>
        <v>-20.629816629370232</v>
      </c>
      <c r="AE342" s="61">
        <f t="shared" si="241"/>
        <v>163.05765484971906</v>
      </c>
      <c r="AF342" s="31" t="str">
        <f t="shared" si="227"/>
        <v>-0.000106860158311346</v>
      </c>
      <c r="AG342" s="31" t="str">
        <f t="shared" si="228"/>
        <v>0.00050445431809092i</v>
      </c>
      <c r="AH342" s="31">
        <f t="shared" si="242"/>
        <v>5.0445431809092002E-4</v>
      </c>
      <c r="AI342" s="31">
        <f t="shared" si="243"/>
        <v>1.5707963267948966</v>
      </c>
      <c r="AJ342" s="31" t="str">
        <f t="shared" si="229"/>
        <v>1+7.9637247720206i</v>
      </c>
      <c r="AK342" s="31">
        <f t="shared" si="244"/>
        <v>8.0262639032425636</v>
      </c>
      <c r="AL342" s="31">
        <f t="shared" si="245"/>
        <v>1.4458807490721413</v>
      </c>
      <c r="AM342" s="31" t="str">
        <f t="shared" si="230"/>
        <v>1+51.1005672871321i</v>
      </c>
      <c r="AN342" s="31">
        <f t="shared" si="246"/>
        <v>51.110350977729702</v>
      </c>
      <c r="AO342" s="31">
        <f t="shared" si="247"/>
        <v>1.5512295698976759</v>
      </c>
      <c r="AP342" s="58" t="str">
        <f t="shared" si="248"/>
        <v>-0.141845463841611+1.34145140615663i</v>
      </c>
      <c r="AQ342" s="49">
        <f t="shared" si="249"/>
        <v>2.5997879480996318</v>
      </c>
      <c r="AR342" s="61">
        <f t="shared" si="250"/>
        <v>96.036042809983016</v>
      </c>
      <c r="AS342" s="58" t="str">
        <f t="shared" si="251"/>
        <v>-0.0237370981868325-0.123192024365085i</v>
      </c>
      <c r="AT342" s="64">
        <f t="shared" si="252"/>
        <v>-18.03002868127059</v>
      </c>
      <c r="AU342" s="61">
        <f t="shared" si="253"/>
        <v>-100.90630234029793</v>
      </c>
    </row>
    <row r="343" spans="14:47" x14ac:dyDescent="0.35">
      <c r="N343" s="10">
        <v>25</v>
      </c>
      <c r="O343" s="50">
        <f t="shared" si="221"/>
        <v>17782.794100389234</v>
      </c>
      <c r="P343" s="48" t="str">
        <f t="shared" si="222"/>
        <v>547.187404092767</v>
      </c>
      <c r="Q343" s="17" t="str">
        <f t="shared" si="223"/>
        <v>1+2142.84461508413i</v>
      </c>
      <c r="R343" s="17">
        <f t="shared" si="231"/>
        <v>2142.8448484188148</v>
      </c>
      <c r="S343" s="17">
        <f t="shared" si="232"/>
        <v>1.5703296574338206</v>
      </c>
      <c r="T343" s="17" t="str">
        <f t="shared" si="224"/>
        <v>1+0.0405467716436897i</v>
      </c>
      <c r="U343" s="17">
        <f t="shared" si="233"/>
        <v>1.0008216827640803</v>
      </c>
      <c r="V343" s="17">
        <f t="shared" si="234"/>
        <v>4.0524573355692241E-2</v>
      </c>
      <c r="W343" s="31" t="str">
        <f t="shared" si="225"/>
        <v>1-0.704104742514163i</v>
      </c>
      <c r="X343" s="17">
        <f t="shared" si="235"/>
        <v>1.2230140998496035</v>
      </c>
      <c r="Y343" s="17">
        <f t="shared" si="236"/>
        <v>-0.61347551595251237</v>
      </c>
      <c r="Z343" s="31" t="str">
        <f t="shared" si="226"/>
        <v>0.895461895531624+3.3689061738079i</v>
      </c>
      <c r="AA343" s="17">
        <f t="shared" si="237"/>
        <v>3.4858830752436427</v>
      </c>
      <c r="AB343" s="17">
        <f t="shared" si="238"/>
        <v>1.3110013987327407</v>
      </c>
      <c r="AC343" s="66" t="str">
        <f t="shared" si="239"/>
        <v>-0.0853166799803853+0.0275824873709447i</v>
      </c>
      <c r="AD343" s="64">
        <f t="shared" si="240"/>
        <v>-20.947585634300729</v>
      </c>
      <c r="AE343" s="61">
        <f t="shared" si="241"/>
        <v>162.08422022284404</v>
      </c>
      <c r="AF343" s="31" t="str">
        <f t="shared" si="227"/>
        <v>-0.000106860158311346</v>
      </c>
      <c r="AG343" s="31" t="str">
        <f t="shared" si="228"/>
        <v>0.000516204568628204i</v>
      </c>
      <c r="AH343" s="31">
        <f t="shared" si="242"/>
        <v>5.1620456862820402E-4</v>
      </c>
      <c r="AI343" s="31">
        <f t="shared" si="243"/>
        <v>1.5707963267948966</v>
      </c>
      <c r="AJ343" s="31" t="str">
        <f t="shared" si="229"/>
        <v>1+8.14922375166129i</v>
      </c>
      <c r="AK343" s="31">
        <f t="shared" si="244"/>
        <v>8.2103500384965642</v>
      </c>
      <c r="AL343" s="31">
        <f t="shared" si="245"/>
        <v>1.4486956751229447</v>
      </c>
      <c r="AM343" s="31" t="str">
        <f t="shared" si="230"/>
        <v>1+52.2908524064931i</v>
      </c>
      <c r="AN343" s="31">
        <f t="shared" si="246"/>
        <v>52.300413434289837</v>
      </c>
      <c r="AO343" s="31">
        <f t="shared" si="247"/>
        <v>1.5516748538392251</v>
      </c>
      <c r="AP343" s="58" t="str">
        <f t="shared" si="248"/>
        <v>-0.1355560720398+1.31168802222347i</v>
      </c>
      <c r="AQ343" s="49">
        <f t="shared" si="249"/>
        <v>2.4027483632981248</v>
      </c>
      <c r="AR343" s="61">
        <f t="shared" si="250"/>
        <v>95.900272318166301</v>
      </c>
      <c r="AS343" s="58" t="str">
        <f t="shared" si="251"/>
        <v>-0.0246144242899806-0.115647840871237i</v>
      </c>
      <c r="AT343" s="64">
        <f t="shared" si="252"/>
        <v>-18.544837271002599</v>
      </c>
      <c r="AU343" s="61">
        <f t="shared" si="253"/>
        <v>-102.01550745898966</v>
      </c>
    </row>
    <row r="344" spans="14:47" x14ac:dyDescent="0.35">
      <c r="N344" s="10">
        <v>26</v>
      </c>
      <c r="O344" s="50">
        <f t="shared" si="221"/>
        <v>18197.008586099837</v>
      </c>
      <c r="P344" s="48" t="str">
        <f t="shared" si="222"/>
        <v>547.187404092767</v>
      </c>
      <c r="Q344" s="17" t="str">
        <f t="shared" si="223"/>
        <v>1+2192.75787816215i</v>
      </c>
      <c r="R344" s="17">
        <f t="shared" si="231"/>
        <v>2192.7581061854894</v>
      </c>
      <c r="S344" s="17">
        <f t="shared" si="232"/>
        <v>1.5703402801238835</v>
      </c>
      <c r="T344" s="17" t="str">
        <f t="shared" si="224"/>
        <v>1+0.0414912272825958i</v>
      </c>
      <c r="U344" s="17">
        <f t="shared" si="233"/>
        <v>1.0008603908345139</v>
      </c>
      <c r="V344" s="17">
        <f t="shared" si="234"/>
        <v>4.1467442492674693E-2</v>
      </c>
      <c r="W344" s="31" t="str">
        <f t="shared" si="225"/>
        <v>1-0.720505448846389i</v>
      </c>
      <c r="X344" s="17">
        <f t="shared" si="235"/>
        <v>1.2325291484655998</v>
      </c>
      <c r="Y344" s="17">
        <f t="shared" si="236"/>
        <v>-0.62435585573827723</v>
      </c>
      <c r="Z344" s="31" t="str">
        <f t="shared" si="226"/>
        <v>0.890535166452036+3.44737807930899i</v>
      </c>
      <c r="AA344" s="17">
        <f t="shared" si="237"/>
        <v>3.560543287812675</v>
      </c>
      <c r="AB344" s="17">
        <f t="shared" si="238"/>
        <v>1.3180002333212681</v>
      </c>
      <c r="AC344" s="66" t="str">
        <f t="shared" si="239"/>
        <v>-0.0818020989737509+0.027986012837779i</v>
      </c>
      <c r="AD344" s="64">
        <f t="shared" si="240"/>
        <v>-21.264004050048449</v>
      </c>
      <c r="AE344" s="61">
        <f t="shared" si="241"/>
        <v>161.11323277689308</v>
      </c>
      <c r="AF344" s="31" t="str">
        <f t="shared" si="227"/>
        <v>-0.000106860158311346</v>
      </c>
      <c r="AG344" s="31" t="str">
        <f t="shared" si="228"/>
        <v>0.000528228517660551i</v>
      </c>
      <c r="AH344" s="31">
        <f t="shared" si="242"/>
        <v>5.2822851766055098E-4</v>
      </c>
      <c r="AI344" s="31">
        <f t="shared" si="243"/>
        <v>1.5707963267948966</v>
      </c>
      <c r="AJ344" s="31" t="str">
        <f t="shared" si="229"/>
        <v>1+8.33904355760288i</v>
      </c>
      <c r="AK344" s="31">
        <f t="shared" si="244"/>
        <v>8.3987884516517077</v>
      </c>
      <c r="AL344" s="31">
        <f t="shared" si="245"/>
        <v>1.451448406023331</v>
      </c>
      <c r="AM344" s="31" t="str">
        <f t="shared" si="230"/>
        <v>1+53.5088628279517i</v>
      </c>
      <c r="AN344" s="31">
        <f t="shared" si="246"/>
        <v>53.518206258623344</v>
      </c>
      <c r="AO344" s="31">
        <f t="shared" si="247"/>
        <v>1.5521100092088966</v>
      </c>
      <c r="AP344" s="58" t="str">
        <f t="shared" si="248"/>
        <v>-0.129541534555753+1.28255160787667i</v>
      </c>
      <c r="AQ344" s="49">
        <f t="shared" si="249"/>
        <v>2.2055775182418498</v>
      </c>
      <c r="AR344" s="61">
        <f t="shared" si="250"/>
        <v>95.767485021553554</v>
      </c>
      <c r="AS344" s="58" t="str">
        <f t="shared" si="251"/>
        <v>-0.0252967363322093-0.108540764615574i</v>
      </c>
      <c r="AT344" s="64">
        <f t="shared" si="252"/>
        <v>-19.058426531806571</v>
      </c>
      <c r="AU344" s="61">
        <f t="shared" si="253"/>
        <v>-103.1192822015533</v>
      </c>
    </row>
    <row r="345" spans="14:47" x14ac:dyDescent="0.35">
      <c r="N345" s="10">
        <v>27</v>
      </c>
      <c r="O345" s="50">
        <f t="shared" si="221"/>
        <v>18620.871366628675</v>
      </c>
      <c r="P345" s="48" t="str">
        <f t="shared" si="222"/>
        <v>547.187404092767</v>
      </c>
      <c r="Q345" s="17" t="str">
        <f t="shared" si="223"/>
        <v>1+2243.83377049174i</v>
      </c>
      <c r="R345" s="17">
        <f t="shared" si="231"/>
        <v>2243.8339933246352</v>
      </c>
      <c r="S345" s="17">
        <f t="shared" si="232"/>
        <v>1.570350661012099</v>
      </c>
      <c r="T345" s="17" t="str">
        <f t="shared" si="224"/>
        <v>1+0.0424576821194082i</v>
      </c>
      <c r="U345" s="17">
        <f t="shared" si="233"/>
        <v>1.0009009215556517</v>
      </c>
      <c r="V345" s="17">
        <f t="shared" si="234"/>
        <v>4.2432197496642135E-2</v>
      </c>
      <c r="W345" s="31" t="str">
        <f t="shared" si="225"/>
        <v>1-0.737288176704609i</v>
      </c>
      <c r="X345" s="17">
        <f t="shared" si="235"/>
        <v>1.2424145264397091</v>
      </c>
      <c r="Y345" s="17">
        <f t="shared" si="236"/>
        <v>-0.63531577935686034</v>
      </c>
      <c r="Z345" s="31" t="str">
        <f t="shared" si="226"/>
        <v>0.885376247784287+3.52767783029918i</v>
      </c>
      <c r="AA345" s="17">
        <f t="shared" si="237"/>
        <v>3.6370870177279109</v>
      </c>
      <c r="AB345" s="17">
        <f t="shared" si="238"/>
        <v>1.324895612709351</v>
      </c>
      <c r="AC345" s="66" t="str">
        <f t="shared" si="239"/>
        <v>-0.0784211552198587+0.0283186031250305i</v>
      </c>
      <c r="AD345" s="64">
        <f t="shared" si="240"/>
        <v>-21.579014270973772</v>
      </c>
      <c r="AE345" s="61">
        <f t="shared" si="241"/>
        <v>160.14488088159302</v>
      </c>
      <c r="AF345" s="31" t="str">
        <f t="shared" si="227"/>
        <v>-0.000106860158311346</v>
      </c>
      <c r="AG345" s="31" t="str">
        <f t="shared" si="228"/>
        <v>0.000540532540444893i</v>
      </c>
      <c r="AH345" s="31">
        <f t="shared" si="242"/>
        <v>5.4053254044489297E-4</v>
      </c>
      <c r="AI345" s="31">
        <f t="shared" si="243"/>
        <v>1.5707963267948966</v>
      </c>
      <c r="AJ345" s="31" t="str">
        <f t="shared" si="229"/>
        <v>1+8.53328483481899i</v>
      </c>
      <c r="AK345" s="31">
        <f t="shared" si="244"/>
        <v>8.5916791183185932</v>
      </c>
      <c r="AL345" s="31">
        <f t="shared" si="245"/>
        <v>1.4541402343469692</v>
      </c>
      <c r="AM345" s="31" t="str">
        <f t="shared" si="230"/>
        <v>1+54.7552443567551i</v>
      </c>
      <c r="AN345" s="31">
        <f t="shared" si="246"/>
        <v>54.764375140851925</v>
      </c>
      <c r="AO345" s="31">
        <f t="shared" si="247"/>
        <v>1.5525352660722405</v>
      </c>
      <c r="AP345" s="58" t="str">
        <f t="shared" si="248"/>
        <v>-0.123790188696341+1.25403115868726i</v>
      </c>
      <c r="AQ345" s="49">
        <f t="shared" si="249"/>
        <v>2.0082811487808678</v>
      </c>
      <c r="AR345" s="61">
        <f t="shared" si="250"/>
        <v>95.63762004291398</v>
      </c>
      <c r="AS345" s="58" t="str">
        <f t="shared" si="251"/>
        <v>-0.0258046410868353-0.101848137370417i</v>
      </c>
      <c r="AT345" s="64">
        <f t="shared" si="252"/>
        <v>-19.570733122192923</v>
      </c>
      <c r="AU345" s="61">
        <f t="shared" si="253"/>
        <v>-104.21749907549304</v>
      </c>
    </row>
    <row r="346" spans="14:47" x14ac:dyDescent="0.35">
      <c r="N346" s="10">
        <v>28</v>
      </c>
      <c r="O346" s="50">
        <f t="shared" si="221"/>
        <v>19054.607179632505</v>
      </c>
      <c r="P346" s="48" t="str">
        <f t="shared" si="222"/>
        <v>547.187404092767</v>
      </c>
      <c r="Q346" s="17" t="str">
        <f t="shared" si="223"/>
        <v>1+2296.09937318712i</v>
      </c>
      <c r="R346" s="17">
        <f t="shared" si="231"/>
        <v>2296.0995909477192</v>
      </c>
      <c r="S346" s="17">
        <f t="shared" si="232"/>
        <v>1.5703608056025427</v>
      </c>
      <c r="T346" s="17" t="str">
        <f t="shared" si="224"/>
        <v>1+0.0434466485812747i</v>
      </c>
      <c r="U346" s="17">
        <f t="shared" si="233"/>
        <v>1.0009433606717939</v>
      </c>
      <c r="V346" s="17">
        <f t="shared" si="234"/>
        <v>4.3419342705792077E-2</v>
      </c>
      <c r="W346" s="31" t="str">
        <f t="shared" si="225"/>
        <v>1-0.754461824513286i</v>
      </c>
      <c r="X346" s="17">
        <f t="shared" si="235"/>
        <v>1.2526821802228674</v>
      </c>
      <c r="Y346" s="17">
        <f t="shared" si="236"/>
        <v>-0.6463505661395319</v>
      </c>
      <c r="Z346" s="31" t="str">
        <f t="shared" si="226"/>
        <v>0.879974196770213+3.60984800276935i</v>
      </c>
      <c r="AA346" s="17">
        <f t="shared" si="237"/>
        <v>3.7155561077824202</v>
      </c>
      <c r="AB346" s="17">
        <f t="shared" si="238"/>
        <v>1.3316893283787621</v>
      </c>
      <c r="AC346" s="66" t="str">
        <f t="shared" si="239"/>
        <v>-0.0751697529621954+0.0285852995741584i</v>
      </c>
      <c r="AD346" s="64">
        <f t="shared" si="240"/>
        <v>-21.892561014632825</v>
      </c>
      <c r="AE346" s="61">
        <f t="shared" si="241"/>
        <v>159.1793609480836</v>
      </c>
      <c r="AF346" s="31" t="str">
        <f t="shared" si="227"/>
        <v>-0.000106860158311346</v>
      </c>
      <c r="AG346" s="31" t="str">
        <f t="shared" si="228"/>
        <v>0.000553123160736973i</v>
      </c>
      <c r="AH346" s="31">
        <f t="shared" si="242"/>
        <v>5.5312316073697298E-4</v>
      </c>
      <c r="AI346" s="31">
        <f t="shared" si="243"/>
        <v>1.5707963267948966</v>
      </c>
      <c r="AJ346" s="31" t="str">
        <f t="shared" si="229"/>
        <v>1+8.73205057260598i</v>
      </c>
      <c r="AK346" s="31">
        <f t="shared" si="244"/>
        <v>8.7891243706383175</v>
      </c>
      <c r="AL346" s="31">
        <f t="shared" si="245"/>
        <v>1.4567724312142754</v>
      </c>
      <c r="AM346" s="31" t="str">
        <f t="shared" si="230"/>
        <v>1+56.0306578408882i</v>
      </c>
      <c r="AN346" s="31">
        <f t="shared" si="246"/>
        <v>56.039580816443355</v>
      </c>
      <c r="AO346" s="31">
        <f t="shared" si="247"/>
        <v>1.5529508492904827</v>
      </c>
      <c r="AP346" s="58" t="str">
        <f t="shared" si="248"/>
        <v>-0.118290836304359+1.2261157138504i</v>
      </c>
      <c r="AQ346" s="49">
        <f t="shared" si="249"/>
        <v>1.8108647474214656</v>
      </c>
      <c r="AR346" s="61">
        <f t="shared" si="250"/>
        <v>95.51061743601143</v>
      </c>
      <c r="AS346" s="58" t="str">
        <f t="shared" si="251"/>
        <v>-0.0261569920503066-0.0955481943058383i</v>
      </c>
      <c r="AT346" s="64">
        <f t="shared" si="252"/>
        <v>-20.081696267211356</v>
      </c>
      <c r="AU346" s="61">
        <f t="shared" si="253"/>
        <v>-105.31002161590497</v>
      </c>
    </row>
    <row r="347" spans="14:47" x14ac:dyDescent="0.35">
      <c r="N347" s="10">
        <v>29</v>
      </c>
      <c r="O347" s="50">
        <f t="shared" si="221"/>
        <v>19498.445997580486</v>
      </c>
      <c r="P347" s="48" t="str">
        <f t="shared" si="222"/>
        <v>547.187404092767</v>
      </c>
      <c r="Q347" s="17" t="str">
        <f t="shared" si="223"/>
        <v>1+2349.58239816259i</v>
      </c>
      <c r="R347" s="17">
        <f t="shared" si="231"/>
        <v>2349.582610966354</v>
      </c>
      <c r="S347" s="17">
        <f t="shared" si="232"/>
        <v>1.5703707192740022</v>
      </c>
      <c r="T347" s="17" t="str">
        <f t="shared" si="224"/>
        <v>1+0.0444586510313027i</v>
      </c>
      <c r="U347" s="17">
        <f t="shared" si="233"/>
        <v>1.0009877979533632</v>
      </c>
      <c r="V347" s="17">
        <f t="shared" si="234"/>
        <v>4.4429393817762196E-2</v>
      </c>
      <c r="W347" s="31" t="str">
        <f t="shared" si="225"/>
        <v>1-0.772035497967793i</v>
      </c>
      <c r="X347" s="17">
        <f t="shared" si="235"/>
        <v>1.263344295955136</v>
      </c>
      <c r="Y347" s="17">
        <f t="shared" si="236"/>
        <v>-0.65745531790620915</v>
      </c>
      <c r="Z347" s="31" t="str">
        <f t="shared" si="226"/>
        <v>0.874317554935352+3.69393216443253i</v>
      </c>
      <c r="AA347" s="17">
        <f t="shared" si="237"/>
        <v>3.7959934170513692</v>
      </c>
      <c r="AB347" s="17">
        <f t="shared" si="238"/>
        <v>1.3383832236271291</v>
      </c>
      <c r="AC347" s="66" t="str">
        <f t="shared" si="239"/>
        <v>-0.072043840013266+0.0287908666250016i</v>
      </c>
      <c r="AD347" s="64">
        <f t="shared" si="240"/>
        <v>-22.204591420467761</v>
      </c>
      <c r="AE347" s="61">
        <f t="shared" si="241"/>
        <v>158.21687724735267</v>
      </c>
      <c r="AF347" s="31" t="str">
        <f t="shared" si="227"/>
        <v>-0.000106860158311346</v>
      </c>
      <c r="AG347" s="31" t="str">
        <f t="shared" si="228"/>
        <v>0.000566007054250325i</v>
      </c>
      <c r="AH347" s="31">
        <f t="shared" si="242"/>
        <v>5.6600705425032503E-4</v>
      </c>
      <c r="AI347" s="31">
        <f t="shared" si="243"/>
        <v>1.5707963267948966</v>
      </c>
      <c r="AJ347" s="31" t="str">
        <f t="shared" si="229"/>
        <v>1+8.93544615918879i</v>
      </c>
      <c r="AK347" s="31">
        <f t="shared" si="244"/>
        <v>8.9912289518041799</v>
      </c>
      <c r="AL347" s="31">
        <f t="shared" si="245"/>
        <v>1.4593462462755349</v>
      </c>
      <c r="AM347" s="31" t="str">
        <f t="shared" si="230"/>
        <v>1+57.3357795214613i</v>
      </c>
      <c r="AN347" s="31">
        <f t="shared" si="246"/>
        <v>57.344499416540565</v>
      </c>
      <c r="AO347" s="31">
        <f t="shared" si="247"/>
        <v>1.5533569786368153</v>
      </c>
      <c r="AP347" s="58" t="str">
        <f t="shared" si="248"/>
        <v>-0.113032727922772+1.19879436781952i</v>
      </c>
      <c r="AQ347" s="49">
        <f t="shared" si="249"/>
        <v>1.6133335730137321</v>
      </c>
      <c r="AR347" s="61">
        <f t="shared" si="250"/>
        <v>95.386418193235357</v>
      </c>
      <c r="AS347" s="58" t="str">
        <f t="shared" si="251"/>
        <v>-0.0263710169879637-0.0896200598378785i</v>
      </c>
      <c r="AT347" s="64">
        <f t="shared" si="252"/>
        <v>-20.591257847454028</v>
      </c>
      <c r="AU347" s="61">
        <f t="shared" si="253"/>
        <v>-106.39670455941194</v>
      </c>
    </row>
    <row r="348" spans="14:47" x14ac:dyDescent="0.35">
      <c r="N348" s="10">
        <v>30</v>
      </c>
      <c r="O348" s="50">
        <f t="shared" si="221"/>
        <v>19952.623149688792</v>
      </c>
      <c r="P348" s="48" t="str">
        <f t="shared" si="222"/>
        <v>547.187404092767</v>
      </c>
      <c r="Q348" s="17" t="str">
        <f t="shared" si="223"/>
        <v>1+2404.311202826i</v>
      </c>
      <c r="R348" s="17">
        <f t="shared" si="231"/>
        <v>2404.3114107857591</v>
      </c>
      <c r="S348" s="17">
        <f t="shared" si="232"/>
        <v>1.5703804072828296</v>
      </c>
      <c r="T348" s="17" t="str">
        <f t="shared" si="224"/>
        <v>1+0.0454942260465876i</v>
      </c>
      <c r="U348" s="17">
        <f t="shared" si="233"/>
        <v>1.0010343273852191</v>
      </c>
      <c r="V348" s="17">
        <f t="shared" si="234"/>
        <v>4.5462878126669298E-2</v>
      </c>
      <c r="W348" s="31" t="str">
        <f t="shared" si="225"/>
        <v>1-0.790018514862427i</v>
      </c>
      <c r="X348" s="17">
        <f t="shared" si="235"/>
        <v>1.2744132978847305</v>
      </c>
      <c r="Y348" s="17">
        <f t="shared" si="236"/>
        <v>-0.66862496790053305</v>
      </c>
      <c r="Z348" s="31" t="str">
        <f t="shared" si="226"/>
        <v>0.868394323783968+3.7799748978243i</v>
      </c>
      <c r="AA348" s="17">
        <f t="shared" si="237"/>
        <v>3.8784428485878246</v>
      </c>
      <c r="AB348" s="17">
        <f t="shared" si="238"/>
        <v>1.344979189219264</v>
      </c>
      <c r="AC348" s="66" t="str">
        <f t="shared" si="239"/>
        <v>-0.0690394150080157+0.0289398029379657i</v>
      </c>
      <c r="AD348" s="64">
        <f t="shared" si="240"/>
        <v>-22.515055143192871</v>
      </c>
      <c r="AE348" s="61">
        <f t="shared" si="241"/>
        <v>157.25764166087251</v>
      </c>
      <c r="AF348" s="31" t="str">
        <f t="shared" si="227"/>
        <v>-0.000106860158311346</v>
      </c>
      <c r="AG348" s="31" t="str">
        <f t="shared" si="228"/>
        <v>0.000579191052195829i</v>
      </c>
      <c r="AH348" s="31">
        <f t="shared" si="242"/>
        <v>5.7919105219582899E-4</v>
      </c>
      <c r="AI348" s="31">
        <f t="shared" si="243"/>
        <v>1.5707963267948966</v>
      </c>
      <c r="AJ348" s="31" t="str">
        <f t="shared" si="229"/>
        <v>1+9.14357943759989i</v>
      </c>
      <c r="AK348" s="31">
        <f t="shared" si="244"/>
        <v>9.1981000718463317</v>
      </c>
      <c r="AL348" s="31">
        <f t="shared" si="245"/>
        <v>1.4618629077253262</v>
      </c>
      <c r="AM348" s="31" t="str">
        <f t="shared" si="230"/>
        <v>1+58.6713013912658i</v>
      </c>
      <c r="AN348" s="31">
        <f t="shared" si="246"/>
        <v>58.679822826460097</v>
      </c>
      <c r="AO348" s="31">
        <f t="shared" si="247"/>
        <v>1.5537538689101873</v>
      </c>
      <c r="AP348" s="58" t="str">
        <f t="shared" si="248"/>
        <v>-0.108005547255449+1.17205628095583i</v>
      </c>
      <c r="AQ348" s="49">
        <f t="shared" si="249"/>
        <v>1.4156926601103279</v>
      </c>
      <c r="AR348" s="61">
        <f t="shared" si="250"/>
        <v>95.264964251293023</v>
      </c>
      <c r="AS348" s="58" t="str">
        <f t="shared" si="251"/>
        <v>-0.0264624380029299-0.0840437392474408i</v>
      </c>
      <c r="AT348" s="64">
        <f t="shared" si="252"/>
        <v>-21.099362483082547</v>
      </c>
      <c r="AU348" s="61">
        <f t="shared" si="253"/>
        <v>-107.4773940878345</v>
      </c>
    </row>
    <row r="349" spans="14:47" x14ac:dyDescent="0.35">
      <c r="N349" s="10">
        <v>31</v>
      </c>
      <c r="O349" s="50">
        <f t="shared" si="221"/>
        <v>20417.379446695286</v>
      </c>
      <c r="P349" s="48" t="str">
        <f t="shared" si="222"/>
        <v>547.187404092767</v>
      </c>
      <c r="Q349" s="17" t="str">
        <f t="shared" si="223"/>
        <v>1+2460.31480511394i</v>
      </c>
      <c r="R349" s="17">
        <f t="shared" si="231"/>
        <v>2460.3150083399578</v>
      </c>
      <c r="S349" s="17">
        <f t="shared" si="232"/>
        <v>1.5703898747657279</v>
      </c>
      <c r="T349" s="17" t="str">
        <f t="shared" si="224"/>
        <v>1+0.0465539227027095i</v>
      </c>
      <c r="U349" s="17">
        <f t="shared" si="233"/>
        <v>1.0010830473637089</v>
      </c>
      <c r="V349" s="17">
        <f t="shared" si="234"/>
        <v>4.6520334763714623E-2</v>
      </c>
      <c r="W349" s="31" t="str">
        <f t="shared" si="225"/>
        <v>1-0.808420410030767i</v>
      </c>
      <c r="X349" s="17">
        <f t="shared" si="235"/>
        <v>1.2859018467030496</v>
      </c>
      <c r="Y349" s="17">
        <f t="shared" si="236"/>
        <v>-0.67985429066903635</v>
      </c>
      <c r="Z349" s="31" t="str">
        <f t="shared" si="226"/>
        <v>0.86219193934865+3.86802182394075i</v>
      </c>
      <c r="AA349" s="17">
        <f t="shared" si="237"/>
        <v>3.962949377769001</v>
      </c>
      <c r="AB349" s="17">
        <f t="shared" si="238"/>
        <v>1.3514791592552042</v>
      </c>
      <c r="AC349" s="66" t="str">
        <f t="shared" si="239"/>
        <v>-0.0661525338610166+0.0290363524348163i</v>
      </c>
      <c r="AD349" s="64">
        <f t="shared" si="240"/>
        <v>-22.823904440256342</v>
      </c>
      <c r="AE349" s="61">
        <f t="shared" si="241"/>
        <v>156.30187336493429</v>
      </c>
      <c r="AF349" s="31" t="str">
        <f t="shared" si="227"/>
        <v>-0.000106860158311346</v>
      </c>
      <c r="AG349" s="31" t="str">
        <f t="shared" si="228"/>
        <v>0.000592682144903709i</v>
      </c>
      <c r="AH349" s="31">
        <f t="shared" si="242"/>
        <v>5.9268214490370901E-4</v>
      </c>
      <c r="AI349" s="31">
        <f t="shared" si="243"/>
        <v>1.5707963267948966</v>
      </c>
      <c r="AJ349" s="31" t="str">
        <f t="shared" si="229"/>
        <v>1+9.35656076285833i</v>
      </c>
      <c r="AK349" s="31">
        <f t="shared" si="244"/>
        <v>9.4098474647073882</v>
      </c>
      <c r="AL349" s="31">
        <f t="shared" si="245"/>
        <v>1.4643236223457337</v>
      </c>
      <c r="AM349" s="31" t="str">
        <f t="shared" si="230"/>
        <v>1+60.0379315616742i</v>
      </c>
      <c r="AN349" s="31">
        <f t="shared" si="246"/>
        <v>60.046259052536115</v>
      </c>
      <c r="AO349" s="31">
        <f t="shared" si="247"/>
        <v>1.5541417300466371</v>
      </c>
      <c r="AP349" s="58" t="str">
        <f t="shared" si="248"/>
        <v>-0.103199395944023+1.14589068925082i</v>
      </c>
      <c r="AQ349" s="49">
        <f t="shared" si="249"/>
        <v>1.2179468280007173</v>
      </c>
      <c r="AR349" s="61">
        <f t="shared" si="250"/>
        <v>95.146198495113239</v>
      </c>
      <c r="AS349" s="58" t="str">
        <f t="shared" si="251"/>
        <v>-0.0264455843702379-0.0788001066533793i</v>
      </c>
      <c r="AT349" s="64">
        <f t="shared" si="252"/>
        <v>-21.605957612255629</v>
      </c>
      <c r="AU349" s="61">
        <f t="shared" si="253"/>
        <v>-108.55192813995245</v>
      </c>
    </row>
    <row r="350" spans="14:47" x14ac:dyDescent="0.35">
      <c r="N350" s="10">
        <v>32</v>
      </c>
      <c r="O350" s="50">
        <f t="shared" si="221"/>
        <v>20892.961308540423</v>
      </c>
      <c r="P350" s="48" t="str">
        <f t="shared" si="222"/>
        <v>547.187404092767</v>
      </c>
      <c r="Q350" s="17" t="str">
        <f t="shared" si="223"/>
        <v>1+2517.6228988777i</v>
      </c>
      <c r="R350" s="17">
        <f t="shared" si="231"/>
        <v>2517.6230974777291</v>
      </c>
      <c r="S350" s="17">
        <f t="shared" si="232"/>
        <v>1.5703991267424755</v>
      </c>
      <c r="T350" s="17" t="str">
        <f t="shared" si="224"/>
        <v>1+0.0476383028648628i</v>
      </c>
      <c r="U350" s="17">
        <f t="shared" si="233"/>
        <v>1.0011340609028565</v>
      </c>
      <c r="V350" s="17">
        <f t="shared" si="234"/>
        <v>4.7602314941316018E-2</v>
      </c>
      <c r="W350" s="31" t="str">
        <f t="shared" si="225"/>
        <v>1-0.827250940401223i</v>
      </c>
      <c r="X350" s="17">
        <f t="shared" si="235"/>
        <v>1.2978228378306138</v>
      </c>
      <c r="Y350" s="17">
        <f t="shared" si="236"/>
        <v>-0.69113791284969184</v>
      </c>
      <c r="Z350" s="31" t="str">
        <f t="shared" si="226"/>
        <v>0.85569724554044+3.95811962642761i</v>
      </c>
      <c r="AA350" s="17">
        <f t="shared" si="237"/>
        <v>4.0495590813244027</v>
      </c>
      <c r="AB350" s="17">
        <f t="shared" si="238"/>
        <v>1.3578851072535383</v>
      </c>
      <c r="AC350" s="66" t="str">
        <f t="shared" si="239"/>
        <v>-0.0633793154705266+0.0290845152145936i</v>
      </c>
      <c r="AD350" s="64">
        <f t="shared" si="240"/>
        <v>-23.131094252771234</v>
      </c>
      <c r="AE350" s="61">
        <f t="shared" si="241"/>
        <v>155.34979845075134</v>
      </c>
      <c r="AF350" s="31" t="str">
        <f t="shared" si="227"/>
        <v>-0.000106860158311346</v>
      </c>
      <c r="AG350" s="31" t="str">
        <f t="shared" si="228"/>
        <v>0.000606487485529893i</v>
      </c>
      <c r="AH350" s="31">
        <f t="shared" si="242"/>
        <v>6.0648748552989305E-4</v>
      </c>
      <c r="AI350" s="31">
        <f t="shared" si="243"/>
        <v>1.5707963267948966</v>
      </c>
      <c r="AJ350" s="31" t="str">
        <f t="shared" si="229"/>
        <v>1+9.57450306048205i</v>
      </c>
      <c r="AK350" s="31">
        <f t="shared" si="244"/>
        <v>9.6265834466429538</v>
      </c>
      <c r="AL350" s="31">
        <f t="shared" si="245"/>
        <v>1.4667295755760452</v>
      </c>
      <c r="AM350" s="31" t="str">
        <f t="shared" si="230"/>
        <v>1+61.436394638093i</v>
      </c>
      <c r="AN350" s="31">
        <f t="shared" si="246"/>
        <v>61.444532597518418</v>
      </c>
      <c r="AO350" s="31">
        <f t="shared" si="247"/>
        <v>1.5545207672282182</v>
      </c>
      <c r="AP350" s="58" t="str">
        <f t="shared" si="248"/>
        <v>-0.0986047786770305+1.12028691317749i</v>
      </c>
      <c r="AQ350" s="49">
        <f t="shared" si="249"/>
        <v>1.020100689429198</v>
      </c>
      <c r="AR350" s="61">
        <f t="shared" si="250"/>
        <v>95.030064760093694</v>
      </c>
      <c r="AS350" s="58" t="str">
        <f t="shared" si="251"/>
        <v>-0.0263334983963478-0.0738708898734423i</v>
      </c>
      <c r="AT350" s="64">
        <f t="shared" si="252"/>
        <v>-22.110993563342038</v>
      </c>
      <c r="AU350" s="61">
        <f t="shared" si="253"/>
        <v>-109.62013678915493</v>
      </c>
    </row>
    <row r="351" spans="14:47" x14ac:dyDescent="0.35">
      <c r="N351" s="10">
        <v>33</v>
      </c>
      <c r="O351" s="50">
        <f t="shared" si="221"/>
        <v>21379.620895022348</v>
      </c>
      <c r="P351" s="48" t="str">
        <f t="shared" si="222"/>
        <v>547.187404092767</v>
      </c>
      <c r="Q351" s="17" t="str">
        <f t="shared" si="223"/>
        <v>1+2576.2658696271i</v>
      </c>
      <c r="R351" s="17">
        <f t="shared" si="231"/>
        <v>2576.2660637064409</v>
      </c>
      <c r="S351" s="17">
        <f t="shared" si="232"/>
        <v>1.5704081681185864</v>
      </c>
      <c r="T351" s="17" t="str">
        <f t="shared" si="224"/>
        <v>1+0.0487479414857622i</v>
      </c>
      <c r="U351" s="17">
        <f t="shared" si="233"/>
        <v>1.0011874758501023</v>
      </c>
      <c r="V351" s="17">
        <f t="shared" si="234"/>
        <v>4.870938220069241E-2</v>
      </c>
      <c r="W351" s="31" t="str">
        <f t="shared" si="225"/>
        <v>1-0.846520090170233i</v>
      </c>
      <c r="X351" s="17">
        <f t="shared" si="235"/>
        <v>1.3101893996906782</v>
      </c>
      <c r="Y351" s="17">
        <f t="shared" si="236"/>
        <v>-0.70247032482557348</v>
      </c>
      <c r="Z351" s="31" t="str">
        <f t="shared" si="226"/>
        <v>0.848896466243016+4.05031607633228i</v>
      </c>
      <c r="AA351" s="17">
        <f t="shared" si="237"/>
        <v>4.1383191670768458</v>
      </c>
      <c r="AB351" s="17">
        <f t="shared" si="238"/>
        <v>1.3641990424474957</v>
      </c>
      <c r="AC351" s="66" t="str">
        <f t="shared" si="239"/>
        <v>-0.0607159467130211+0.029088058306569i</v>
      </c>
      <c r="AD351" s="64">
        <f t="shared" si="240"/>
        <v>-23.436582279312187</v>
      </c>
      <c r="AE351" s="61">
        <f t="shared" si="241"/>
        <v>154.40164948300406</v>
      </c>
      <c r="AF351" s="31" t="str">
        <f t="shared" si="227"/>
        <v>-0.000106860158311346</v>
      </c>
      <c r="AG351" s="31" t="str">
        <f t="shared" si="228"/>
        <v>0.000620614393848714i</v>
      </c>
      <c r="AH351" s="31">
        <f t="shared" si="242"/>
        <v>6.2061439384871397E-4</v>
      </c>
      <c r="AI351" s="31">
        <f t="shared" si="243"/>
        <v>1.5707963267948966</v>
      </c>
      <c r="AJ351" s="31" t="str">
        <f t="shared" si="229"/>
        <v>1+9.79752188636189i</v>
      </c>
      <c r="AK351" s="31">
        <f t="shared" si="244"/>
        <v>9.8484229759764208</v>
      </c>
      <c r="AL351" s="31">
        <f t="shared" si="245"/>
        <v>1.4690819316067085</v>
      </c>
      <c r="AM351" s="31" t="str">
        <f t="shared" si="230"/>
        <v>1+62.8674321041553i</v>
      </c>
      <c r="AN351" s="31">
        <f t="shared" si="246"/>
        <v>62.875384844711498</v>
      </c>
      <c r="AO351" s="31">
        <f t="shared" si="247"/>
        <v>1.5548911809895634</v>
      </c>
      <c r="AP351" s="58" t="str">
        <f t="shared" si="248"/>
        <v>-0.0942125886445979+1.09523436572317i</v>
      </c>
      <c r="AQ351" s="49">
        <f t="shared" si="249"/>
        <v>0.82215865900242302</v>
      </c>
      <c r="AR351" s="61">
        <f t="shared" si="250"/>
        <v>94.9165078328231</v>
      </c>
      <c r="AS351" s="58" t="str">
        <f t="shared" si="251"/>
        <v>-0.0261380345776725-0.0692386526592243i</v>
      </c>
      <c r="AT351" s="64">
        <f t="shared" si="252"/>
        <v>-22.614423620309768</v>
      </c>
      <c r="AU351" s="61">
        <f t="shared" si="253"/>
        <v>-110.68184268417284</v>
      </c>
    </row>
    <row r="352" spans="14:47" x14ac:dyDescent="0.35">
      <c r="N352" s="10">
        <v>34</v>
      </c>
      <c r="O352" s="50">
        <f t="shared" si="221"/>
        <v>21877.61623949555</v>
      </c>
      <c r="P352" s="48" t="str">
        <f t="shared" si="222"/>
        <v>547.187404092767</v>
      </c>
      <c r="Q352" s="17" t="str">
        <f t="shared" si="223"/>
        <v>1+2636.2748106415i</v>
      </c>
      <c r="R352" s="17">
        <f t="shared" si="231"/>
        <v>2636.2750003030555</v>
      </c>
      <c r="S352" s="17">
        <f t="shared" si="232"/>
        <v>1.5704170036879119</v>
      </c>
      <c r="T352" s="17" t="str">
        <f t="shared" si="224"/>
        <v>1+0.0498834269104927i</v>
      </c>
      <c r="U352" s="17">
        <f t="shared" si="233"/>
        <v>1.0012434051120309</v>
      </c>
      <c r="V352" s="17">
        <f t="shared" si="234"/>
        <v>4.9842112662834878E-2</v>
      </c>
      <c r="W352" s="31" t="str">
        <f t="shared" si="225"/>
        <v>1-0.866238076096072i</v>
      </c>
      <c r="X352" s="17">
        <f t="shared" si="235"/>
        <v>1.3230148920093925</v>
      </c>
      <c r="Y352" s="17">
        <f t="shared" si="236"/>
        <v>-0.71384589319055902</v>
      </c>
      <c r="Z352" s="31" t="str">
        <f t="shared" si="226"/>
        <v>0.841775176091689+4.14466005743291i</v>
      </c>
      <c r="AA352" s="17">
        <f t="shared" si="237"/>
        <v>4.2292780044310128</v>
      </c>
      <c r="AB352" s="17">
        <f t="shared" si="238"/>
        <v>1.3704230062906182</v>
      </c>
      <c r="AC352" s="66" t="str">
        <f t="shared" si="239"/>
        <v>-0.0581586867716849+0.029050526227223i</v>
      </c>
      <c r="AD352" s="64">
        <f t="shared" si="240"/>
        <v>-23.740329042007723</v>
      </c>
      <c r="AE352" s="61">
        <f t="shared" si="241"/>
        <v>153.45766500004979</v>
      </c>
      <c r="AF352" s="31" t="str">
        <f t="shared" si="227"/>
        <v>-0.000106860158311346</v>
      </c>
      <c r="AG352" s="31" t="str">
        <f t="shared" si="228"/>
        <v>0.000635070360133957i</v>
      </c>
      <c r="AH352" s="31">
        <f t="shared" si="242"/>
        <v>6.35070360133957E-4</v>
      </c>
      <c r="AI352" s="31">
        <f t="shared" si="243"/>
        <v>1.5707963267948966</v>
      </c>
      <c r="AJ352" s="31" t="str">
        <f t="shared" si="229"/>
        <v>1+10.0257354880314i</v>
      </c>
      <c r="AK352" s="31">
        <f t="shared" si="244"/>
        <v>10.075483714242814</v>
      </c>
      <c r="AL352" s="31">
        <f t="shared" si="245"/>
        <v>1.4713818334955056</v>
      </c>
      <c r="AM352" s="31" t="str">
        <f t="shared" si="230"/>
        <v>1+64.3318027148683i</v>
      </c>
      <c r="AN352" s="31">
        <f t="shared" si="246"/>
        <v>64.339574451069666</v>
      </c>
      <c r="AO352" s="31">
        <f t="shared" si="247"/>
        <v>1.5552531673221341</v>
      </c>
      <c r="AP352" s="58" t="str">
        <f t="shared" si="248"/>
        <v>-0.090014093349148+1.07072255965448i</v>
      </c>
      <c r="AQ352" s="49">
        <f t="shared" si="249"/>
        <v>0.62412496129267114</v>
      </c>
      <c r="AR352" s="61">
        <f t="shared" si="250"/>
        <v>94.805473450398679</v>
      </c>
      <c r="AS352" s="58" t="str">
        <f t="shared" si="251"/>
        <v>-0.0258699523411915-0.0648867747459807i</v>
      </c>
      <c r="AT352" s="64">
        <f t="shared" si="252"/>
        <v>-23.116204080715058</v>
      </c>
      <c r="AU352" s="61">
        <f t="shared" si="253"/>
        <v>-111.73686154955153</v>
      </c>
    </row>
    <row r="353" spans="14:47" x14ac:dyDescent="0.35">
      <c r="N353" s="10">
        <v>35</v>
      </c>
      <c r="O353" s="50">
        <f t="shared" si="221"/>
        <v>22387.211385683382</v>
      </c>
      <c r="P353" s="48" t="str">
        <f t="shared" si="222"/>
        <v>547.187404092767</v>
      </c>
      <c r="Q353" s="17" t="str">
        <f t="shared" si="223"/>
        <v>1+2697.68153945571i</v>
      </c>
      <c r="R353" s="17">
        <f t="shared" si="231"/>
        <v>2697.6817248000425</v>
      </c>
      <c r="S353" s="17">
        <f t="shared" si="232"/>
        <v>1.5704256381351824</v>
      </c>
      <c r="T353" s="17" t="str">
        <f t="shared" si="224"/>
        <v>1+0.0510453611884562i</v>
      </c>
      <c r="U353" s="17">
        <f t="shared" si="233"/>
        <v>1.0013019668905379</v>
      </c>
      <c r="V353" s="17">
        <f t="shared" si="234"/>
        <v>5.1001095282767576E-2</v>
      </c>
      <c r="W353" s="31" t="str">
        <f t="shared" si="225"/>
        <v>1-0.886415352915869i</v>
      </c>
      <c r="X353" s="17">
        <f t="shared" si="235"/>
        <v>1.3363129041826112</v>
      </c>
      <c r="Y353" s="17">
        <f t="shared" si="236"/>
        <v>-0.72525887396499256</v>
      </c>
      <c r="Z353" s="31" t="str">
        <f t="shared" si="226"/>
        <v>0.834318269875282+4.24120159215702i</v>
      </c>
      <c r="AA353" s="17">
        <f t="shared" si="237"/>
        <v>4.3224851556440216</v>
      </c>
      <c r="AB353" s="17">
        <f t="shared" si="238"/>
        <v>1.376559069167989</v>
      </c>
      <c r="AC353" s="66" t="str">
        <f t="shared" si="239"/>
        <v>-0.055703870842036+0.0289752513129715i</v>
      </c>
      <c r="AD353" s="64">
        <f t="shared" si="240"/>
        <v>-24.042297944382</v>
      </c>
      <c r="AE353" s="61">
        <f t="shared" si="241"/>
        <v>152.51808895957458</v>
      </c>
      <c r="AF353" s="31" t="str">
        <f t="shared" si="227"/>
        <v>-0.000106860158311346</v>
      </c>
      <c r="AG353" s="31" t="str">
        <f t="shared" si="228"/>
        <v>0.000649863049130292i</v>
      </c>
      <c r="AH353" s="31">
        <f t="shared" si="242"/>
        <v>6.4986304913029205E-4</v>
      </c>
      <c r="AI353" s="31">
        <f t="shared" si="243"/>
        <v>1.5707963267948966</v>
      </c>
      <c r="AJ353" s="31" t="str">
        <f t="shared" si="229"/>
        <v>1+10.259264867363i</v>
      </c>
      <c r="AK353" s="31">
        <f t="shared" si="244"/>
        <v>10.307886088753055</v>
      </c>
      <c r="AL353" s="31">
        <f t="shared" si="245"/>
        <v>1.4736304033039804</v>
      </c>
      <c r="AM353" s="31" t="str">
        <f t="shared" si="230"/>
        <v>1+65.8302828989124i</v>
      </c>
      <c r="AN353" s="31">
        <f t="shared" si="246"/>
        <v>65.8378777494448</v>
      </c>
      <c r="AO353" s="31">
        <f t="shared" si="247"/>
        <v>1.5556069177761971</v>
      </c>
      <c r="AP353" s="58" t="str">
        <f t="shared" si="248"/>
        <v>-0.0860009207801855+1.04674111406317i</v>
      </c>
      <c r="AQ353" s="49">
        <f t="shared" si="249"/>
        <v>0.42600363864792717</v>
      </c>
      <c r="AR353" s="61">
        <f t="shared" si="250"/>
        <v>94.696908298451135</v>
      </c>
      <c r="AS353" s="58" t="str">
        <f t="shared" si="251"/>
        <v>-0.0255390026561645-0.0607994301155765i</v>
      </c>
      <c r="AT353" s="64">
        <f t="shared" si="252"/>
        <v>-23.616294305734073</v>
      </c>
      <c r="AU353" s="61">
        <f t="shared" si="253"/>
        <v>-112.78500274197427</v>
      </c>
    </row>
    <row r="354" spans="14:47" x14ac:dyDescent="0.35">
      <c r="N354" s="10">
        <v>36</v>
      </c>
      <c r="O354" s="50">
        <f t="shared" si="221"/>
        <v>22908.676527677751</v>
      </c>
      <c r="P354" s="48" t="str">
        <f t="shared" si="222"/>
        <v>547.187404092767</v>
      </c>
      <c r="Q354" s="17" t="str">
        <f t="shared" si="223"/>
        <v>1+2760.5186147302i</v>
      </c>
      <c r="R354" s="17">
        <f t="shared" si="231"/>
        <v>2760.5187958555803</v>
      </c>
      <c r="S354" s="17">
        <f t="shared" si="232"/>
        <v>1.5704340760384909</v>
      </c>
      <c r="T354" s="17" t="str">
        <f t="shared" si="224"/>
        <v>1+0.0522343603925875i</v>
      </c>
      <c r="U354" s="17">
        <f t="shared" si="233"/>
        <v>1.0013632849299114</v>
      </c>
      <c r="V354" s="17">
        <f t="shared" si="234"/>
        <v>5.2186932107004667E-2</v>
      </c>
      <c r="W354" s="31" t="str">
        <f t="shared" si="225"/>
        <v>1-0.907062618888886i</v>
      </c>
      <c r="X354" s="17">
        <f t="shared" si="235"/>
        <v>1.3500972537508416</v>
      </c>
      <c r="Y354" s="17">
        <f t="shared" si="236"/>
        <v>-0.73670342649119591</v>
      </c>
      <c r="Z354" s="31" t="str">
        <f t="shared" si="226"/>
        <v>0.826509930495941+4.33999186810428i</v>
      </c>
      <c r="AA354" s="17">
        <f t="shared" si="237"/>
        <v>4.4179914079160101</v>
      </c>
      <c r="AB354" s="17">
        <f t="shared" si="238"/>
        <v>1.3826093273085087</v>
      </c>
      <c r="AC354" s="66" t="str">
        <f t="shared" si="239"/>
        <v>-0.0533479132571058+0.0288653638047541i</v>
      </c>
      <c r="AD354" s="64">
        <f t="shared" si="240"/>
        <v>-24.342455320447712</v>
      </c>
      <c r="AE354" s="61">
        <f t="shared" si="241"/>
        <v>151.58317013396345</v>
      </c>
      <c r="AF354" s="31" t="str">
        <f t="shared" si="227"/>
        <v>-0.000106860158311346</v>
      </c>
      <c r="AG354" s="31" t="str">
        <f t="shared" si="228"/>
        <v>0.000665000304117232i</v>
      </c>
      <c r="AH354" s="31">
        <f t="shared" si="242"/>
        <v>6.6500030411723195E-4</v>
      </c>
      <c r="AI354" s="31">
        <f t="shared" si="243"/>
        <v>1.5707963267948966</v>
      </c>
      <c r="AJ354" s="31" t="str">
        <f t="shared" si="229"/>
        <v>1+10.4982338447248i</v>
      </c>
      <c r="AK354" s="31">
        <f t="shared" si="244"/>
        <v>10.545753356613515</v>
      </c>
      <c r="AL354" s="31">
        <f t="shared" si="245"/>
        <v>1.4758287422523164</v>
      </c>
      <c r="AM354" s="31" t="str">
        <f t="shared" si="230"/>
        <v>1+67.3636671703171i</v>
      </c>
      <c r="AN354" s="31">
        <f t="shared" si="246"/>
        <v>67.371089160212165</v>
      </c>
      <c r="AO354" s="31">
        <f t="shared" si="247"/>
        <v>1.5559526195605773</v>
      </c>
      <c r="AP354" s="58" t="str">
        <f t="shared" si="248"/>
        <v>-0.0821650459590001+1.02327976023815i</v>
      </c>
      <c r="AQ354" s="49">
        <f t="shared" si="249"/>
        <v>0.22779855871126159</v>
      </c>
      <c r="AR354" s="61">
        <f t="shared" si="250"/>
        <v>94.590760007987356</v>
      </c>
      <c r="AS354" s="58" t="str">
        <f t="shared" si="251"/>
        <v>-0.0251540088087289-0.0569615638305777i</v>
      </c>
      <c r="AT354" s="64">
        <f t="shared" si="252"/>
        <v>-24.114656761736455</v>
      </c>
      <c r="AU354" s="61">
        <f t="shared" si="253"/>
        <v>-113.82606985804922</v>
      </c>
    </row>
    <row r="355" spans="14:47" x14ac:dyDescent="0.35">
      <c r="N355" s="10">
        <v>37</v>
      </c>
      <c r="O355" s="50">
        <f t="shared" si="221"/>
        <v>23442.288153199243</v>
      </c>
      <c r="P355" s="48" t="str">
        <f t="shared" si="222"/>
        <v>547.187404092767</v>
      </c>
      <c r="Q355" s="17" t="str">
        <f t="shared" si="223"/>
        <v>1+2824.81935351399i</v>
      </c>
      <c r="R355" s="17">
        <f t="shared" si="231"/>
        <v>2824.8195305164531</v>
      </c>
      <c r="S355" s="17">
        <f t="shared" si="232"/>
        <v>1.5704423218717205</v>
      </c>
      <c r="T355" s="17" t="str">
        <f t="shared" si="224"/>
        <v>1+0.0534510549460022i</v>
      </c>
      <c r="U355" s="17">
        <f t="shared" si="233"/>
        <v>1.0014274887753185</v>
      </c>
      <c r="V355" s="17">
        <f t="shared" si="234"/>
        <v>5.3400238534080879E-2</v>
      </c>
      <c r="W355" s="31" t="str">
        <f t="shared" si="225"/>
        <v>1-0.928190821468827i</v>
      </c>
      <c r="X355" s="17">
        <f t="shared" si="235"/>
        <v>1.3643819850243466</v>
      </c>
      <c r="Y355" s="17">
        <f t="shared" si="236"/>
        <v>-0.74817362793086983</v>
      </c>
      <c r="Z355" s="31" t="str">
        <f t="shared" si="226"/>
        <v>0.818333595418965+4.44108326518658i</v>
      </c>
      <c r="AA355" s="17">
        <f t="shared" si="237"/>
        <v>4.5158488063388065</v>
      </c>
      <c r="AB355" s="17">
        <f t="shared" si="238"/>
        <v>1.3885758998930888</v>
      </c>
      <c r="AC355" s="66" t="str">
        <f t="shared" si="239"/>
        <v>-0.051087310073666+0.0287238016646629i</v>
      </c>
      <c r="AD355" s="64">
        <f t="shared" si="240"/>
        <v>-24.640770474599055</v>
      </c>
      <c r="AE355" s="61">
        <f t="shared" si="241"/>
        <v>150.65316146013532</v>
      </c>
      <c r="AF355" s="31" t="str">
        <f t="shared" si="227"/>
        <v>-0.000106860158311346</v>
      </c>
      <c r="AG355" s="31" t="str">
        <f t="shared" si="228"/>
        <v>0.000680490151067734i</v>
      </c>
      <c r="AH355" s="31">
        <f t="shared" si="242"/>
        <v>6.8049015106773402E-4</v>
      </c>
      <c r="AI355" s="31">
        <f t="shared" si="243"/>
        <v>1.5707963267948966</v>
      </c>
      <c r="AJ355" s="31" t="str">
        <f t="shared" si="229"/>
        <v>1+10.7427691246315i</v>
      </c>
      <c r="AK355" s="31">
        <f t="shared" si="244"/>
        <v>10.789211670235035</v>
      </c>
      <c r="AL355" s="31">
        <f t="shared" si="245"/>
        <v>1.4779779308909509</v>
      </c>
      <c r="AM355" s="31" t="str">
        <f t="shared" si="230"/>
        <v>1+68.9327685497186i</v>
      </c>
      <c r="AN355" s="31">
        <f t="shared" si="246"/>
        <v>68.940021612479029</v>
      </c>
      <c r="AO355" s="31">
        <f t="shared" si="247"/>
        <v>1.5562904556402291</v>
      </c>
      <c r="AP355" s="58" t="str">
        <f t="shared" si="248"/>
        <v>-0.0784987778571306+1.0003283469079i</v>
      </c>
      <c r="AQ355" s="49">
        <f t="shared" si="249"/>
        <v>2.9513421661049366E-2</v>
      </c>
      <c r="AR355" s="61">
        <f t="shared" si="250"/>
        <v>94.486977151147443</v>
      </c>
      <c r="AS355" s="58" t="str">
        <f t="shared" si="251"/>
        <v>-0.0247229416313316-0.0533588677600483i</v>
      </c>
      <c r="AT355" s="64">
        <f t="shared" si="252"/>
        <v>-24.611257052937997</v>
      </c>
      <c r="AU355" s="61">
        <f t="shared" si="253"/>
        <v>-114.85986138871723</v>
      </c>
    </row>
    <row r="356" spans="14:47" x14ac:dyDescent="0.35">
      <c r="N356" s="10">
        <v>38</v>
      </c>
      <c r="O356" s="50">
        <f t="shared" si="221"/>
        <v>23988.329190194923</v>
      </c>
      <c r="P356" s="48" t="str">
        <f t="shared" si="222"/>
        <v>547.187404092767</v>
      </c>
      <c r="Q356" s="17" t="str">
        <f t="shared" si="223"/>
        <v>1+2890.61784890991i</v>
      </c>
      <c r="R356" s="17">
        <f t="shared" si="231"/>
        <v>2890.618021883306</v>
      </c>
      <c r="S356" s="17">
        <f t="shared" si="232"/>
        <v>1.5704503800069169</v>
      </c>
      <c r="T356" s="17" t="str">
        <f t="shared" si="224"/>
        <v>1+0.0546960899562575i</v>
      </c>
      <c r="U356" s="17">
        <f t="shared" si="233"/>
        <v>1.001494714043216</v>
      </c>
      <c r="V356" s="17">
        <f t="shared" si="234"/>
        <v>5.4641643578031848E-2</v>
      </c>
      <c r="W356" s="31" t="str">
        <f t="shared" si="225"/>
        <v>1-0.949811163108364i</v>
      </c>
      <c r="X356" s="17">
        <f t="shared" si="235"/>
        <v>1.3791813679009963</v>
      </c>
      <c r="Y356" s="17">
        <f t="shared" si="236"/>
        <v>-0.75966348827973851</v>
      </c>
      <c r="Z356" s="31" t="str">
        <f t="shared" si="226"/>
        <v>0.809771921541435+4.54452938340074i</v>
      </c>
      <c r="AA356" s="17">
        <f t="shared" si="237"/>
        <v>4.616110687744567</v>
      </c>
      <c r="AB356" s="17">
        <f t="shared" si="238"/>
        <v>1.3944609263533241</v>
      </c>
      <c r="AC356" s="66" t="str">
        <f t="shared" si="239"/>
        <v>-0.04891864115979+0.0285533201085066i</v>
      </c>
      <c r="AD356" s="64">
        <f t="shared" si="240"/>
        <v>-24.937215711916178</v>
      </c>
      <c r="AE356" s="61">
        <f t="shared" si="241"/>
        <v>149.72831934900319</v>
      </c>
      <c r="AF356" s="31" t="str">
        <f t="shared" si="227"/>
        <v>-0.000106860158311346</v>
      </c>
      <c r="AG356" s="31" t="str">
        <f t="shared" si="228"/>
        <v>0.000696340802903684i</v>
      </c>
      <c r="AH356" s="31">
        <f t="shared" si="242"/>
        <v>6.9634080290368401E-4</v>
      </c>
      <c r="AI356" s="31">
        <f t="shared" si="243"/>
        <v>1.5707963267948966</v>
      </c>
      <c r="AJ356" s="31" t="str">
        <f t="shared" si="229"/>
        <v>1+10.9930003629254i</v>
      </c>
      <c r="AK356" s="31">
        <f t="shared" si="244"/>
        <v>11.038390144367881</v>
      </c>
      <c r="AL356" s="31">
        <f t="shared" si="245"/>
        <v>1.4800790292873371</v>
      </c>
      <c r="AM356" s="31" t="str">
        <f t="shared" si="230"/>
        <v>1+70.5384189954381i</v>
      </c>
      <c r="AN356" s="31">
        <f t="shared" si="246"/>
        <v>70.545506975114876</v>
      </c>
      <c r="AO356" s="31">
        <f t="shared" si="247"/>
        <v>1.5566206048316702</v>
      </c>
      <c r="AP356" s="58" t="str">
        <f t="shared" si="248"/>
        <v>-0.0749947466906876+0.977876844894564i</v>
      </c>
      <c r="AQ356" s="49">
        <f t="shared" si="249"/>
        <v>-0.16884823282149541</v>
      </c>
      <c r="AR356" s="61">
        <f t="shared" si="250"/>
        <v>94.385509235972037</v>
      </c>
      <c r="AS356" s="58" t="str">
        <f t="shared" si="251"/>
        <v>-0.0242529894767398-0.0499777554825804i</v>
      </c>
      <c r="AT356" s="64">
        <f t="shared" si="252"/>
        <v>-25.10606394473767</v>
      </c>
      <c r="AU356" s="61">
        <f t="shared" si="253"/>
        <v>-115.88617141502469</v>
      </c>
    </row>
    <row r="357" spans="14:47" x14ac:dyDescent="0.35">
      <c r="N357" s="10">
        <v>39</v>
      </c>
      <c r="O357" s="50">
        <f t="shared" si="221"/>
        <v>24547.089156850321</v>
      </c>
      <c r="P357" s="48" t="str">
        <f t="shared" si="222"/>
        <v>547.187404092767</v>
      </c>
      <c r="Q357" s="17" t="str">
        <f t="shared" si="223"/>
        <v>1+2957.94898815117i</v>
      </c>
      <c r="R357" s="17">
        <f t="shared" si="231"/>
        <v>2957.9491571872109</v>
      </c>
      <c r="S357" s="17">
        <f t="shared" si="232"/>
        <v>1.5704582547166057</v>
      </c>
      <c r="T357" s="17" t="str">
        <f t="shared" si="224"/>
        <v>1+0.0559701255573959i</v>
      </c>
      <c r="U357" s="17">
        <f t="shared" si="233"/>
        <v>1.0015651027042181</v>
      </c>
      <c r="V357" s="17">
        <f t="shared" si="234"/>
        <v>5.5911790134668966E-2</v>
      </c>
      <c r="W357" s="31" t="str">
        <f t="shared" si="225"/>
        <v>1-0.971935107198819i</v>
      </c>
      <c r="X357" s="17">
        <f t="shared" si="235"/>
        <v>1.3945098969191936</v>
      </c>
      <c r="Y357" s="17">
        <f t="shared" si="236"/>
        <v>-0.7711669658086201</v>
      </c>
      <c r="Z357" s="31" t="str">
        <f t="shared" si="226"/>
        <v>0.800806748405171+4.65038507124794i</v>
      </c>
      <c r="AA357" s="17">
        <f t="shared" si="237"/>
        <v>4.7188317154966404</v>
      </c>
      <c r="AB357" s="17">
        <f t="shared" si="238"/>
        <v>1.4002665638547565</v>
      </c>
      <c r="AC357" s="66" t="str">
        <f t="shared" si="239"/>
        <v>-0.0468385718227165+0.028356500841612i</v>
      </c>
      <c r="AD357" s="64">
        <f t="shared" si="240"/>
        <v>-25.231766358554264</v>
      </c>
      <c r="AE357" s="61">
        <f t="shared" si="241"/>
        <v>148.80890296008812</v>
      </c>
      <c r="AF357" s="31" t="str">
        <f t="shared" si="227"/>
        <v>-0.000106860158311346</v>
      </c>
      <c r="AG357" s="31" t="str">
        <f t="shared" si="228"/>
        <v>0.000712560663850494i</v>
      </c>
      <c r="AH357" s="31">
        <f t="shared" si="242"/>
        <v>7.1256066385049399E-4</v>
      </c>
      <c r="AI357" s="31">
        <f t="shared" si="243"/>
        <v>1.5707963267948966</v>
      </c>
      <c r="AJ357" s="31" t="str">
        <f t="shared" si="229"/>
        <v>1+11.2490602355214i</v>
      </c>
      <c r="AK357" s="31">
        <f t="shared" si="244"/>
        <v>11.293420924697211</v>
      </c>
      <c r="AL357" s="31">
        <f t="shared" si="245"/>
        <v>1.4821330772263519</v>
      </c>
      <c r="AM357" s="31" t="str">
        <f t="shared" si="230"/>
        <v>1+72.1814698445952i</v>
      </c>
      <c r="AN357" s="31">
        <f t="shared" si="246"/>
        <v>72.188396497818161</v>
      </c>
      <c r="AO357" s="31">
        <f t="shared" si="247"/>
        <v>1.5569432418963207</v>
      </c>
      <c r="AP357" s="58" t="str">
        <f t="shared" si="248"/>
        <v>-0.0716458915910584+0.955915351218977i</v>
      </c>
      <c r="AQ357" s="49">
        <f t="shared" si="249"/>
        <v>-0.36728301885041381</v>
      </c>
      <c r="AR357" s="61">
        <f t="shared" si="250"/>
        <v>94.286306700267914</v>
      </c>
      <c r="AS357" s="58" t="str">
        <f t="shared" si="251"/>
        <v>-0.0237506232222604-0.0468053366197072i</v>
      </c>
      <c r="AT357" s="64">
        <f t="shared" si="252"/>
        <v>-25.599049377404679</v>
      </c>
      <c r="AU357" s="61">
        <f t="shared" si="253"/>
        <v>-116.90479033964394</v>
      </c>
    </row>
    <row r="358" spans="14:47" x14ac:dyDescent="0.35">
      <c r="N358" s="10">
        <v>40</v>
      </c>
      <c r="O358" s="50">
        <f t="shared" si="221"/>
        <v>25118.86431509586</v>
      </c>
      <c r="P358" s="48" t="str">
        <f t="shared" si="222"/>
        <v>547.187404092767</v>
      </c>
      <c r="Q358" s="17" t="str">
        <f t="shared" si="223"/>
        <v>1+3026.84847109905i</v>
      </c>
      <c r="R358" s="17">
        <f t="shared" si="231"/>
        <v>3026.8486362873614</v>
      </c>
      <c r="S358" s="17">
        <f t="shared" si="232"/>
        <v>1.5704659501760585</v>
      </c>
      <c r="T358" s="17" t="str">
        <f t="shared" si="224"/>
        <v>1+0.0572738372599574i</v>
      </c>
      <c r="U358" s="17">
        <f t="shared" si="233"/>
        <v>1.0016388033789825</v>
      </c>
      <c r="V358" s="17">
        <f t="shared" si="234"/>
        <v>5.721133525048621E-2</v>
      </c>
      <c r="W358" s="31" t="str">
        <f t="shared" si="225"/>
        <v>1-0.994574384148199i</v>
      </c>
      <c r="X358" s="17">
        <f t="shared" si="235"/>
        <v>1.4103822905878283</v>
      </c>
      <c r="Y358" s="17">
        <f t="shared" si="236"/>
        <v>-0.7826779828351963</v>
      </c>
      <c r="Z358" s="31" t="str">
        <f t="shared" si="226"/>
        <v>0.791419059675968+4.75870645481508i</v>
      </c>
      <c r="AA358" s="17">
        <f t="shared" si="237"/>
        <v>4.8240679152678911</v>
      </c>
      <c r="AB358" s="17">
        <f t="shared" si="238"/>
        <v>1.4059949849586373</v>
      </c>
      <c r="AC358" s="66" t="str">
        <f t="shared" si="239"/>
        <v>-0.0448438540144509+0.0281357609882351i</v>
      </c>
      <c r="AD358" s="64">
        <f t="shared" si="240"/>
        <v>-25.524400771968992</v>
      </c>
      <c r="AE358" s="61">
        <f t="shared" si="241"/>
        <v>147.89517344711103</v>
      </c>
      <c r="AF358" s="31" t="str">
        <f t="shared" si="227"/>
        <v>-0.000106860158311346</v>
      </c>
      <c r="AG358" s="31" t="str">
        <f t="shared" si="228"/>
        <v>0.000729158333893133i</v>
      </c>
      <c r="AH358" s="31">
        <f t="shared" si="242"/>
        <v>7.2915833389313302E-4</v>
      </c>
      <c r="AI358" s="31">
        <f t="shared" si="243"/>
        <v>1.5707963267948966</v>
      </c>
      <c r="AJ358" s="31" t="str">
        <f t="shared" si="229"/>
        <v>1+11.5110845087531i</v>
      </c>
      <c r="AK358" s="31">
        <f t="shared" si="244"/>
        <v>11.554439258036524</v>
      </c>
      <c r="AL358" s="31">
        <f t="shared" si="245"/>
        <v>1.4841410944229505</v>
      </c>
      <c r="AM358" s="31" t="str">
        <f t="shared" si="230"/>
        <v>1+73.8627922644992i</v>
      </c>
      <c r="AN358" s="31">
        <f t="shared" si="246"/>
        <v>73.869561262461573</v>
      </c>
      <c r="AO358" s="31">
        <f t="shared" si="247"/>
        <v>1.5572585376317905</v>
      </c>
      <c r="AP358" s="58" t="str">
        <f t="shared" si="248"/>
        <v>-0.0684454486511142+0.934434092694105i</v>
      </c>
      <c r="AQ358" s="49">
        <f t="shared" si="249"/>
        <v>-0.56578769788902616</v>
      </c>
      <c r="AR358" s="61">
        <f t="shared" si="250"/>
        <v>94.189320904653997</v>
      </c>
      <c r="AS358" s="58" t="str">
        <f t="shared" si="251"/>
        <v>-0.0232216565840355-0.0438293908228806i</v>
      </c>
      <c r="AT358" s="64">
        <f t="shared" si="252"/>
        <v>-26.090188469858017</v>
      </c>
      <c r="AU358" s="61">
        <f t="shared" si="253"/>
        <v>-117.91550564823496</v>
      </c>
    </row>
    <row r="359" spans="14:47" x14ac:dyDescent="0.35">
      <c r="N359" s="10">
        <v>41</v>
      </c>
      <c r="O359" s="50">
        <f t="shared" si="221"/>
        <v>25703.95782768865</v>
      </c>
      <c r="P359" s="48" t="str">
        <f t="shared" si="222"/>
        <v>547.187404092767</v>
      </c>
      <c r="Q359" s="17" t="str">
        <f t="shared" si="223"/>
        <v>1+3097.35282917137i</v>
      </c>
      <c r="R359" s="17">
        <f t="shared" si="231"/>
        <v>3097.352990599536</v>
      </c>
      <c r="S359" s="17">
        <f t="shared" si="232"/>
        <v>1.5704734704655057</v>
      </c>
      <c r="T359" s="17" t="str">
        <f t="shared" si="224"/>
        <v>1+0.0586079163091426i</v>
      </c>
      <c r="U359" s="17">
        <f t="shared" si="233"/>
        <v>1.001715971647702</v>
      </c>
      <c r="V359" s="17">
        <f t="shared" si="234"/>
        <v>5.8540950394009951E-2</v>
      </c>
      <c r="W359" s="31" t="str">
        <f t="shared" si="225"/>
        <v>1-1.0177409976008i</v>
      </c>
      <c r="X359" s="17">
        <f t="shared" si="235"/>
        <v>1.4268134910342949</v>
      </c>
      <c r="Y359" s="17">
        <f t="shared" si="236"/>
        <v>-0.79419044172681597</v>
      </c>
      <c r="Z359" s="31" t="str">
        <f t="shared" si="226"/>
        <v>0.781588942807406+4.86955096753345i</v>
      </c>
      <c r="AA359" s="17">
        <f t="shared" si="237"/>
        <v>4.9318767118536897</v>
      </c>
      <c r="AB359" s="17">
        <f t="shared" si="238"/>
        <v>1.4116483754558595</v>
      </c>
      <c r="AC359" s="66" t="str">
        <f t="shared" si="239"/>
        <v>-0.0429313271509803+0.0278933617077484i</v>
      </c>
      <c r="AD359" s="64">
        <f t="shared" si="240"/>
        <v>-25.8151003408029</v>
      </c>
      <c r="AE359" s="61">
        <f t="shared" si="241"/>
        <v>146.98739318062775</v>
      </c>
      <c r="AF359" s="31" t="str">
        <f t="shared" si="227"/>
        <v>-0.000106860158311346</v>
      </c>
      <c r="AG359" s="31" t="str">
        <f t="shared" si="228"/>
        <v>0.000746142613335952i</v>
      </c>
      <c r="AH359" s="31">
        <f t="shared" si="242"/>
        <v>7.46142613335952E-4</v>
      </c>
      <c r="AI359" s="31">
        <f t="shared" si="243"/>
        <v>1.5707963267948966</v>
      </c>
      <c r="AJ359" s="31" t="str">
        <f t="shared" si="229"/>
        <v>1+11.7792121113586i</v>
      </c>
      <c r="AK359" s="31">
        <f t="shared" si="244"/>
        <v>11.821583564158278</v>
      </c>
      <c r="AL359" s="31">
        <f t="shared" si="245"/>
        <v>1.4861040807457859</v>
      </c>
      <c r="AM359" s="31" t="str">
        <f t="shared" si="230"/>
        <v>1+75.5832777145509i</v>
      </c>
      <c r="AN359" s="31">
        <f t="shared" si="246"/>
        <v>75.589892644949074</v>
      </c>
      <c r="AO359" s="31">
        <f t="shared" si="247"/>
        <v>1.5575666589611554</v>
      </c>
      <c r="AP359" s="58" t="str">
        <f t="shared" si="248"/>
        <v>-0.0653869393447833+0.913423429041825i</v>
      </c>
      <c r="AQ359" s="49">
        <f t="shared" si="249"/>
        <v>-0.76435917255488195</v>
      </c>
      <c r="AR359" s="61">
        <f t="shared" si="250"/>
        <v>94.094504124864216</v>
      </c>
      <c r="AS359" s="58" t="str">
        <f t="shared" si="251"/>
        <v>-0.0226713020141833-0.0410383416096715i</v>
      </c>
      <c r="AT359" s="64">
        <f t="shared" si="252"/>
        <v>-26.579459513357779</v>
      </c>
      <c r="AU359" s="61">
        <f t="shared" si="253"/>
        <v>-118.91810269450806</v>
      </c>
    </row>
    <row r="360" spans="14:47" x14ac:dyDescent="0.35">
      <c r="N360" s="10">
        <v>42</v>
      </c>
      <c r="O360" s="50">
        <f t="shared" si="221"/>
        <v>26302.679918953829</v>
      </c>
      <c r="P360" s="48" t="str">
        <f t="shared" si="222"/>
        <v>547.187404092767</v>
      </c>
      <c r="Q360" s="17" t="str">
        <f t="shared" si="223"/>
        <v>1+3169.49944471202i</v>
      </c>
      <c r="R360" s="17">
        <f t="shared" si="231"/>
        <v>3169.4996024656321</v>
      </c>
      <c r="S360" s="17">
        <f t="shared" si="232"/>
        <v>1.5704808195723012</v>
      </c>
      <c r="T360" s="17" t="str">
        <f t="shared" si="224"/>
        <v>1+0.0599730700513224i</v>
      </c>
      <c r="U360" s="17">
        <f t="shared" si="233"/>
        <v>1.0017967703738022</v>
      </c>
      <c r="V360" s="17">
        <f t="shared" si="234"/>
        <v>5.9901321729389979E-2</v>
      </c>
      <c r="W360" s="31" t="str">
        <f t="shared" si="225"/>
        <v>1-1.04144723080172i</v>
      </c>
      <c r="X360" s="17">
        <f t="shared" si="235"/>
        <v>1.443818664010329</v>
      </c>
      <c r="Y360" s="17">
        <f t="shared" si="236"/>
        <v>-0.80569824103193044</v>
      </c>
      <c r="Z360" s="31" t="str">
        <f t="shared" si="226"/>
        <v>0.771295546803657+4.98297738063093i</v>
      </c>
      <c r="AA360" s="17">
        <f t="shared" si="237"/>
        <v>5.0423169670696666</v>
      </c>
      <c r="AB360" s="17">
        <f t="shared" si="238"/>
        <v>1.4172289323666181</v>
      </c>
      <c r="AC360" s="66" t="str">
        <f t="shared" si="239"/>
        <v>-0.0410979185792645+0.027631416493252i</v>
      </c>
      <c r="AD360" s="64">
        <f t="shared" si="240"/>
        <v>-26.103849474345424</v>
      </c>
      <c r="AE360" s="61">
        <f t="shared" si="241"/>
        <v>146.08582495392741</v>
      </c>
      <c r="AF360" s="31" t="str">
        <f t="shared" si="227"/>
        <v>-0.000106860158311346</v>
      </c>
      <c r="AG360" s="31" t="str">
        <f t="shared" si="228"/>
        <v>0.000763522507468728i</v>
      </c>
      <c r="AH360" s="31">
        <f t="shared" si="242"/>
        <v>7.6352250746872805E-4</v>
      </c>
      <c r="AI360" s="31">
        <f t="shared" si="243"/>
        <v>1.5707963267948966</v>
      </c>
      <c r="AJ360" s="31" t="str">
        <f t="shared" si="229"/>
        <v>1+12.0535852081418i</v>
      </c>
      <c r="AK360" s="31">
        <f t="shared" si="244"/>
        <v>12.094995509297835</v>
      </c>
      <c r="AL360" s="31">
        <f t="shared" si="245"/>
        <v>1.4880230164505497</v>
      </c>
      <c r="AM360" s="31" t="str">
        <f t="shared" si="230"/>
        <v>1+77.3438384189099i</v>
      </c>
      <c r="AN360" s="31">
        <f t="shared" si="246"/>
        <v>77.350302787839439</v>
      </c>
      <c r="AO360" s="31">
        <f t="shared" si="247"/>
        <v>1.5578677690202678</v>
      </c>
      <c r="AP360" s="58" t="str">
        <f t="shared" si="248"/>
        <v>-0.0624641593168436+0.892873855566765i</v>
      </c>
      <c r="AQ360" s="49">
        <f t="shared" si="249"/>
        <v>-0.96299448066429516</v>
      </c>
      <c r="AR360" s="61">
        <f t="shared" si="250"/>
        <v>94.001809543380361</v>
      </c>
      <c r="AS360" s="58" t="str">
        <f t="shared" si="251"/>
        <v>-0.0221042224453752-0.0384212302196214i</v>
      </c>
      <c r="AT360" s="64">
        <f t="shared" si="252"/>
        <v>-27.06684395500972</v>
      </c>
      <c r="AU360" s="61">
        <f t="shared" si="253"/>
        <v>-119.9123655026923</v>
      </c>
    </row>
    <row r="361" spans="14:47" x14ac:dyDescent="0.35">
      <c r="N361" s="10">
        <v>43</v>
      </c>
      <c r="O361" s="50">
        <f t="shared" si="221"/>
        <v>26915.348039269167</v>
      </c>
      <c r="P361" s="48" t="str">
        <f t="shared" si="222"/>
        <v>547.187404092767</v>
      </c>
      <c r="Q361" s="17" t="str">
        <f t="shared" si="223"/>
        <v>1+3243.32657081156i</v>
      </c>
      <c r="R361" s="17">
        <f t="shared" si="231"/>
        <v>3243.3267249742621</v>
      </c>
      <c r="S361" s="17">
        <f t="shared" si="232"/>
        <v>1.5704880013930356</v>
      </c>
      <c r="T361" s="17" t="str">
        <f t="shared" si="224"/>
        <v>1+0.0613700223090811i</v>
      </c>
      <c r="U361" s="17">
        <f t="shared" si="233"/>
        <v>1.0018813700424902</v>
      </c>
      <c r="V361" s="17">
        <f t="shared" si="234"/>
        <v>6.1293150391994969E-2</v>
      </c>
      <c r="W361" s="31" t="str">
        <f t="shared" si="225"/>
        <v>1-1.0657056531096i</v>
      </c>
      <c r="X361" s="17">
        <f t="shared" si="235"/>
        <v>1.4614131992936699</v>
      </c>
      <c r="Y361" s="17">
        <f t="shared" si="236"/>
        <v>-0.81719529163617044</v>
      </c>
      <c r="Z361" s="31" t="str">
        <f t="shared" si="226"/>
        <v>0.760517037991738+5.09904583429315i</v>
      </c>
      <c r="AA361" s="17">
        <f t="shared" si="237"/>
        <v>5.1554490187856628</v>
      </c>
      <c r="AB361" s="17">
        <f t="shared" si="238"/>
        <v>1.4227388620991979</v>
      </c>
      <c r="AC361" s="66" t="str">
        <f t="shared" si="239"/>
        <v>-0.0393406437244807+0.0273518991504867i</v>
      </c>
      <c r="AD361" s="64">
        <f t="shared" si="240"/>
        <v>-26.390635581558971</v>
      </c>
      <c r="AE361" s="61">
        <f t="shared" si="241"/>
        <v>145.19073117852091</v>
      </c>
      <c r="AF361" s="31" t="str">
        <f t="shared" si="227"/>
        <v>-0.000106860158311346</v>
      </c>
      <c r="AG361" s="31" t="str">
        <f t="shared" si="228"/>
        <v>0.000781307231341379i</v>
      </c>
      <c r="AH361" s="31">
        <f t="shared" si="242"/>
        <v>7.8130723134137896E-4</v>
      </c>
      <c r="AI361" s="31">
        <f t="shared" si="243"/>
        <v>1.5707963267948966</v>
      </c>
      <c r="AJ361" s="31" t="str">
        <f t="shared" si="229"/>
        <v>1+12.3343492753505i</v>
      </c>
      <c r="AK361" s="31">
        <f t="shared" si="244"/>
        <v>12.374820081372471</v>
      </c>
      <c r="AL361" s="31">
        <f t="shared" si="245"/>
        <v>1.4898988624219249</v>
      </c>
      <c r="AM361" s="31" t="str">
        <f t="shared" si="230"/>
        <v>1+79.1454078501656i</v>
      </c>
      <c r="AN361" s="31">
        <f t="shared" si="246"/>
        <v>79.151725083974341</v>
      </c>
      <c r="AO361" s="31">
        <f t="shared" si="247"/>
        <v>1.5581620272431345</v>
      </c>
      <c r="AP361" s="58" t="str">
        <f t="shared" si="248"/>
        <v>-0.0596711675387505+0.872776005418275i</v>
      </c>
      <c r="AQ361" s="49">
        <f t="shared" si="249"/>
        <v>-1.1616907895122714</v>
      </c>
      <c r="AR361" s="61">
        <f t="shared" si="250"/>
        <v>93.911191240461221</v>
      </c>
      <c r="AS361" s="58" t="str">
        <f t="shared" si="251"/>
        <v>-0.0215245791383995-0.0359676896371475i</v>
      </c>
      <c r="AT361" s="64">
        <f t="shared" si="252"/>
        <v>-27.552326371071242</v>
      </c>
      <c r="AU361" s="61">
        <f t="shared" si="253"/>
        <v>-120.89807758101784</v>
      </c>
    </row>
    <row r="362" spans="14:47" x14ac:dyDescent="0.35">
      <c r="N362" s="10">
        <v>44</v>
      </c>
      <c r="O362" s="50">
        <f t="shared" si="221"/>
        <v>27542.287033381719</v>
      </c>
      <c r="P362" s="48" t="str">
        <f t="shared" si="222"/>
        <v>547.187404092767</v>
      </c>
      <c r="Q362" s="17" t="str">
        <f t="shared" si="223"/>
        <v>1+3318.87335158945i</v>
      </c>
      <c r="R362" s="17">
        <f t="shared" si="231"/>
        <v>3318.8735022429805</v>
      </c>
      <c r="S362" s="17">
        <f t="shared" si="232"/>
        <v>1.5704950197356022</v>
      </c>
      <c r="T362" s="17" t="str">
        <f t="shared" si="224"/>
        <v>1+0.0627995137649964i</v>
      </c>
      <c r="U362" s="17">
        <f t="shared" si="233"/>
        <v>1.0019699491148024</v>
      </c>
      <c r="V362" s="17">
        <f t="shared" si="234"/>
        <v>6.2717152765762396E-2</v>
      </c>
      <c r="W362" s="31" t="str">
        <f t="shared" si="225"/>
        <v>1-1.09052912666104i</v>
      </c>
      <c r="X362" s="17">
        <f t="shared" si="235"/>
        <v>1.4796127115215287</v>
      </c>
      <c r="Y362" s="17">
        <f t="shared" si="236"/>
        <v>-0.82867553283880768</v>
      </c>
      <c r="Z362" s="31" t="str">
        <f t="shared" si="226"/>
        <v>0.749230553709359+5.21781786955057i</v>
      </c>
      <c r="AA362" s="17">
        <f t="shared" si="237"/>
        <v>5.2713347211510762</v>
      </c>
      <c r="AB362" s="17">
        <f t="shared" si="238"/>
        <v>1.4281803787613041</v>
      </c>
      <c r="AC362" s="66" t="str">
        <f t="shared" si="239"/>
        <v>-0.037656605948221+0.0270566514568869i</v>
      </c>
      <c r="AD362" s="64">
        <f t="shared" si="240"/>
        <v>-26.675449039754024</v>
      </c>
      <c r="AE362" s="61">
        <f t="shared" si="241"/>
        <v>144.3023730755541</v>
      </c>
      <c r="AF362" s="31" t="str">
        <f t="shared" si="227"/>
        <v>-0.000106860158311346</v>
      </c>
      <c r="AG362" s="31" t="str">
        <f t="shared" si="228"/>
        <v>0.000799506214649913i</v>
      </c>
      <c r="AH362" s="31">
        <f t="shared" si="242"/>
        <v>7.9950621464991304E-4</v>
      </c>
      <c r="AI362" s="31">
        <f t="shared" si="243"/>
        <v>1.5707963267948966</v>
      </c>
      <c r="AJ362" s="31" t="str">
        <f t="shared" si="229"/>
        <v>1+12.6216531778094i</v>
      </c>
      <c r="AK362" s="31">
        <f t="shared" si="244"/>
        <v>12.66120566695392</v>
      </c>
      <c r="AL362" s="31">
        <f t="shared" si="245"/>
        <v>1.4917325604230818</v>
      </c>
      <c r="AM362" s="31" t="str">
        <f t="shared" si="230"/>
        <v>1+80.9889412242768i</v>
      </c>
      <c r="AN362" s="31">
        <f t="shared" si="246"/>
        <v>80.995114671376086</v>
      </c>
      <c r="AO362" s="31">
        <f t="shared" si="247"/>
        <v>1.5584495894454096</v>
      </c>
      <c r="AP362" s="58" t="str">
        <f t="shared" si="248"/>
        <v>-0.0570022758255774+0.853120651470497i</v>
      </c>
      <c r="AQ362" s="49">
        <f t="shared" si="249"/>
        <v>-1.3604453903775622</v>
      </c>
      <c r="AR362" s="61">
        <f t="shared" si="250"/>
        <v>93.822604184631231</v>
      </c>
      <c r="AS362" s="58" t="str">
        <f t="shared" si="251"/>
        <v>-0.020936075878594-0.0336679189079761i</v>
      </c>
      <c r="AT362" s="64">
        <f t="shared" si="252"/>
        <v>-28.035894430131574</v>
      </c>
      <c r="AU362" s="61">
        <f t="shared" si="253"/>
        <v>-121.8750227398147</v>
      </c>
    </row>
    <row r="363" spans="14:47" x14ac:dyDescent="0.35">
      <c r="N363" s="10">
        <v>45</v>
      </c>
      <c r="O363" s="50">
        <f t="shared" si="221"/>
        <v>28183.829312644593</v>
      </c>
      <c r="P363" s="48" t="str">
        <f t="shared" si="222"/>
        <v>547.187404092767</v>
      </c>
      <c r="Q363" s="17" t="str">
        <f t="shared" si="223"/>
        <v>1+3396.17984294882i</v>
      </c>
      <c r="R363" s="17">
        <f t="shared" si="231"/>
        <v>3396.1799901730578</v>
      </c>
      <c r="S363" s="17">
        <f t="shared" si="232"/>
        <v>1.5705018783212163</v>
      </c>
      <c r="T363" s="17" t="str">
        <f t="shared" si="224"/>
        <v>1+0.0642623023543596i</v>
      </c>
      <c r="U363" s="17">
        <f t="shared" si="233"/>
        <v>1.0020626943978521</v>
      </c>
      <c r="V363" s="17">
        <f t="shared" si="234"/>
        <v>6.4174060762022936E-2</v>
      </c>
      <c r="W363" s="31" t="str">
        <f t="shared" si="225"/>
        <v>1-1.11593081319029i</v>
      </c>
      <c r="X363" s="17">
        <f t="shared" si="235"/>
        <v>1.4984330414895228</v>
      </c>
      <c r="Y363" s="17">
        <f t="shared" si="236"/>
        <v>-0.840132948246329</v>
      </c>
      <c r="Z363" s="31" t="str">
        <f t="shared" si="226"/>
        <v>0.737412153810153+5.33935646090839i</v>
      </c>
      <c r="AA363" s="17">
        <f t="shared" si="237"/>
        <v>5.3900374860691924</v>
      </c>
      <c r="AB363" s="17">
        <f t="shared" si="238"/>
        <v>1.4335557026173076</v>
      </c>
      <c r="AC363" s="66" t="str">
        <f t="shared" si="239"/>
        <v>-0.0360429961465912+0.0267473905023428i</v>
      </c>
      <c r="AD363" s="64">
        <f t="shared" si="240"/>
        <v>-26.958283153081545</v>
      </c>
      <c r="AE363" s="61">
        <f t="shared" si="241"/>
        <v>143.42100986942538</v>
      </c>
      <c r="AF363" s="31" t="str">
        <f t="shared" si="227"/>
        <v>-0.000106860158311346</v>
      </c>
      <c r="AG363" s="31" t="str">
        <f t="shared" si="228"/>
        <v>0.000818129106736168i</v>
      </c>
      <c r="AH363" s="31">
        <f t="shared" si="242"/>
        <v>8.1812910673616799E-4</v>
      </c>
      <c r="AI363" s="31">
        <f t="shared" si="243"/>
        <v>1.5707963267948966</v>
      </c>
      <c r="AJ363" s="31" t="str">
        <f t="shared" si="229"/>
        <v>1+12.9156492478505i</v>
      </c>
      <c r="AK363" s="31">
        <f t="shared" si="244"/>
        <v>12.954304130037288</v>
      </c>
      <c r="AL363" s="31">
        <f t="shared" si="245"/>
        <v>1.4935250333517456</v>
      </c>
      <c r="AM363" s="31" t="str">
        <f t="shared" si="230"/>
        <v>1+82.8754160070404i</v>
      </c>
      <c r="AN363" s="31">
        <f t="shared" si="246"/>
        <v>82.881448939675323</v>
      </c>
      <c r="AO363" s="31">
        <f t="shared" si="247"/>
        <v>1.558730607906037</v>
      </c>
      <c r="AP363" s="58" t="str">
        <f t="shared" si="248"/>
        <v>-0.0544520387083799+0.833898707848314i</v>
      </c>
      <c r="AQ363" s="49">
        <f t="shared" si="249"/>
        <v>-1.5592556932470694</v>
      </c>
      <c r="AR363" s="61">
        <f t="shared" si="250"/>
        <v>93.736004222686518</v>
      </c>
      <c r="AS363" s="58" t="str">
        <f t="shared" si="251"/>
        <v>-0.0203419997568778-0.0315126578566059i</v>
      </c>
      <c r="AT363" s="64">
        <f t="shared" si="252"/>
        <v>-28.517538846328605</v>
      </c>
      <c r="AU363" s="61">
        <f t="shared" si="253"/>
        <v>-122.84298590788812</v>
      </c>
    </row>
    <row r="364" spans="14:47" x14ac:dyDescent="0.35">
      <c r="N364" s="10">
        <v>46</v>
      </c>
      <c r="O364" s="50">
        <f t="shared" si="221"/>
        <v>28840.315031266062</v>
      </c>
      <c r="P364" s="48" t="str">
        <f t="shared" si="222"/>
        <v>547.187404092767</v>
      </c>
      <c r="Q364" s="17" t="str">
        <f t="shared" si="223"/>
        <v>1+3475.28703381466i</v>
      </c>
      <c r="R364" s="17">
        <f t="shared" si="231"/>
        <v>3475.287177687665</v>
      </c>
      <c r="S364" s="17">
        <f t="shared" si="232"/>
        <v>1.5705085807863883</v>
      </c>
      <c r="T364" s="17" t="str">
        <f t="shared" si="224"/>
        <v>1+0.0657591636670428i</v>
      </c>
      <c r="U364" s="17">
        <f t="shared" si="233"/>
        <v>1.0021598014319817</v>
      </c>
      <c r="V364" s="17">
        <f t="shared" si="234"/>
        <v>6.5664622099489617E-2</v>
      </c>
      <c r="W364" s="31" t="str">
        <f t="shared" si="225"/>
        <v>1-1.14192418100778i</v>
      </c>
      <c r="X364" s="17">
        <f t="shared" si="235"/>
        <v>1.5178902579469602</v>
      </c>
      <c r="Y364" s="17">
        <f t="shared" si="236"/>
        <v>-0.85156158138198157</v>
      </c>
      <c r="Z364" s="31" t="str">
        <f t="shared" si="226"/>
        <v>0.725036769883416+5.46372604973649i</v>
      </c>
      <c r="AA364" s="17">
        <f t="shared" si="237"/>
        <v>5.511622325980988</v>
      </c>
      <c r="AB364" s="17">
        <f t="shared" si="238"/>
        <v>1.4388670586848105</v>
      </c>
      <c r="AC364" s="66" t="str">
        <f t="shared" si="239"/>
        <v>-0.0344970921154137+0.0264257157147432i</v>
      </c>
      <c r="AD364" s="64">
        <f t="shared" si="240"/>
        <v>-27.23913410109602</v>
      </c>
      <c r="AE364" s="61">
        <f t="shared" si="241"/>
        <v>142.54689798976563</v>
      </c>
      <c r="AF364" s="31" t="str">
        <f t="shared" si="227"/>
        <v>-0.000106860158311346</v>
      </c>
      <c r="AG364" s="31" t="str">
        <f t="shared" si="228"/>
        <v>0.000837185781704033i</v>
      </c>
      <c r="AH364" s="31">
        <f t="shared" si="242"/>
        <v>8.3718578170403305E-4</v>
      </c>
      <c r="AI364" s="31">
        <f t="shared" si="243"/>
        <v>1.5707963267948966</v>
      </c>
      <c r="AJ364" s="31" t="str">
        <f t="shared" si="229"/>
        <v>1+13.2164933660815i</v>
      </c>
      <c r="AK364" s="31">
        <f t="shared" si="244"/>
        <v>13.254270892647256</v>
      </c>
      <c r="AL364" s="31">
        <f t="shared" si="245"/>
        <v>1.4952771855019213</v>
      </c>
      <c r="AM364" s="31" t="str">
        <f t="shared" si="230"/>
        <v>1+84.8058324323562i</v>
      </c>
      <c r="AN364" s="31">
        <f t="shared" si="246"/>
        <v>84.811728048335851</v>
      </c>
      <c r="AO364" s="31">
        <f t="shared" si="247"/>
        <v>1.559005231447083</v>
      </c>
      <c r="AP364" s="58" t="str">
        <f t="shared" si="248"/>
        <v>-0.0520152436557371+0.815101231125664i</v>
      </c>
      <c r="AQ364" s="49">
        <f t="shared" si="249"/>
        <v>-1.7581192217507708</v>
      </c>
      <c r="AR364" s="61">
        <f t="shared" si="250"/>
        <v>93.651348069273553</v>
      </c>
      <c r="AS364" s="58" t="str">
        <f t="shared" si="251"/>
        <v>-0.0197452587606663-0.0294931622952088i</v>
      </c>
      <c r="AT364" s="64">
        <f t="shared" si="252"/>
        <v>-28.997253322846781</v>
      </c>
      <c r="AU364" s="61">
        <f t="shared" si="253"/>
        <v>-123.80175394096071</v>
      </c>
    </row>
    <row r="365" spans="14:47" x14ac:dyDescent="0.35">
      <c r="N365" s="10">
        <v>47</v>
      </c>
      <c r="O365" s="50">
        <f t="shared" si="221"/>
        <v>29512.092266663854</v>
      </c>
      <c r="P365" s="48" t="str">
        <f t="shared" si="222"/>
        <v>547.187404092767</v>
      </c>
      <c r="Q365" s="17" t="str">
        <f t="shared" si="223"/>
        <v>1+3556.23686786673i</v>
      </c>
      <c r="R365" s="17">
        <f t="shared" si="231"/>
        <v>3556.237008464786</v>
      </c>
      <c r="S365" s="17">
        <f t="shared" si="232"/>
        <v>1.5705151306848515</v>
      </c>
      <c r="T365" s="17" t="str">
        <f t="shared" si="224"/>
        <v>1+0.0672908913587284i</v>
      </c>
      <c r="U365" s="17">
        <f t="shared" si="233"/>
        <v>1.0022614748955745</v>
      </c>
      <c r="V365" s="17">
        <f t="shared" si="234"/>
        <v>6.7189600585075893E-2</v>
      </c>
      <c r="W365" s="31" t="str">
        <f t="shared" si="225"/>
        <v>1-1.16852301214121i</v>
      </c>
      <c r="X365" s="17">
        <f t="shared" si="235"/>
        <v>1.5380006599164926</v>
      </c>
      <c r="Y365" s="17">
        <f t="shared" si="236"/>
        <v>-0.86295555091355802</v>
      </c>
      <c r="Z365" s="31" t="str">
        <f t="shared" si="226"/>
        <v>0.712078152080633+5.59099257843719i</v>
      </c>
      <c r="AA365" s="17">
        <f t="shared" si="237"/>
        <v>5.6361558980221895</v>
      </c>
      <c r="AB365" s="17">
        <f t="shared" si="238"/>
        <v>1.4441166754639998</v>
      </c>
      <c r="AC365" s="66" t="str">
        <f t="shared" si="239"/>
        <v>-0.0330162577080066+0.0260931155746751i</v>
      </c>
      <c r="AD365" s="64">
        <f t="shared" si="240"/>
        <v>-27.518000877724941</v>
      </c>
      <c r="AE365" s="61">
        <f t="shared" si="241"/>
        <v>141.68029028773108</v>
      </c>
      <c r="AF365" s="31" t="str">
        <f t="shared" si="227"/>
        <v>-0.000106860158311346</v>
      </c>
      <c r="AG365" s="31" t="str">
        <f t="shared" si="228"/>
        <v>0.000856686343654821i</v>
      </c>
      <c r="AH365" s="31">
        <f t="shared" si="242"/>
        <v>8.5668634365482102E-4</v>
      </c>
      <c r="AI365" s="31">
        <f t="shared" si="243"/>
        <v>1.5707963267948966</v>
      </c>
      <c r="AJ365" s="31" t="str">
        <f t="shared" si="229"/>
        <v>1+13.5243450440363i</v>
      </c>
      <c r="AK365" s="31">
        <f t="shared" si="244"/>
        <v>13.561265017325972</v>
      </c>
      <c r="AL365" s="31">
        <f t="shared" si="245"/>
        <v>1.4969899028304339</v>
      </c>
      <c r="AM365" s="31" t="str">
        <f t="shared" si="230"/>
        <v>1+86.7812140325664i</v>
      </c>
      <c r="AN365" s="31">
        <f t="shared" si="246"/>
        <v>86.786975456954934</v>
      </c>
      <c r="AO365" s="31">
        <f t="shared" si="247"/>
        <v>1.5592736055117964</v>
      </c>
      <c r="AP365" s="58" t="str">
        <f t="shared" si="248"/>
        <v>-0.0496869016376662+0.796719421220821i</v>
      </c>
      <c r="AQ365" s="49">
        <f t="shared" si="249"/>
        <v>-1.9570336083016384</v>
      </c>
      <c r="AR365" s="61">
        <f t="shared" si="250"/>
        <v>93.568593296089702</v>
      </c>
      <c r="AS365" s="58" t="str">
        <f t="shared" si="251"/>
        <v>-0.0191484163893216-0.0276011797989796i</v>
      </c>
      <c r="AT365" s="64">
        <f t="shared" si="252"/>
        <v>-29.47503448602658</v>
      </c>
      <c r="AU365" s="61">
        <f t="shared" si="253"/>
        <v>-124.75111641617926</v>
      </c>
    </row>
    <row r="366" spans="14:47" x14ac:dyDescent="0.35">
      <c r="N366" s="10">
        <v>48</v>
      </c>
      <c r="O366" s="50">
        <f t="shared" si="221"/>
        <v>30199.517204020212</v>
      </c>
      <c r="P366" s="48" t="str">
        <f t="shared" si="222"/>
        <v>547.187404092767</v>
      </c>
      <c r="Q366" s="17" t="str">
        <f t="shared" si="223"/>
        <v>1+3639.07226577848i</v>
      </c>
      <c r="R366" s="17">
        <f t="shared" si="231"/>
        <v>3639.0724031761333</v>
      </c>
      <c r="S366" s="17">
        <f t="shared" si="232"/>
        <v>1.5705215314894467</v>
      </c>
      <c r="T366" s="17" t="str">
        <f t="shared" si="224"/>
        <v>1+0.0688582975717123i</v>
      </c>
      <c r="U366" s="17">
        <f t="shared" si="233"/>
        <v>1.0023679290282956</v>
      </c>
      <c r="V366" s="17">
        <f t="shared" si="234"/>
        <v>6.8749776395165801E-2</v>
      </c>
      <c r="W366" s="31" t="str">
        <f t="shared" si="225"/>
        <v>1-1.1957414096429i</v>
      </c>
      <c r="X366" s="17">
        <f t="shared" si="235"/>
        <v>1.5587807795629216</v>
      </c>
      <c r="Y366" s="17">
        <f t="shared" si="236"/>
        <v>-0.8743090654061455</v>
      </c>
      <c r="Z366" s="31" t="str">
        <f t="shared" si="226"/>
        <v>0.698508813436061+5.72122352540848i</v>
      </c>
      <c r="AA366" s="17">
        <f t="shared" si="237"/>
        <v>5.7637065496202426</v>
      </c>
      <c r="AB366" s="17">
        <f t="shared" si="238"/>
        <v>1.4493067837933131</v>
      </c>
      <c r="AC366" s="66" t="str">
        <f t="shared" si="239"/>
        <v>-0.0315979418093291+0.0257509740247656i</v>
      </c>
      <c r="AD366" s="64">
        <f t="shared" si="240"/>
        <v>-27.794885221057847</v>
      </c>
      <c r="AE366" s="61">
        <f t="shared" si="241"/>
        <v>140.82143527230772</v>
      </c>
      <c r="AF366" s="31" t="str">
        <f t="shared" si="227"/>
        <v>-0.000106860158311346</v>
      </c>
      <c r="AG366" s="31" t="str">
        <f t="shared" si="228"/>
        <v>0.000876641132044602i</v>
      </c>
      <c r="AH366" s="31">
        <f t="shared" si="242"/>
        <v>8.7664113204460198E-4</v>
      </c>
      <c r="AI366" s="31">
        <f t="shared" si="243"/>
        <v>1.5707963267948966</v>
      </c>
      <c r="AJ366" s="31" t="str">
        <f t="shared" si="229"/>
        <v>1+13.8393675087493i</v>
      </c>
      <c r="AK366" s="31">
        <f t="shared" si="244"/>
        <v>13.875449291544609</v>
      </c>
      <c r="AL366" s="31">
        <f t="shared" si="245"/>
        <v>1.4986640532274906</v>
      </c>
      <c r="AM366" s="31" t="str">
        <f t="shared" si="230"/>
        <v>1+88.8026081811414i</v>
      </c>
      <c r="AN366" s="31">
        <f t="shared" si="246"/>
        <v>88.80823846791084</v>
      </c>
      <c r="AO366" s="31">
        <f t="shared" si="247"/>
        <v>1.5595358722409336</v>
      </c>
      <c r="AP366" s="58" t="str">
        <f t="shared" si="248"/>
        <v>-0.047462238024743+0.778744622012149i</v>
      </c>
      <c r="AQ366" s="49">
        <f t="shared" si="249"/>
        <v>-2.1559965894312265</v>
      </c>
      <c r="AR366" s="61">
        <f t="shared" si="250"/>
        <v>93.487698320754461</v>
      </c>
      <c r="AS366" s="58" t="str">
        <f t="shared" si="251"/>
        <v>-0.0185537234981144-0.0258289261092003i</v>
      </c>
      <c r="AT366" s="64">
        <f t="shared" si="252"/>
        <v>-29.950881810489065</v>
      </c>
      <c r="AU366" s="61">
        <f t="shared" si="253"/>
        <v>-125.69086640693776</v>
      </c>
    </row>
    <row r="367" spans="14:47" x14ac:dyDescent="0.35">
      <c r="N367" s="10">
        <v>49</v>
      </c>
      <c r="O367" s="50">
        <f t="shared" si="221"/>
        <v>30902.954325135954</v>
      </c>
      <c r="P367" s="48" t="str">
        <f t="shared" si="222"/>
        <v>547.187404092767</v>
      </c>
      <c r="Q367" s="17" t="str">
        <f t="shared" si="223"/>
        <v>1+3723.83714797436i</v>
      </c>
      <c r="R367" s="17">
        <f t="shared" si="231"/>
        <v>3723.8372822444612</v>
      </c>
      <c r="S367" s="17">
        <f t="shared" si="232"/>
        <v>1.5705277865939626</v>
      </c>
      <c r="T367" s="17" t="str">
        <f t="shared" si="224"/>
        <v>1+0.070462213365516i</v>
      </c>
      <c r="U367" s="17">
        <f t="shared" si="233"/>
        <v>1.0024793880735741</v>
      </c>
      <c r="V367" s="17">
        <f t="shared" si="234"/>
        <v>7.0345946356943745E-2</v>
      </c>
      <c r="W367" s="31" t="str">
        <f t="shared" si="225"/>
        <v>1-1.22359380506748i</v>
      </c>
      <c r="X367" s="17">
        <f t="shared" si="235"/>
        <v>1.580247385632868</v>
      </c>
      <c r="Y367" s="17">
        <f t="shared" si="236"/>
        <v>-0.88561643751223129</v>
      </c>
      <c r="Z367" s="31" t="str">
        <f t="shared" si="226"/>
        <v>0.68429997156316+5.85448794082228i</v>
      </c>
      <c r="AA367" s="17">
        <f t="shared" si="237"/>
        <v>5.8943443656029162</v>
      </c>
      <c r="AB367" s="17">
        <f t="shared" si="238"/>
        <v>1.4544396158251143</v>
      </c>
      <c r="AC367" s="66" t="str">
        <f t="shared" si="239"/>
        <v>-0.0302396771486157+0.0254005765800921i</v>
      </c>
      <c r="AD367" s="64">
        <f t="shared" si="240"/>
        <v>-28.069791534444182</v>
      </c>
      <c r="AE367" s="61">
        <f t="shared" si="241"/>
        <v>139.97057637197955</v>
      </c>
      <c r="AF367" s="31" t="str">
        <f t="shared" si="227"/>
        <v>-0.000106860158311346</v>
      </c>
      <c r="AG367" s="31" t="str">
        <f t="shared" si="228"/>
        <v>0.000897060727166309i</v>
      </c>
      <c r="AH367" s="31">
        <f t="shared" si="242"/>
        <v>8.9706072716630903E-4</v>
      </c>
      <c r="AI367" s="31">
        <f t="shared" si="243"/>
        <v>1.5707963267948966</v>
      </c>
      <c r="AJ367" s="31" t="str">
        <f t="shared" si="229"/>
        <v>1+14.1617277893011i</v>
      </c>
      <c r="AK367" s="31">
        <f t="shared" si="244"/>
        <v>14.196990314086399</v>
      </c>
      <c r="AL367" s="31">
        <f t="shared" si="245"/>
        <v>1.5003004867905569</v>
      </c>
      <c r="AM367" s="31" t="str">
        <f t="shared" si="230"/>
        <v>1+90.8710866480155i</v>
      </c>
      <c r="AN367" s="31">
        <f t="shared" si="246"/>
        <v>90.876588781661141</v>
      </c>
      <c r="AO367" s="31">
        <f t="shared" si="247"/>
        <v>1.5597921705473852</v>
      </c>
      <c r="AP367" s="58" t="str">
        <f t="shared" si="248"/>
        <v>-0.0453366838148402+0.761168321696011i</v>
      </c>
      <c r="AQ367" s="49">
        <f t="shared" si="249"/>
        <v>-2.3550060013159637</v>
      </c>
      <c r="AR367" s="61">
        <f t="shared" si="250"/>
        <v>93.408622395393238</v>
      </c>
      <c r="AS367" s="58" t="str">
        <f t="shared" si="251"/>
        <v>-0.0179631475640301-0.0241690622129673i</v>
      </c>
      <c r="AT367" s="64">
        <f t="shared" si="252"/>
        <v>-30.424797535760138</v>
      </c>
      <c r="AU367" s="61">
        <f t="shared" si="253"/>
        <v>-126.62080123262724</v>
      </c>
    </row>
    <row r="368" spans="14:47" x14ac:dyDescent="0.35">
      <c r="N368" s="10">
        <v>50</v>
      </c>
      <c r="O368" s="50">
        <f t="shared" si="221"/>
        <v>31622.77660168384</v>
      </c>
      <c r="P368" s="48" t="str">
        <f t="shared" si="222"/>
        <v>547.187404092767</v>
      </c>
      <c r="Q368" s="17" t="str">
        <f t="shared" si="223"/>
        <v>1+3810.57645791691i</v>
      </c>
      <c r="R368" s="17">
        <f t="shared" si="231"/>
        <v>3810.5765891306505</v>
      </c>
      <c r="S368" s="17">
        <f t="shared" si="232"/>
        <v>1.5705338993149371</v>
      </c>
      <c r="T368" s="17" t="str">
        <f t="shared" si="224"/>
        <v>1+0.0721034891575238i</v>
      </c>
      <c r="U368" s="17">
        <f t="shared" si="233"/>
        <v>1.0025960867411607</v>
      </c>
      <c r="V368" s="17">
        <f t="shared" si="234"/>
        <v>7.1978924229330415E-2</v>
      </c>
      <c r="W368" s="31" t="str">
        <f t="shared" si="225"/>
        <v>1-1.2520949661237i</v>
      </c>
      <c r="X368" s="17">
        <f t="shared" si="235"/>
        <v>1.6024174874833055</v>
      </c>
      <c r="Y368" s="17">
        <f t="shared" si="236"/>
        <v>-0.89687209751786512</v>
      </c>
      <c r="Z368" s="31" t="str">
        <f t="shared" si="226"/>
        <v>0.669421487603305+5.99085648323561i</v>
      </c>
      <c r="AA368" s="17">
        <f t="shared" si="237"/>
        <v>6.0281412168919166</v>
      </c>
      <c r="AB368" s="17">
        <f t="shared" si="238"/>
        <v>1.4595174041151096</v>
      </c>
      <c r="AC368" s="66" t="str">
        <f t="shared" si="239"/>
        <v>-0.0289390789710634+0.0250431161468741i</v>
      </c>
      <c r="AD368" s="64">
        <f t="shared" si="240"/>
        <v>-28.34272679944975</v>
      </c>
      <c r="AE368" s="61">
        <f t="shared" si="241"/>
        <v>139.12795122675766</v>
      </c>
      <c r="AF368" s="31" t="str">
        <f t="shared" si="227"/>
        <v>-0.000106860158311346</v>
      </c>
      <c r="AG368" s="31" t="str">
        <f t="shared" si="228"/>
        <v>0.000917955955759561i</v>
      </c>
      <c r="AH368" s="31">
        <f t="shared" si="242"/>
        <v>9.1795595575956104E-4</v>
      </c>
      <c r="AI368" s="31">
        <f t="shared" si="243"/>
        <v>1.5707963267948966</v>
      </c>
      <c r="AJ368" s="31" t="str">
        <f t="shared" si="229"/>
        <v>1+14.4915968053795i</v>
      </c>
      <c r="AK368" s="31">
        <f t="shared" si="244"/>
        <v>14.526058583445314</v>
      </c>
      <c r="AL368" s="31">
        <f t="shared" si="245"/>
        <v>1.5019000361008608</v>
      </c>
      <c r="AM368" s="31" t="str">
        <f t="shared" si="230"/>
        <v>1+92.9877461678514i</v>
      </c>
      <c r="AN368" s="31">
        <f t="shared" si="246"/>
        <v>92.993123064970575</v>
      </c>
      <c r="AO368" s="31">
        <f t="shared" si="247"/>
        <v>1.5600426361891411</v>
      </c>
      <c r="AP368" s="58" t="str">
        <f t="shared" si="248"/>
        <v>-0.0433058671796777+0.743982152907473i</v>
      </c>
      <c r="AQ368" s="49">
        <f t="shared" si="249"/>
        <v>-2.5540597754861643</v>
      </c>
      <c r="AR368" s="61">
        <f t="shared" si="250"/>
        <v>93.331325594975439</v>
      </c>
      <c r="AS368" s="58" t="str">
        <f t="shared" si="251"/>
        <v>-0.0173783995562402-0.0226146721376729i</v>
      </c>
      <c r="AT368" s="64">
        <f t="shared" si="252"/>
        <v>-30.896786574935923</v>
      </c>
      <c r="AU368" s="61">
        <f t="shared" si="253"/>
        <v>-127.54072317826687</v>
      </c>
    </row>
    <row r="369" spans="14:47" x14ac:dyDescent="0.35">
      <c r="N369" s="10">
        <v>51</v>
      </c>
      <c r="O369" s="50">
        <f t="shared" si="221"/>
        <v>32359.365692962871</v>
      </c>
      <c r="P369" s="48" t="str">
        <f t="shared" si="222"/>
        <v>547.187404092767</v>
      </c>
      <c r="Q369" s="17" t="str">
        <f t="shared" si="223"/>
        <v>1+3899.33618593639i</v>
      </c>
      <c r="R369" s="17">
        <f t="shared" si="231"/>
        <v>3899.3363141633417</v>
      </c>
      <c r="S369" s="17">
        <f t="shared" si="232"/>
        <v>1.5705398728934137</v>
      </c>
      <c r="T369" s="17" t="str">
        <f t="shared" si="224"/>
        <v>1+0.0737829951738853i</v>
      </c>
      <c r="U369" s="17">
        <f t="shared" si="233"/>
        <v>1.002718270690641</v>
      </c>
      <c r="V369" s="17">
        <f t="shared" si="234"/>
        <v>7.3649540983051043E-2</v>
      </c>
      <c r="W369" s="31" t="str">
        <f t="shared" si="225"/>
        <v>1-1.28126000450439i</v>
      </c>
      <c r="X369" s="17">
        <f t="shared" si="235"/>
        <v>1.6253083397136032</v>
      </c>
      <c r="Y369" s="17">
        <f t="shared" si="236"/>
        <v>-0.90807060617095636</v>
      </c>
      <c r="Z369" s="31" t="str">
        <f t="shared" si="226"/>
        <v>0.653841802297223+6.13040145705472i</v>
      </c>
      <c r="AA369" s="17">
        <f t="shared" si="237"/>
        <v>6.1651708108607925</v>
      </c>
      <c r="AB369" s="17">
        <f t="shared" si="238"/>
        <v>1.4645423808194438</v>
      </c>
      <c r="AC369" s="66" t="str">
        <f t="shared" si="239"/>
        <v>-0.0276938435875673+0.0246796985572901i</v>
      </c>
      <c r="AD369" s="64">
        <f t="shared" si="240"/>
        <v>-28.613700481287594</v>
      </c>
      <c r="AE369" s="61">
        <f t="shared" si="241"/>
        <v>138.29379101512154</v>
      </c>
      <c r="AF369" s="31" t="str">
        <f t="shared" si="227"/>
        <v>-0.000106860158311346</v>
      </c>
      <c r="AG369" s="31" t="str">
        <f t="shared" si="228"/>
        <v>0.000939337896751141i</v>
      </c>
      <c r="AH369" s="31">
        <f t="shared" si="242"/>
        <v>9.3933789675114095E-4</v>
      </c>
      <c r="AI369" s="31">
        <f t="shared" si="243"/>
        <v>1.5707963267948966</v>
      </c>
      <c r="AJ369" s="31" t="str">
        <f t="shared" si="229"/>
        <v>1+14.829149457903i</v>
      </c>
      <c r="AK369" s="31">
        <f t="shared" si="244"/>
        <v>14.86282858828779</v>
      </c>
      <c r="AL369" s="31">
        <f t="shared" si="245"/>
        <v>1.5034635165019106</v>
      </c>
      <c r="AM369" s="31" t="str">
        <f t="shared" si="230"/>
        <v>1+95.1537090215438i</v>
      </c>
      <c r="AN369" s="31">
        <f t="shared" si="246"/>
        <v>95.158963532378948</v>
      </c>
      <c r="AO369" s="31">
        <f t="shared" si="247"/>
        <v>1.5602874018406279</v>
      </c>
      <c r="AP369" s="58" t="str">
        <f t="shared" si="248"/>
        <v>-0.0413656053231241+0.727177892623028i</v>
      </c>
      <c r="AQ369" s="49">
        <f t="shared" si="249"/>
        <v>-2.7531559347114505</v>
      </c>
      <c r="AR369" s="61">
        <f t="shared" si="250"/>
        <v>93.255768805443822</v>
      </c>
      <c r="AS369" s="58" t="str">
        <f t="shared" si="251"/>
        <v>-0.0168009585837382-0.0211592414886535i</v>
      </c>
      <c r="AT369" s="64">
        <f t="shared" si="252"/>
        <v>-31.366856415999035</v>
      </c>
      <c r="AU369" s="61">
        <f t="shared" si="253"/>
        <v>-128.45044017943468</v>
      </c>
    </row>
    <row r="370" spans="14:47" x14ac:dyDescent="0.35">
      <c r="N370" s="10">
        <v>52</v>
      </c>
      <c r="O370" s="50">
        <f t="shared" si="221"/>
        <v>33113.11214825909</v>
      </c>
      <c r="P370" s="48" t="str">
        <f t="shared" si="222"/>
        <v>547.187404092767</v>
      </c>
      <c r="Q370" s="17" t="str">
        <f t="shared" si="223"/>
        <v>1+3990.16339361546i</v>
      </c>
      <c r="R370" s="17">
        <f t="shared" si="231"/>
        <v>3990.1635189236094</v>
      </c>
      <c r="S370" s="17">
        <f t="shared" si="232"/>
        <v>1.5705457104966609</v>
      </c>
      <c r="T370" s="17" t="str">
        <f t="shared" si="224"/>
        <v>1+0.0755016219109214i</v>
      </c>
      <c r="U370" s="17">
        <f t="shared" si="233"/>
        <v>1.0028461970368037</v>
      </c>
      <c r="V370" s="17">
        <f t="shared" si="234"/>
        <v>7.5358645079312517E-2</v>
      </c>
      <c r="W370" s="31" t="str">
        <f t="shared" si="225"/>
        <v>1-1.31110438389895i</v>
      </c>
      <c r="X370" s="17">
        <f t="shared" si="235"/>
        <v>1.6489374474124374</v>
      </c>
      <c r="Y370" s="17">
        <f t="shared" si="236"/>
        <v>-0.91920666672586826</v>
      </c>
      <c r="Z370" s="31" t="str">
        <f t="shared" si="226"/>
        <v>0.637527869043576+6.27319685087181i</v>
      </c>
      <c r="AA370" s="17">
        <f t="shared" si="237"/>
        <v>6.3055087434397574</v>
      </c>
      <c r="AB370" s="17">
        <f t="shared" si="238"/>
        <v>1.4695167769935376</v>
      </c>
      <c r="AC370" s="66" t="str">
        <f t="shared" si="239"/>
        <v>-0.0265017468200563+0.0243113478287937i</v>
      </c>
      <c r="AD370" s="64">
        <f t="shared" si="240"/>
        <v>-28.882724427383231</v>
      </c>
      <c r="AE370" s="61">
        <f t="shared" si="241"/>
        <v>137.46831981995726</v>
      </c>
      <c r="AF370" s="31" t="str">
        <f t="shared" si="227"/>
        <v>-0.000106860158311346</v>
      </c>
      <c r="AG370" s="31" t="str">
        <f t="shared" si="228"/>
        <v>0.000961217887129183i</v>
      </c>
      <c r="AH370" s="31">
        <f t="shared" si="242"/>
        <v>9.6121788712918304E-4</v>
      </c>
      <c r="AI370" s="31">
        <f t="shared" si="243"/>
        <v>1.5707963267948966</v>
      </c>
      <c r="AJ370" s="31" t="str">
        <f t="shared" si="229"/>
        <v>1+15.174564721756i</v>
      </c>
      <c r="AK370" s="31">
        <f t="shared" si="244"/>
        <v>15.207478900026846</v>
      </c>
      <c r="AL370" s="31">
        <f t="shared" si="245"/>
        <v>1.5049917263794592</v>
      </c>
      <c r="AM370" s="31" t="str">
        <f t="shared" si="230"/>
        <v>1+97.3701236312676i</v>
      </c>
      <c r="AN370" s="31">
        <f t="shared" si="246"/>
        <v>97.375258541214336</v>
      </c>
      <c r="AO370" s="31">
        <f t="shared" si="247"/>
        <v>1.5605265971624547</v>
      </c>
      <c r="AP370" s="58" t="str">
        <f t="shared" si="248"/>
        <v>-0.0395118966430398+0.710747461863398i</v>
      </c>
      <c r="AQ370" s="49">
        <f t="shared" si="249"/>
        <v>-2.9522925890558098</v>
      </c>
      <c r="AR370" s="61">
        <f t="shared" si="250"/>
        <v>93.18191371167002</v>
      </c>
      <c r="AS370" s="58" t="str">
        <f t="shared" si="251"/>
        <v>-0.0162320944825793-0.0197966367499657i</v>
      </c>
      <c r="AT370" s="64">
        <f t="shared" si="252"/>
        <v>-31.835017016439025</v>
      </c>
      <c r="AU370" s="61">
        <f t="shared" si="253"/>
        <v>-129.34976646837271</v>
      </c>
    </row>
    <row r="371" spans="14:47" x14ac:dyDescent="0.35">
      <c r="N371" s="10">
        <v>53</v>
      </c>
      <c r="O371" s="50">
        <f t="shared" si="221"/>
        <v>33884.41561392029</v>
      </c>
      <c r="P371" s="48" t="str">
        <f t="shared" si="222"/>
        <v>547.187404092767</v>
      </c>
      <c r="Q371" s="17" t="str">
        <f t="shared" si="223"/>
        <v>1+4083.10623874192i</v>
      </c>
      <c r="R371" s="17">
        <f t="shared" si="231"/>
        <v>4083.1063611977079</v>
      </c>
      <c r="S371" s="17">
        <f t="shared" si="232"/>
        <v>1.5705514152198516</v>
      </c>
      <c r="T371" s="17" t="str">
        <f t="shared" si="224"/>
        <v>1+0.0772602806072774i</v>
      </c>
      <c r="U371" s="17">
        <f t="shared" si="233"/>
        <v>1.0029801348778127</v>
      </c>
      <c r="V371" s="17">
        <f t="shared" si="234"/>
        <v>7.7107102746520967E-2</v>
      </c>
      <c r="W371" s="31" t="str">
        <f t="shared" si="225"/>
        <v>1-1.34164392819237i</v>
      </c>
      <c r="X371" s="17">
        <f t="shared" si="235"/>
        <v>1.673322572027119</v>
      </c>
      <c r="Y371" s="17">
        <f t="shared" si="236"/>
        <v>-0.93027513614681734</v>
      </c>
      <c r="Z371" s="31" t="str">
        <f t="shared" si="226"/>
        <v>0.62044508380268+6.41931837669486i</v>
      </c>
      <c r="AA371" s="17">
        <f t="shared" si="237"/>
        <v>6.4492325530552268</v>
      </c>
      <c r="AB371" s="17">
        <f t="shared" si="238"/>
        <v>1.4744428219868897</v>
      </c>
      <c r="AC371" s="66" t="str">
        <f t="shared" si="239"/>
        <v>-0.0253606423585593+0.0239390111566815i</v>
      </c>
      <c r="AD371" s="64">
        <f t="shared" si="240"/>
        <v>-29.14981275978208</v>
      </c>
      <c r="AE371" s="61">
        <f t="shared" si="241"/>
        <v>136.65175403708284</v>
      </c>
      <c r="AF371" s="31" t="str">
        <f t="shared" si="227"/>
        <v>-0.000106860158311346</v>
      </c>
      <c r="AG371" s="31" t="str">
        <f t="shared" si="228"/>
        <v>0.000983607527954208i</v>
      </c>
      <c r="AH371" s="31">
        <f t="shared" si="242"/>
        <v>9.8360752795420797E-4</v>
      </c>
      <c r="AI371" s="31">
        <f t="shared" si="243"/>
        <v>1.5707963267948966</v>
      </c>
      <c r="AJ371" s="31" t="str">
        <f t="shared" si="229"/>
        <v>1+15.5280257406838i</v>
      </c>
      <c r="AK371" s="31">
        <f t="shared" si="244"/>
        <v>15.560192267556934</v>
      </c>
      <c r="AL371" s="31">
        <f t="shared" si="245"/>
        <v>1.5064854474423821</v>
      </c>
      <c r="AM371" s="31" t="str">
        <f t="shared" si="230"/>
        <v>1+99.6381651693873i</v>
      </c>
      <c r="AN371" s="31">
        <f t="shared" si="246"/>
        <v>99.643183200468386</v>
      </c>
      <c r="AO371" s="31">
        <f t="shared" si="247"/>
        <v>1.5607603488696011</v>
      </c>
      <c r="AP371" s="58" t="str">
        <f t="shared" si="248"/>
        <v>-0.03774091318833+0.694682925213236i</v>
      </c>
      <c r="AQ371" s="49">
        <f t="shared" si="249"/>
        <v>-3.151467932096923</v>
      </c>
      <c r="AR371" s="61">
        <f t="shared" si="250"/>
        <v>93.109722785268204</v>
      </c>
      <c r="AS371" s="58" t="str">
        <f t="shared" si="251"/>
        <v>-0.0156728884953811-0.0185210853608095i</v>
      </c>
      <c r="AT371" s="64">
        <f t="shared" si="252"/>
        <v>-32.301280691878993</v>
      </c>
      <c r="AU371" s="61">
        <f t="shared" si="253"/>
        <v>-130.2385231776488</v>
      </c>
    </row>
    <row r="372" spans="14:47" x14ac:dyDescent="0.35">
      <c r="N372" s="10">
        <v>54</v>
      </c>
      <c r="O372" s="50">
        <f t="shared" si="221"/>
        <v>34673.685045253202</v>
      </c>
      <c r="P372" s="48" t="str">
        <f t="shared" si="222"/>
        <v>547.187404092767</v>
      </c>
      <c r="Q372" s="17" t="str">
        <f t="shared" si="223"/>
        <v>1+4178.21400084242i</v>
      </c>
      <c r="R372" s="17">
        <f t="shared" si="231"/>
        <v>4178.2141205107746</v>
      </c>
      <c r="S372" s="17">
        <f t="shared" si="232"/>
        <v>1.5705569900877043</v>
      </c>
      <c r="T372" s="17" t="str">
        <f t="shared" si="224"/>
        <v>1+0.0790599037270713i</v>
      </c>
      <c r="U372" s="17">
        <f t="shared" si="233"/>
        <v>1.0031203658471568</v>
      </c>
      <c r="V372" s="17">
        <f t="shared" si="234"/>
        <v>7.8895798254422819E-2</v>
      </c>
      <c r="W372" s="31" t="str">
        <f t="shared" si="225"/>
        <v>1-1.37289482985527i</v>
      </c>
      <c r="X372" s="17">
        <f t="shared" si="235"/>
        <v>1.6984817378598249</v>
      </c>
      <c r="Y372" s="17">
        <f t="shared" si="236"/>
        <v>-0.94127103542168633</v>
      </c>
      <c r="Z372" s="31" t="str">
        <f t="shared" si="226"/>
        <v>0.602557211696723+6.56884351009088i</v>
      </c>
      <c r="AA372" s="17">
        <f t="shared" si="237"/>
        <v>6.5964217764960118</v>
      </c>
      <c r="AB372" s="17">
        <f t="shared" si="238"/>
        <v>1.4793227429282283</v>
      </c>
      <c r="AC372" s="66" t="str">
        <f t="shared" si="239"/>
        <v>-0.0242684600448114+0.0235635636489752i</v>
      </c>
      <c r="AD372" s="64">
        <f t="shared" si="240"/>
        <v>-29.414981762135575</v>
      </c>
      <c r="AE372" s="61">
        <f t="shared" si="241"/>
        <v>135.8443018294231</v>
      </c>
      <c r="AF372" s="31" t="str">
        <f t="shared" si="227"/>
        <v>-0.000106860158311346</v>
      </c>
      <c r="AG372" s="31" t="str">
        <f t="shared" si="228"/>
        <v>0.00100651869051014i</v>
      </c>
      <c r="AH372" s="31">
        <f t="shared" si="242"/>
        <v>1.00651869051014E-3</v>
      </c>
      <c r="AI372" s="31">
        <f t="shared" si="243"/>
        <v>1.5707963267948966</v>
      </c>
      <c r="AJ372" s="31" t="str">
        <f t="shared" si="229"/>
        <v>1+15.8897199243968i</v>
      </c>
      <c r="AK372" s="31">
        <f t="shared" si="244"/>
        <v>15.921155714199037</v>
      </c>
      <c r="AL372" s="31">
        <f t="shared" si="245"/>
        <v>1.507945445003982</v>
      </c>
      <c r="AM372" s="31" t="str">
        <f t="shared" si="230"/>
        <v>1+101.959036181546i</v>
      </c>
      <c r="AN372" s="31">
        <f t="shared" si="246"/>
        <v>101.96393999385178</v>
      </c>
      <c r="AO372" s="31">
        <f t="shared" si="247"/>
        <v>1.5609887807980802</v>
      </c>
      <c r="AP372" s="58" t="str">
        <f t="shared" si="248"/>
        <v>-0.0360489934028279+0.678976490173704i</v>
      </c>
      <c r="AQ372" s="49">
        <f t="shared" si="249"/>
        <v>-3.350680237301483</v>
      </c>
      <c r="AR372" s="61">
        <f t="shared" si="250"/>
        <v>93.039159272297056</v>
      </c>
      <c r="AS372" s="58" t="str">
        <f t="shared" si="251"/>
        <v>-0.0151242521863137-0.0173271565736758i</v>
      </c>
      <c r="AT372" s="64">
        <f t="shared" si="252"/>
        <v>-32.765661999437064</v>
      </c>
      <c r="AU372" s="61">
        <f t="shared" si="253"/>
        <v>-131.11653889827997</v>
      </c>
    </row>
    <row r="373" spans="14:47" x14ac:dyDescent="0.35">
      <c r="N373" s="10">
        <v>55</v>
      </c>
      <c r="O373" s="50">
        <f t="shared" si="221"/>
        <v>35481.33892335758</v>
      </c>
      <c r="P373" s="48" t="str">
        <f t="shared" si="222"/>
        <v>547.187404092767</v>
      </c>
      <c r="Q373" s="17" t="str">
        <f t="shared" si="223"/>
        <v>1+4275.5371073114i</v>
      </c>
      <c r="R373" s="17">
        <f t="shared" si="231"/>
        <v>4275.5372242557696</v>
      </c>
      <c r="S373" s="17">
        <f t="shared" si="232"/>
        <v>1.5705624380560863</v>
      </c>
      <c r="T373" s="17" t="str">
        <f t="shared" si="224"/>
        <v>1+0.0809014454543034i</v>
      </c>
      <c r="U373" s="17">
        <f t="shared" si="233"/>
        <v>1.0032671846903973</v>
      </c>
      <c r="V373" s="17">
        <f t="shared" si="234"/>
        <v>8.0725634185013023E-2</v>
      </c>
      <c r="W373" s="31" t="str">
        <f t="shared" si="225"/>
        <v>1-1.40487365852939i</v>
      </c>
      <c r="X373" s="17">
        <f t="shared" si="235"/>
        <v>1.7244332391918664</v>
      </c>
      <c r="Y373" s="17">
        <f t="shared" si="236"/>
        <v>-0.95218955894698953</v>
      </c>
      <c r="Z373" s="31" t="str">
        <f t="shared" si="226"/>
        <v>0.583826310150685+6.72185153126494i</v>
      </c>
      <c r="AA373" s="17">
        <f t="shared" si="237"/>
        <v>6.7471580068050114</v>
      </c>
      <c r="AB373" s="17">
        <f t="shared" si="238"/>
        <v>1.4841587642955978</v>
      </c>
      <c r="AC373" s="66" t="str">
        <f t="shared" si="239"/>
        <v>-0.0232232040959303+0.0231858128128733i</v>
      </c>
      <c r="AD373" s="64">
        <f t="shared" si="240"/>
        <v>-29.678249762030553</v>
      </c>
      <c r="AE373" s="61">
        <f t="shared" si="241"/>
        <v>135.04616262935266</v>
      </c>
      <c r="AF373" s="31" t="str">
        <f t="shared" si="227"/>
        <v>-0.000106860158311346</v>
      </c>
      <c r="AG373" s="31" t="str">
        <f t="shared" si="228"/>
        <v>0.00102996352259862i</v>
      </c>
      <c r="AH373" s="31">
        <f t="shared" si="242"/>
        <v>1.02996352259862E-3</v>
      </c>
      <c r="AI373" s="31">
        <f t="shared" si="243"/>
        <v>1.5707963267948966</v>
      </c>
      <c r="AJ373" s="31" t="str">
        <f t="shared" si="229"/>
        <v>1+16.2598390479392i</v>
      </c>
      <c r="AK373" s="31">
        <f t="shared" si="244"/>
        <v>16.290560636911437</v>
      </c>
      <c r="AL373" s="31">
        <f t="shared" si="245"/>
        <v>1.5093724682632919</v>
      </c>
      <c r="AM373" s="31" t="str">
        <f t="shared" si="230"/>
        <v>1+104.333967224276i</v>
      </c>
      <c r="AN373" s="31">
        <f t="shared" si="246"/>
        <v>104.3387594173723</v>
      </c>
      <c r="AO373" s="31">
        <f t="shared" si="247"/>
        <v>1.5612120139701111</v>
      </c>
      <c r="AP373" s="58" t="str">
        <f t="shared" si="248"/>
        <v>-0.034432635147553+0.663620506362457i</v>
      </c>
      <c r="AQ373" s="49">
        <f t="shared" si="249"/>
        <v>-3.5499278545535988</v>
      </c>
      <c r="AR373" s="61">
        <f t="shared" si="250"/>
        <v>92.97018718087628</v>
      </c>
      <c r="AS373" s="58" t="str">
        <f t="shared" si="251"/>
        <v>-0.0145869447257118-0.0162097430946851i</v>
      </c>
      <c r="AT373" s="64">
        <f t="shared" si="252"/>
        <v>-33.228177616584148</v>
      </c>
      <c r="AU373" s="61">
        <f t="shared" si="253"/>
        <v>-131.983650189771</v>
      </c>
    </row>
    <row r="374" spans="14:47" x14ac:dyDescent="0.35">
      <c r="N374" s="10">
        <v>56</v>
      </c>
      <c r="O374" s="50">
        <f t="shared" si="221"/>
        <v>36307.805477010232</v>
      </c>
      <c r="P374" s="48" t="str">
        <f t="shared" si="222"/>
        <v>547.187404092767</v>
      </c>
      <c r="Q374" s="17" t="str">
        <f t="shared" si="223"/>
        <v>1+4375.12716014807i</v>
      </c>
      <c r="R374" s="17">
        <f t="shared" si="231"/>
        <v>4375.1272744304606</v>
      </c>
      <c r="S374" s="17">
        <f t="shared" si="232"/>
        <v>1.5705677620135812</v>
      </c>
      <c r="T374" s="17" t="str">
        <f t="shared" si="224"/>
        <v>1+0.0827858821987723i</v>
      </c>
      <c r="U374" s="17">
        <f t="shared" si="233"/>
        <v>1.0034208998677618</v>
      </c>
      <c r="V374" s="17">
        <f t="shared" si="234"/>
        <v>8.2597531699473786E-2</v>
      </c>
      <c r="W374" s="31" t="str">
        <f t="shared" si="225"/>
        <v>1-1.43759736981294i</v>
      </c>
      <c r="X374" s="17">
        <f t="shared" si="235"/>
        <v>1.7511956480339606</v>
      </c>
      <c r="Y374" s="17">
        <f t="shared" si="236"/>
        <v>-0.9630260829539985</v>
      </c>
      <c r="Z374" s="31" t="str">
        <f t="shared" si="226"/>
        <v>0.564212648411102+6.87842356709506i</v>
      </c>
      <c r="AA374" s="17">
        <f t="shared" si="237"/>
        <v>6.9015249532980611</v>
      </c>
      <c r="AB374" s="17">
        <f t="shared" si="238"/>
        <v>1.4889531075660698</v>
      </c>
      <c r="AC374" s="66" t="str">
        <f t="shared" si="239"/>
        <v>-0.0222229512805187+0.0228065028021625i</v>
      </c>
      <c r="AD374" s="64">
        <f t="shared" si="240"/>
        <v>-29.93963700943565</v>
      </c>
      <c r="AE374" s="61">
        <f t="shared" si="241"/>
        <v>134.25752669118862</v>
      </c>
      <c r="AF374" s="31" t="str">
        <f t="shared" si="227"/>
        <v>-0.000106860158311346</v>
      </c>
      <c r="AG374" s="31" t="str">
        <f t="shared" si="228"/>
        <v>0.00105395445497997i</v>
      </c>
      <c r="AH374" s="31">
        <f t="shared" si="242"/>
        <v>1.0539544549799701E-3</v>
      </c>
      <c r="AI374" s="31">
        <f t="shared" si="243"/>
        <v>1.5707963267948966</v>
      </c>
      <c r="AJ374" s="31" t="str">
        <f t="shared" si="229"/>
        <v>1+16.6385793533691i</v>
      </c>
      <c r="AK374" s="31">
        <f t="shared" si="244"/>
        <v>16.668602907813256</v>
      </c>
      <c r="AL374" s="31">
        <f t="shared" si="245"/>
        <v>1.510767250585944</v>
      </c>
      <c r="AM374" s="31" t="str">
        <f t="shared" si="230"/>
        <v>1+106.764217517452i</v>
      </c>
      <c r="AN374" s="31">
        <f t="shared" si="246"/>
        <v>106.76890063175608</v>
      </c>
      <c r="AO374" s="31">
        <f t="shared" si="247"/>
        <v>1.5614301666578299</v>
      </c>
      <c r="AP374" s="58" t="str">
        <f t="shared" si="248"/>
        <v>-0.0328884889929561+0.648607464575084i</v>
      </c>
      <c r="AQ374" s="49">
        <f t="shared" si="249"/>
        <v>-3.7492092068274738</v>
      </c>
      <c r="AR374" s="61">
        <f t="shared" si="250"/>
        <v>92.902771268744559</v>
      </c>
      <c r="AS374" s="58" t="str">
        <f t="shared" si="251"/>
        <v>-0.0140615886697548-0.0151640435018096i</v>
      </c>
      <c r="AT374" s="64">
        <f t="shared" si="252"/>
        <v>-33.68884621626313</v>
      </c>
      <c r="AU374" s="61">
        <f t="shared" si="253"/>
        <v>-132.83970204006675</v>
      </c>
    </row>
    <row r="375" spans="14:47" x14ac:dyDescent="0.35">
      <c r="N375" s="10">
        <v>57</v>
      </c>
      <c r="O375" s="50">
        <f t="shared" si="221"/>
        <v>37153.522909717351</v>
      </c>
      <c r="P375" s="48" t="str">
        <f t="shared" si="222"/>
        <v>547.187404092767</v>
      </c>
      <c r="Q375" s="17" t="str">
        <f t="shared" si="223"/>
        <v>1+4477.03696331672i</v>
      </c>
      <c r="R375" s="17">
        <f t="shared" si="231"/>
        <v>4477.0370749977264</v>
      </c>
      <c r="S375" s="17">
        <f t="shared" si="232"/>
        <v>1.5705729647830207</v>
      </c>
      <c r="T375" s="17" t="str">
        <f t="shared" si="224"/>
        <v>1+0.0847142131137837i</v>
      </c>
      <c r="U375" s="17">
        <f t="shared" si="233"/>
        <v>1.0035818341836842</v>
      </c>
      <c r="V375" s="17">
        <f t="shared" si="234"/>
        <v>8.4512430800383689E-2</v>
      </c>
      <c r="W375" s="31" t="str">
        <f t="shared" si="225"/>
        <v>1-1.47108331425083i</v>
      </c>
      <c r="X375" s="17">
        <f t="shared" si="235"/>
        <v>1.7787878224980085</v>
      </c>
      <c r="Y375" s="17">
        <f t="shared" si="236"/>
        <v>-0.9737761729554878</v>
      </c>
      <c r="Z375" s="31" t="str">
        <f t="shared" si="226"/>
        <v>0.543674623271771+7.03864263414716i</v>
      </c>
      <c r="AA375" s="17">
        <f t="shared" si="237"/>
        <v>7.0596085038211411</v>
      </c>
      <c r="AB375" s="17">
        <f t="shared" si="238"/>
        <v>1.4937079909400335</v>
      </c>
      <c r="AC375" s="66" t="str">
        <f t="shared" si="239"/>
        <v>-0.0212658490584044+0.0224263184350218i</v>
      </c>
      <c r="AD375" s="64">
        <f t="shared" si="240"/>
        <v>-30.199165552049063</v>
      </c>
      <c r="AE375" s="61">
        <f t="shared" si="241"/>
        <v>133.47857469525735</v>
      </c>
      <c r="AF375" s="31" t="str">
        <f t="shared" si="227"/>
        <v>-0.000106860158311346</v>
      </c>
      <c r="AG375" s="31" t="str">
        <f t="shared" si="228"/>
        <v>0.00107850420796409i</v>
      </c>
      <c r="AH375" s="31">
        <f t="shared" si="242"/>
        <v>1.0785042079640901E-3</v>
      </c>
      <c r="AI375" s="31">
        <f t="shared" si="243"/>
        <v>1.5707963267948966</v>
      </c>
      <c r="AJ375" s="31" t="str">
        <f t="shared" si="229"/>
        <v>1+17.0261416538099i</v>
      </c>
      <c r="AK375" s="31">
        <f t="shared" si="244"/>
        <v>17.055482978080704</v>
      </c>
      <c r="AL375" s="31">
        <f t="shared" si="245"/>
        <v>1.5121305097842552</v>
      </c>
      <c r="AM375" s="31" t="str">
        <f t="shared" si="230"/>
        <v>1+109.251075611946i</v>
      </c>
      <c r="AN375" s="31">
        <f t="shared" si="246"/>
        <v>109.25565213007127</v>
      </c>
      <c r="AO375" s="31">
        <f t="shared" si="247"/>
        <v>1.5616433544455752</v>
      </c>
      <c r="AP375" s="58" t="str">
        <f t="shared" si="248"/>
        <v>-0.031413351772736+0.633929995720726i</v>
      </c>
      <c r="AQ375" s="49">
        <f t="shared" si="249"/>
        <v>-3.9485227870008588</v>
      </c>
      <c r="AR375" s="61">
        <f t="shared" si="250"/>
        <v>92.836877030780485</v>
      </c>
      <c r="AS375" s="58" t="str">
        <f t="shared" si="251"/>
        <v>-0.0135486843523274-0.0141855454325586i</v>
      </c>
      <c r="AT375" s="64">
        <f t="shared" si="252"/>
        <v>-34.147688339049949</v>
      </c>
      <c r="AU375" s="61">
        <f t="shared" si="253"/>
        <v>-133.68454827396212</v>
      </c>
    </row>
    <row r="376" spans="14:47" x14ac:dyDescent="0.35">
      <c r="N376" s="10">
        <v>58</v>
      </c>
      <c r="O376" s="50">
        <f t="shared" si="221"/>
        <v>38018.939632056143</v>
      </c>
      <c r="P376" s="48" t="str">
        <f t="shared" si="222"/>
        <v>547.187404092767</v>
      </c>
      <c r="Q376" s="17" t="str">
        <f t="shared" si="223"/>
        <v>1+4581.3205507439i</v>
      </c>
      <c r="R376" s="17">
        <f t="shared" si="231"/>
        <v>4581.3206598827364</v>
      </c>
      <c r="S376" s="17">
        <f t="shared" si="232"/>
        <v>1.5705780491229804</v>
      </c>
      <c r="T376" s="17" t="str">
        <f t="shared" si="224"/>
        <v>1+0.0866874606259132i</v>
      </c>
      <c r="U376" s="17">
        <f t="shared" si="233"/>
        <v>1.0037503254444151</v>
      </c>
      <c r="V376" s="17">
        <f t="shared" si="234"/>
        <v>8.6471290588344976E-2</v>
      </c>
      <c r="W376" s="31" t="str">
        <f t="shared" si="225"/>
        <v>1-1.50534924653402i</v>
      </c>
      <c r="X376" s="17">
        <f t="shared" si="235"/>
        <v>1.8072289157825419</v>
      </c>
      <c r="Y376" s="17">
        <f t="shared" si="236"/>
        <v>-0.98443559020137406</v>
      </c>
      <c r="Z376" s="31" t="str">
        <f t="shared" si="226"/>
        <v>0.522168670827791+7.20259368269134i</v>
      </c>
      <c r="AA376" s="17">
        <f t="shared" si="237"/>
        <v>7.221496789360172</v>
      </c>
      <c r="AB376" s="17">
        <f t="shared" si="238"/>
        <v>1.4984256291351039</v>
      </c>
      <c r="AC376" s="66" t="str">
        <f t="shared" si="239"/>
        <v>-0.0203501136941906+0.0220458889916473i</v>
      </c>
      <c r="AD376" s="64">
        <f t="shared" si="240"/>
        <v>-30.456859108325013</v>
      </c>
      <c r="AE376" s="61">
        <f t="shared" si="241"/>
        <v>132.70947740443862</v>
      </c>
      <c r="AF376" s="31" t="str">
        <f t="shared" si="227"/>
        <v>-0.000106860158311346</v>
      </c>
      <c r="AG376" s="31" t="str">
        <f t="shared" si="228"/>
        <v>0.00110362579815495i</v>
      </c>
      <c r="AH376" s="31">
        <f t="shared" si="242"/>
        <v>1.1036257981549499E-3</v>
      </c>
      <c r="AI376" s="31">
        <f t="shared" si="243"/>
        <v>1.5707963267948966</v>
      </c>
      <c r="AJ376" s="31" t="str">
        <f t="shared" si="229"/>
        <v>1+17.4227314399231i</v>
      </c>
      <c r="AK376" s="31">
        <f t="shared" si="244"/>
        <v>17.451405984266277</v>
      </c>
      <c r="AL376" s="31">
        <f t="shared" si="245"/>
        <v>1.5134629483961686</v>
      </c>
      <c r="AM376" s="31" t="str">
        <f t="shared" si="230"/>
        <v>1+111.795860072839i</v>
      </c>
      <c r="AN376" s="31">
        <f t="shared" si="246"/>
        <v>111.80033242090919</v>
      </c>
      <c r="AO376" s="31">
        <f t="shared" si="247"/>
        <v>1.5618516902907764</v>
      </c>
      <c r="AP376" s="58" t="str">
        <f t="shared" si="248"/>
        <v>-0.0300041603909184+0.619580869644035i</v>
      </c>
      <c r="AQ376" s="49">
        <f t="shared" si="249"/>
        <v>-4.1478671548020056</v>
      </c>
      <c r="AR376" s="61">
        <f t="shared" si="250"/>
        <v>92.772470686508896</v>
      </c>
      <c r="AS376" s="58" t="str">
        <f t="shared" si="251"/>
        <v>-0.0130486229982668-0.0132700095292674i</v>
      </c>
      <c r="AT376" s="64">
        <f t="shared" si="252"/>
        <v>-34.604726263126999</v>
      </c>
      <c r="AU376" s="61">
        <f t="shared" si="253"/>
        <v>-134.51805190905245</v>
      </c>
    </row>
    <row r="377" spans="14:47" x14ac:dyDescent="0.35">
      <c r="N377" s="10">
        <v>59</v>
      </c>
      <c r="O377" s="50">
        <f t="shared" si="221"/>
        <v>38904.514499428085</v>
      </c>
      <c r="P377" s="48" t="str">
        <f t="shared" si="222"/>
        <v>547.187404092767</v>
      </c>
      <c r="Q377" s="17" t="str">
        <f t="shared" si="223"/>
        <v>1+4688.03321496804i</v>
      </c>
      <c r="R377" s="17">
        <f t="shared" si="231"/>
        <v>4688.0333216225727</v>
      </c>
      <c r="S377" s="17">
        <f t="shared" si="232"/>
        <v>1.5705830177292441</v>
      </c>
      <c r="T377" s="17" t="str">
        <f t="shared" si="224"/>
        <v>1+0.0887066709771108i</v>
      </c>
      <c r="U377" s="17">
        <f t="shared" si="233"/>
        <v>1.0039267271448855</v>
      </c>
      <c r="V377" s="17">
        <f t="shared" si="234"/>
        <v>8.8475089512131566E-2</v>
      </c>
      <c r="W377" s="31" t="str">
        <f t="shared" si="225"/>
        <v>1-1.54041333491338i</v>
      </c>
      <c r="X377" s="17">
        <f t="shared" si="235"/>
        <v>1.8365383857624542</v>
      </c>
      <c r="Y377" s="17">
        <f t="shared" si="236"/>
        <v>-0.99500029714069826</v>
      </c>
      <c r="Z377" s="31" t="str">
        <f t="shared" si="226"/>
        <v>0.499649174070672+7.37036364174368i</v>
      </c>
      <c r="AA377" s="17">
        <f t="shared" si="237"/>
        <v>7.3872802511267075</v>
      </c>
      <c r="AB377" s="17">
        <f t="shared" si="238"/>
        <v>1.5031082332449155</v>
      </c>
      <c r="AC377" s="66" t="str">
        <f t="shared" si="239"/>
        <v>-0.019474028353795+0.0216657918010671i</v>
      </c>
      <c r="AD377" s="64">
        <f t="shared" si="240"/>
        <v>-30.712742938944871</v>
      </c>
      <c r="AE377" s="61">
        <f t="shared" si="241"/>
        <v>131.95039537355697</v>
      </c>
      <c r="AF377" s="31" t="str">
        <f t="shared" si="227"/>
        <v>-0.000106860158311346</v>
      </c>
      <c r="AG377" s="31" t="str">
        <f t="shared" si="228"/>
        <v>0.00112933254535222i</v>
      </c>
      <c r="AH377" s="31">
        <f t="shared" si="242"/>
        <v>1.12933254535222E-3</v>
      </c>
      <c r="AI377" s="31">
        <f t="shared" si="243"/>
        <v>1.5707963267948966</v>
      </c>
      <c r="AJ377" s="31" t="str">
        <f t="shared" si="229"/>
        <v>1+17.8285589888629i</v>
      </c>
      <c r="AK377" s="31">
        <f t="shared" si="244"/>
        <v>17.856581857101432</v>
      </c>
      <c r="AL377" s="31">
        <f t="shared" si="245"/>
        <v>1.5147652539627556</v>
      </c>
      <c r="AM377" s="31" t="str">
        <f t="shared" si="230"/>
        <v>1+114.399920178536i</v>
      </c>
      <c r="AN377" s="31">
        <f t="shared" si="246"/>
        <v>114.40429072746967</v>
      </c>
      <c r="AO377" s="31">
        <f t="shared" si="247"/>
        <v>1.5620552845834741</v>
      </c>
      <c r="AP377" s="58" t="str">
        <f t="shared" si="248"/>
        <v>-0.0286579858739421+0.605552993844489i</v>
      </c>
      <c r="AQ377" s="49">
        <f t="shared" si="249"/>
        <v>-4.3472409338874645</v>
      </c>
      <c r="AR377" s="61">
        <f t="shared" si="250"/>
        <v>92.709519167611603</v>
      </c>
      <c r="AS377" s="58" t="str">
        <f t="shared" si="251"/>
        <v>-0.0125616986596758-0.0124134541272358i</v>
      </c>
      <c r="AT377" s="64">
        <f t="shared" si="252"/>
        <v>-35.059983872832319</v>
      </c>
      <c r="AU377" s="61">
        <f t="shared" si="253"/>
        <v>-135.34008545883148</v>
      </c>
    </row>
    <row r="378" spans="14:47" x14ac:dyDescent="0.35">
      <c r="N378" s="10">
        <v>60</v>
      </c>
      <c r="O378" s="50">
        <f t="shared" si="221"/>
        <v>39810.717055349742</v>
      </c>
      <c r="P378" s="48" t="str">
        <f t="shared" si="222"/>
        <v>547.187404092767</v>
      </c>
      <c r="Q378" s="17" t="str">
        <f t="shared" si="223"/>
        <v>1+4797.2315364562i</v>
      </c>
      <c r="R378" s="17">
        <f t="shared" si="231"/>
        <v>4797.2316406829787</v>
      </c>
      <c r="S378" s="17">
        <f t="shared" si="232"/>
        <v>1.5705878732362313</v>
      </c>
      <c r="T378" s="17" t="str">
        <f t="shared" si="224"/>
        <v>1+0.0907729147794318i</v>
      </c>
      <c r="U378" s="17">
        <f t="shared" si="233"/>
        <v>1.0041114091860295</v>
      </c>
      <c r="V378" s="17">
        <f t="shared" si="234"/>
        <v>9.0524825611381407E-2</v>
      </c>
      <c r="W378" s="31" t="str">
        <f t="shared" si="225"/>
        <v>1-1.57629417083268i</v>
      </c>
      <c r="X378" s="17">
        <f t="shared" si="235"/>
        <v>1.8667360051708133</v>
      </c>
      <c r="Y378" s="17">
        <f t="shared" si="236"/>
        <v>-1.0054664618955409</v>
      </c>
      <c r="Z378" s="31" t="str">
        <f t="shared" si="226"/>
        <v>0.476068366128557+7.54204146515715i</v>
      </c>
      <c r="AA378" s="17">
        <f t="shared" si="237"/>
        <v>7.557051710249052</v>
      </c>
      <c r="AB378" s="17">
        <f t="shared" si="238"/>
        <v>1.5077580106581989</v>
      </c>
      <c r="AC378" s="66" t="str">
        <f t="shared" si="239"/>
        <v>-0.0186359411922362+0.0212865556264017i</v>
      </c>
      <c r="AD378" s="64">
        <f t="shared" si="240"/>
        <v>-30.966843717480156</v>
      </c>
      <c r="AE378" s="61">
        <f t="shared" si="241"/>
        <v>131.20147871150419</v>
      </c>
      <c r="AF378" s="31" t="str">
        <f t="shared" si="227"/>
        <v>-0.000106860158311346</v>
      </c>
      <c r="AG378" s="31" t="str">
        <f t="shared" si="228"/>
        <v>0.00115563807961351i</v>
      </c>
      <c r="AH378" s="31">
        <f t="shared" si="242"/>
        <v>1.1556380796135101E-3</v>
      </c>
      <c r="AI378" s="31">
        <f t="shared" si="243"/>
        <v>1.5707963267948966</v>
      </c>
      <c r="AJ378" s="31" t="str">
        <f t="shared" si="229"/>
        <v>1+18.2438394757674i</v>
      </c>
      <c r="AK378" s="31">
        <f t="shared" si="244"/>
        <v>18.271225432837525</v>
      </c>
      <c r="AL378" s="31">
        <f t="shared" si="245"/>
        <v>1.5160380993039839</v>
      </c>
      <c r="AM378" s="31" t="str">
        <f t="shared" si="230"/>
        <v>1+117.064636636174i</v>
      </c>
      <c r="AN378" s="31">
        <f t="shared" si="246"/>
        <v>117.06890770293987</v>
      </c>
      <c r="AO378" s="31">
        <f t="shared" si="247"/>
        <v>1.5622542452045052</v>
      </c>
      <c r="AP378" s="58" t="str">
        <f t="shared" si="248"/>
        <v>-0.0273720276596266+0.59183941210375i</v>
      </c>
      <c r="AQ378" s="49">
        <f t="shared" si="249"/>
        <v>-4.5466428090422877</v>
      </c>
      <c r="AR378" s="61">
        <f t="shared" si="250"/>
        <v>92.647990105460693</v>
      </c>
      <c r="AS378" s="58" t="str">
        <f t="shared" si="251"/>
        <v>-0.0120881190698663-0.0116121406685972i</v>
      </c>
      <c r="AT378" s="64">
        <f t="shared" si="252"/>
        <v>-35.513486526522435</v>
      </c>
      <c r="AU378" s="61">
        <f t="shared" si="253"/>
        <v>-136.15053118303507</v>
      </c>
    </row>
    <row r="379" spans="14:47" x14ac:dyDescent="0.35">
      <c r="N379" s="10">
        <v>61</v>
      </c>
      <c r="O379" s="50">
        <f t="shared" si="221"/>
        <v>40738.027780411358</v>
      </c>
      <c r="P379" s="48" t="str">
        <f t="shared" si="222"/>
        <v>547.187404092767</v>
      </c>
      <c r="Q379" s="17" t="str">
        <f t="shared" si="223"/>
        <v>1+4908.97341360387i</v>
      </c>
      <c r="R379" s="17">
        <f t="shared" si="231"/>
        <v>4908.9735154581585</v>
      </c>
      <c r="S379" s="17">
        <f t="shared" si="232"/>
        <v>1.5705926182183954</v>
      </c>
      <c r="T379" s="17" t="str">
        <f t="shared" si="224"/>
        <v>1+0.0928872875826908i</v>
      </c>
      <c r="U379" s="17">
        <f t="shared" si="233"/>
        <v>1.0043047586238301</v>
      </c>
      <c r="V379" s="17">
        <f t="shared" si="234"/>
        <v>9.2621516750788627E-2</v>
      </c>
      <c r="W379" s="31" t="str">
        <f t="shared" si="225"/>
        <v>1-1.61301077878608i</v>
      </c>
      <c r="X379" s="17">
        <f t="shared" si="235"/>
        <v>1.8978418723592532</v>
      </c>
      <c r="Y379" s="17">
        <f t="shared" si="236"/>
        <v>-1.0158304617605958</v>
      </c>
      <c r="Z379" s="31" t="str">
        <f t="shared" si="226"/>
        <v>0.451376228946259+7.71771817878619i</v>
      </c>
      <c r="AA379" s="17">
        <f t="shared" si="237"/>
        <v>7.7309064402063852</v>
      </c>
      <c r="AB379" s="17">
        <f t="shared" si="238"/>
        <v>1.512377165033723</v>
      </c>
      <c r="AC379" s="66" t="str">
        <f t="shared" si="239"/>
        <v>-0.0178342634400704+0.0209086638576832i</v>
      </c>
      <c r="AD379" s="64">
        <f t="shared" si="240"/>
        <v>-31.21918940096641</v>
      </c>
      <c r="AE379" s="61">
        <f t="shared" si="241"/>
        <v>130.46286689550411</v>
      </c>
      <c r="AF379" s="31" t="str">
        <f t="shared" si="227"/>
        <v>-0.000106860158311346</v>
      </c>
      <c r="AG379" s="31" t="str">
        <f t="shared" si="228"/>
        <v>0.0011825563484813i</v>
      </c>
      <c r="AH379" s="31">
        <f t="shared" si="242"/>
        <v>1.1825563484813E-3</v>
      </c>
      <c r="AI379" s="31">
        <f t="shared" si="243"/>
        <v>1.5707963267948966</v>
      </c>
      <c r="AJ379" s="31" t="str">
        <f t="shared" si="229"/>
        <v>1+18.6687930878478i</v>
      </c>
      <c r="AK379" s="31">
        <f t="shared" si="244"/>
        <v>18.695556567186593</v>
      </c>
      <c r="AL379" s="31">
        <f t="shared" si="245"/>
        <v>1.5172821427925056</v>
      </c>
      <c r="AM379" s="31" t="str">
        <f t="shared" si="230"/>
        <v>1+119.791422313689i</v>
      </c>
      <c r="AN379" s="31">
        <f t="shared" si="246"/>
        <v>119.79559616253255</v>
      </c>
      <c r="AO379" s="31">
        <f t="shared" si="247"/>
        <v>1.5624486775823812</v>
      </c>
      <c r="AP379" s="58" t="str">
        <f t="shared" si="248"/>
        <v>-0.0261436081149945+0.57843330303056i</v>
      </c>
      <c r="AQ379" s="49">
        <f t="shared" si="249"/>
        <v>-4.7460715235007713</v>
      </c>
      <c r="AR379" s="61">
        <f t="shared" si="250"/>
        <v>92.58785181869068</v>
      </c>
      <c r="AS379" s="58" t="str">
        <f t="shared" si="251"/>
        <v>-0.0116280155027586-0.0108625598228605i</v>
      </c>
      <c r="AT379" s="64">
        <f t="shared" si="252"/>
        <v>-35.965260924467181</v>
      </c>
      <c r="AU379" s="61">
        <f t="shared" si="253"/>
        <v>-136.94928128580517</v>
      </c>
    </row>
    <row r="380" spans="14:47" x14ac:dyDescent="0.35">
      <c r="N380" s="10">
        <v>62</v>
      </c>
      <c r="O380" s="50">
        <f t="shared" si="221"/>
        <v>41686.938347033625</v>
      </c>
      <c r="P380" s="48" t="str">
        <f t="shared" si="222"/>
        <v>547.187404092767</v>
      </c>
      <c r="Q380" s="17" t="str">
        <f t="shared" si="223"/>
        <v>1+5023.31809343338i</v>
      </c>
      <c r="R380" s="17">
        <f t="shared" si="231"/>
        <v>5023.3181929691827</v>
      </c>
      <c r="S380" s="17">
        <f t="shared" si="232"/>
        <v>1.5705972551915877</v>
      </c>
      <c r="T380" s="17" t="str">
        <f t="shared" si="224"/>
        <v>1+0.0950509104553347i</v>
      </c>
      <c r="U380" s="17">
        <f t="shared" si="233"/>
        <v>1.0045071804513834</v>
      </c>
      <c r="V380" s="17">
        <f t="shared" si="234"/>
        <v>9.4766200844665596E-2</v>
      </c>
      <c r="W380" s="31" t="str">
        <f t="shared" si="225"/>
        <v>1-1.65058262640513i</v>
      </c>
      <c r="X380" s="17">
        <f t="shared" si="235"/>
        <v>1.9298764226215255</v>
      </c>
      <c r="Y380" s="17">
        <f t="shared" si="236"/>
        <v>-1.0260888857493371</v>
      </c>
      <c r="Z380" s="31" t="str">
        <f t="shared" si="226"/>
        <v>0.425520387190285+7.89748692874971i</v>
      </c>
      <c r="AA380" s="17">
        <f t="shared" si="237"/>
        <v>7.9089422421514177</v>
      </c>
      <c r="AB380" s="17">
        <f t="shared" si="238"/>
        <v>1.5169678963268085</v>
      </c>
      <c r="AC380" s="66" t="str">
        <f t="shared" si="239"/>
        <v>-0.0170674674950838+0.0205325575211664i</v>
      </c>
      <c r="AD380" s="64">
        <f t="shared" si="240"/>
        <v>-31.469809101074247</v>
      </c>
      <c r="AE380" s="61">
        <f t="shared" si="241"/>
        <v>129.73468863649546</v>
      </c>
      <c r="AF380" s="31" t="str">
        <f t="shared" si="227"/>
        <v>-0.000106860158311346</v>
      </c>
      <c r="AG380" s="31" t="str">
        <f t="shared" si="228"/>
        <v>0.00121010162437803i</v>
      </c>
      <c r="AH380" s="31">
        <f t="shared" si="242"/>
        <v>1.2101016243780301E-3</v>
      </c>
      <c r="AI380" s="31">
        <f t="shared" si="243"/>
        <v>1.5707963267948966</v>
      </c>
      <c r="AJ380" s="31" t="str">
        <f t="shared" si="229"/>
        <v>1+19.103645141134i</v>
      </c>
      <c r="AK380" s="31">
        <f t="shared" si="244"/>
        <v>19.129800251920368</v>
      </c>
      <c r="AL380" s="31">
        <f t="shared" si="245"/>
        <v>1.518498028625221</v>
      </c>
      <c r="AM380" s="31" t="str">
        <f t="shared" si="230"/>
        <v>1+122.581722988943i</v>
      </c>
      <c r="AN380" s="31">
        <f t="shared" si="246"/>
        <v>122.58580183258563</v>
      </c>
      <c r="AO380" s="31">
        <f t="shared" si="247"/>
        <v>1.5626386847488862</v>
      </c>
      <c r="AP380" s="58" t="str">
        <f t="shared" si="248"/>
        <v>-0.0249701672750793+0.565327978532415i</v>
      </c>
      <c r="AQ380" s="49">
        <f t="shared" si="249"/>
        <v>-4.9455258763800849</v>
      </c>
      <c r="AR380" s="61">
        <f t="shared" si="250"/>
        <v>92.529073300824308</v>
      </c>
      <c r="AS380" s="58" t="str">
        <f t="shared" si="251"/>
        <v>-0.0111814517192273-0.0101614182935521i</v>
      </c>
      <c r="AT380" s="64">
        <f t="shared" si="252"/>
        <v>-36.415334977454357</v>
      </c>
      <c r="AU380" s="61">
        <f t="shared" si="253"/>
        <v>-137.73623806268029</v>
      </c>
    </row>
    <row r="381" spans="14:47" x14ac:dyDescent="0.35">
      <c r="N381" s="10">
        <v>63</v>
      </c>
      <c r="O381" s="50">
        <f t="shared" si="221"/>
        <v>42657.951880159271</v>
      </c>
      <c r="P381" s="48" t="str">
        <f t="shared" si="222"/>
        <v>547.187404092767</v>
      </c>
      <c r="Q381" s="17" t="str">
        <f t="shared" si="223"/>
        <v>1+5140.3262030075i</v>
      </c>
      <c r="R381" s="17">
        <f t="shared" si="231"/>
        <v>5140.3263002775911</v>
      </c>
      <c r="S381" s="17">
        <f t="shared" si="232"/>
        <v>1.5706017866143922</v>
      </c>
      <c r="T381" s="17" t="str">
        <f t="shared" si="224"/>
        <v>1+0.0972649305788495i</v>
      </c>
      <c r="U381" s="17">
        <f t="shared" si="233"/>
        <v>1.0047190984153274</v>
      </c>
      <c r="V381" s="17">
        <f t="shared" si="234"/>
        <v>9.6959936070674435E-2</v>
      </c>
      <c r="W381" s="31" t="str">
        <f t="shared" si="225"/>
        <v>1-1.68902963478073i</v>
      </c>
      <c r="X381" s="17">
        <f t="shared" si="235"/>
        <v>1.9628604400638183</v>
      </c>
      <c r="Y381" s="17">
        <f t="shared" si="236"/>
        <v>-1.0362385362145246</v>
      </c>
      <c r="Z381" s="31" t="str">
        <f t="shared" si="226"/>
        <v>0.398445997153721+8.08144303081843i</v>
      </c>
      <c r="AA381" s="17">
        <f t="shared" si="237"/>
        <v>8.0912595232764346</v>
      </c>
      <c r="AB381" s="17">
        <f t="shared" si="238"/>
        <v>1.5215324008633015</v>
      </c>
      <c r="AC381" s="66" t="str">
        <f t="shared" si="239"/>
        <v>-0.0163340850251103+0.0201586381138566i</v>
      </c>
      <c r="AD381" s="64">
        <f t="shared" si="240"/>
        <v>-31.718732956525201</v>
      </c>
      <c r="AE381" s="61">
        <f t="shared" si="241"/>
        <v>129.01706179421535</v>
      </c>
      <c r="AF381" s="31" t="str">
        <f t="shared" si="227"/>
        <v>-0.000106860158311346</v>
      </c>
      <c r="AG381" s="31" t="str">
        <f t="shared" si="228"/>
        <v>0.00123828851217359i</v>
      </c>
      <c r="AH381" s="31">
        <f t="shared" si="242"/>
        <v>1.2382885121735899E-3</v>
      </c>
      <c r="AI381" s="31">
        <f t="shared" si="243"/>
        <v>1.5707963267948966</v>
      </c>
      <c r="AJ381" s="31" t="str">
        <f t="shared" si="229"/>
        <v>1+19.5486261999407i</v>
      </c>
      <c r="AK381" s="31">
        <f t="shared" si="244"/>
        <v>19.574186734191741</v>
      </c>
      <c r="AL381" s="31">
        <f t="shared" si="245"/>
        <v>1.5196863870924238</v>
      </c>
      <c r="AM381" s="31" t="str">
        <f t="shared" si="230"/>
        <v>1+125.437018116286i</v>
      </c>
      <c r="AN381" s="31">
        <f t="shared" si="246"/>
        <v>125.44100411709667</v>
      </c>
      <c r="AO381" s="31">
        <f t="shared" si="247"/>
        <v>1.562824367393425</v>
      </c>
      <c r="AP381" s="58" t="str">
        <f t="shared" si="248"/>
        <v>-0.0238492577949754+0.552516882222178i</v>
      </c>
      <c r="AQ381" s="49">
        <f t="shared" si="249"/>
        <v>-5.145004720225713</v>
      </c>
      <c r="AR381" s="61">
        <f t="shared" si="250"/>
        <v>92.47162420796586</v>
      </c>
      <c r="AS381" s="58" t="str">
        <f t="shared" si="251"/>
        <v>-0.0107484320759043-0.00950562628919889i</v>
      </c>
      <c r="AT381" s="64">
        <f t="shared" si="252"/>
        <v>-36.863737676750915</v>
      </c>
      <c r="AU381" s="61">
        <f t="shared" si="253"/>
        <v>-138.51131399781877</v>
      </c>
    </row>
    <row r="382" spans="14:47" x14ac:dyDescent="0.35">
      <c r="N382" s="10">
        <v>64</v>
      </c>
      <c r="O382" s="50">
        <f t="shared" si="221"/>
        <v>43651.583224016598</v>
      </c>
      <c r="P382" s="48" t="str">
        <f t="shared" si="222"/>
        <v>547.187404092767</v>
      </c>
      <c r="Q382" s="17" t="str">
        <f t="shared" si="223"/>
        <v>1+5260.0597815747i</v>
      </c>
      <c r="R382" s="17">
        <f t="shared" si="231"/>
        <v>5260.0598766306521</v>
      </c>
      <c r="S382" s="17">
        <f t="shared" si="232"/>
        <v>1.5706062148894282</v>
      </c>
      <c r="T382" s="17" t="str">
        <f t="shared" si="224"/>
        <v>1+0.0995305218560105i</v>
      </c>
      <c r="U382" s="17">
        <f t="shared" si="233"/>
        <v>1.00494095586802</v>
      </c>
      <c r="V382" s="17">
        <f t="shared" si="234"/>
        <v>9.9203801071427705E-2</v>
      </c>
      <c r="W382" s="31" t="str">
        <f t="shared" si="225"/>
        <v>1-1.72837218902564i</v>
      </c>
      <c r="X382" s="17">
        <f t="shared" si="235"/>
        <v>1.9968150700045517</v>
      </c>
      <c r="Y382" s="17">
        <f t="shared" si="236"/>
        <v>-1.046276429576801</v>
      </c>
      <c r="Z382" s="31" t="str">
        <f t="shared" si="226"/>
        <v>0.370095630425372+8.26968402095262i</v>
      </c>
      <c r="AA382" s="17">
        <f t="shared" si="237"/>
        <v>8.2779613783865322</v>
      </c>
      <c r="AB382" s="17">
        <f t="shared" si="238"/>
        <v>1.5260728714570055</v>
      </c>
      <c r="AC382" s="66" t="str">
        <f t="shared" si="239"/>
        <v>-0.0156327050871627+0.0197872702717546i</v>
      </c>
      <c r="AD382" s="64">
        <f t="shared" si="240"/>
        <v>-31.965992007355606</v>
      </c>
      <c r="AE382" s="61">
        <f t="shared" si="241"/>
        <v>128.31009334020234</v>
      </c>
      <c r="AF382" s="31" t="str">
        <f t="shared" si="227"/>
        <v>-0.000106860158311346</v>
      </c>
      <c r="AG382" s="31" t="str">
        <f t="shared" si="228"/>
        <v>0.001267131956929i</v>
      </c>
      <c r="AH382" s="31">
        <f t="shared" si="242"/>
        <v>1.2671319569289999E-3</v>
      </c>
      <c r="AI382" s="31">
        <f t="shared" si="243"/>
        <v>1.5707963267948966</v>
      </c>
      <c r="AJ382" s="31" t="str">
        <f t="shared" si="229"/>
        <v>1+20.0039721991152i</v>
      </c>
      <c r="AK382" s="31">
        <f t="shared" si="244"/>
        <v>20.02895163863985</v>
      </c>
      <c r="AL382" s="31">
        <f t="shared" si="245"/>
        <v>1.5208478348443255</v>
      </c>
      <c r="AM382" s="31" t="str">
        <f t="shared" si="230"/>
        <v>1+128.358821610989i</v>
      </c>
      <c r="AN382" s="31">
        <f t="shared" si="246"/>
        <v>128.36271688212935</v>
      </c>
      <c r="AO382" s="31">
        <f t="shared" si="247"/>
        <v>1.5630058239161486</v>
      </c>
      <c r="AP382" s="58" t="str">
        <f t="shared" si="248"/>
        <v>-0.0227785401075745+0.53999358776769i</v>
      </c>
      <c r="AQ382" s="49">
        <f t="shared" si="249"/>
        <v>-5.3445069586603537</v>
      </c>
      <c r="AR382" s="61">
        <f t="shared" si="250"/>
        <v>92.415474846574099</v>
      </c>
      <c r="AS382" s="58" t="str">
        <f t="shared" si="251"/>
        <v>-0.0103289088663559-0.00889228563603578i</v>
      </c>
      <c r="AT382" s="64">
        <f t="shared" si="252"/>
        <v>-37.310498966015963</v>
      </c>
      <c r="AU382" s="61">
        <f t="shared" si="253"/>
        <v>-139.27443181322354</v>
      </c>
    </row>
    <row r="383" spans="14:47" x14ac:dyDescent="0.35">
      <c r="N383" s="10">
        <v>65</v>
      </c>
      <c r="O383" s="50">
        <f t="shared" si="221"/>
        <v>44668.359215096389</v>
      </c>
      <c r="P383" s="48" t="str">
        <f t="shared" si="222"/>
        <v>547.187404092767</v>
      </c>
      <c r="Q383" s="17" t="str">
        <f t="shared" si="223"/>
        <v>1+5382.58231346324i</v>
      </c>
      <c r="R383" s="17">
        <f t="shared" si="231"/>
        <v>5382.5824063554555</v>
      </c>
      <c r="S383" s="17">
        <f t="shared" si="232"/>
        <v>1.5706105423646255</v>
      </c>
      <c r="T383" s="17" t="str">
        <f t="shared" si="224"/>
        <v>1+0.101848885533302i</v>
      </c>
      <c r="U383" s="17">
        <f t="shared" si="233"/>
        <v>1.0051732166568983</v>
      </c>
      <c r="V383" s="17">
        <f t="shared" si="234"/>
        <v>0.10149889514257508</v>
      </c>
      <c r="W383" s="31" t="str">
        <f t="shared" si="225"/>
        <v>1-1.76863114908289i</v>
      </c>
      <c r="X383" s="17">
        <f t="shared" si="235"/>
        <v>2.0317618318853872</v>
      </c>
      <c r="Y383" s="17">
        <f t="shared" si="236"/>
        <v>-1.0561997962003218</v>
      </c>
      <c r="Z383" s="31" t="str">
        <f t="shared" si="226"/>
        <v>0.340409152076398+8.46230970701697i</v>
      </c>
      <c r="AA383" s="17">
        <f t="shared" si="237"/>
        <v>8.4691536748538816</v>
      </c>
      <c r="AB383" s="17">
        <f t="shared" si="238"/>
        <v>1.5305914975667188</v>
      </c>
      <c r="AC383" s="66" t="str">
        <f t="shared" si="239"/>
        <v>-0.0149619722674357+0.0194187842800672i</v>
      </c>
      <c r="AD383" s="64">
        <f t="shared" si="240"/>
        <v>-32.211618071586685</v>
      </c>
      <c r="AE383" s="61">
        <f t="shared" si="241"/>
        <v>127.61387936662696</v>
      </c>
      <c r="AF383" s="31" t="str">
        <f t="shared" si="227"/>
        <v>-0.000106860158311346</v>
      </c>
      <c r="AG383" s="31" t="str">
        <f t="shared" si="228"/>
        <v>0.00129664725182044i</v>
      </c>
      <c r="AH383" s="31">
        <f t="shared" si="242"/>
        <v>1.2966472518204401E-3</v>
      </c>
      <c r="AI383" s="31">
        <f t="shared" si="243"/>
        <v>1.5707963267948966</v>
      </c>
      <c r="AJ383" s="31" t="str">
        <f t="shared" si="229"/>
        <v>1+20.4699245691337i</v>
      </c>
      <c r="AK383" s="31">
        <f t="shared" si="244"/>
        <v>20.494336092345698</v>
      </c>
      <c r="AL383" s="31">
        <f t="shared" si="245"/>
        <v>1.5219829751548015</v>
      </c>
      <c r="AM383" s="31" t="str">
        <f t="shared" si="230"/>
        <v>1+131.348682651941i</v>
      </c>
      <c r="AN383" s="31">
        <f t="shared" si="246"/>
        <v>131.35248925848458</v>
      </c>
      <c r="AO383" s="31">
        <f t="shared" si="247"/>
        <v>1.5631831504798819</v>
      </c>
      <c r="AP383" s="58" t="str">
        <f t="shared" si="248"/>
        <v>-0.0217557777795739+0.527751797191436i</v>
      </c>
      <c r="AQ383" s="49">
        <f t="shared" si="249"/>
        <v>-5.5440315441346701</v>
      </c>
      <c r="AR383" s="61">
        <f t="shared" si="250"/>
        <v>92.360596161326143</v>
      </c>
      <c r="AS383" s="58" t="str">
        <f t="shared" si="251"/>
        <v>-0.00992278895928379-0.00831867850921424i</v>
      </c>
      <c r="AT383" s="64">
        <f t="shared" si="252"/>
        <v>-37.755649615721353</v>
      </c>
      <c r="AU383" s="61">
        <f t="shared" si="253"/>
        <v>-140.0255244720469</v>
      </c>
    </row>
    <row r="384" spans="14:47" x14ac:dyDescent="0.35">
      <c r="N384" s="10">
        <v>66</v>
      </c>
      <c r="O384" s="50">
        <f t="shared" ref="O384:O418" si="254">10^(4+(N384/100))</f>
        <v>45708.818961487581</v>
      </c>
      <c r="P384" s="48" t="str">
        <f t="shared" si="222"/>
        <v>547.187404092767</v>
      </c>
      <c r="Q384" s="17" t="str">
        <f t="shared" si="223"/>
        <v>1+5507.95876174125i</v>
      </c>
      <c r="R384" s="17">
        <f t="shared" si="231"/>
        <v>5507.9588525189802</v>
      </c>
      <c r="S384" s="17">
        <f t="shared" si="232"/>
        <v>1.5706147713344676</v>
      </c>
      <c r="T384" s="17" t="str">
        <f t="shared" si="224"/>
        <v>1+0.104221250837833i</v>
      </c>
      <c r="U384" s="17">
        <f t="shared" si="233"/>
        <v>1.005416366052494</v>
      </c>
      <c r="V384" s="17">
        <f t="shared" si="234"/>
        <v>0.10384633840588826</v>
      </c>
      <c r="W384" s="31" t="str">
        <f t="shared" si="225"/>
        <v>1-1.80982786078597i</v>
      </c>
      <c r="X384" s="17">
        <f t="shared" si="235"/>
        <v>2.0677226326751663</v>
      </c>
      <c r="Y384" s="17">
        <f t="shared" si="236"/>
        <v>-1.0660060794589985</v>
      </c>
      <c r="Z384" s="31" t="str">
        <f t="shared" si="226"/>
        <v>0.309323593106101+8.65942222169984i</v>
      </c>
      <c r="AA384" s="17">
        <f t="shared" si="237"/>
        <v>8.6649451411374248</v>
      </c>
      <c r="AB384" s="17">
        <f t="shared" si="238"/>
        <v>1.5350904654891315</v>
      </c>
      <c r="AC384" s="66" t="str">
        <f t="shared" si="239"/>
        <v>-0.0143205848461681+0.0190534784333785i</v>
      </c>
      <c r="AD384" s="64">
        <f t="shared" si="240"/>
        <v>-32.455643624805845</v>
      </c>
      <c r="AE384" s="61">
        <f t="shared" si="241"/>
        <v>126.92850513858664</v>
      </c>
      <c r="AF384" s="31" t="str">
        <f t="shared" si="227"/>
        <v>-0.000106860158311346</v>
      </c>
      <c r="AG384" s="31" t="str">
        <f t="shared" si="228"/>
        <v>0.00132685004624796i</v>
      </c>
      <c r="AH384" s="31">
        <f t="shared" si="242"/>
        <v>1.32685004624796E-3</v>
      </c>
      <c r="AI384" s="31">
        <f t="shared" si="243"/>
        <v>1.5707963267948966</v>
      </c>
      <c r="AJ384" s="31" t="str">
        <f t="shared" si="229"/>
        <v>1+20.9467303641101i</v>
      </c>
      <c r="AK384" s="31">
        <f t="shared" si="244"/>
        <v>20.970586852702336</v>
      </c>
      <c r="AL384" s="31">
        <f t="shared" si="245"/>
        <v>1.5230923981822002</v>
      </c>
      <c r="AM384" s="31" t="str">
        <f t="shared" si="230"/>
        <v>1+134.40818650304i</v>
      </c>
      <c r="AN384" s="31">
        <f t="shared" si="246"/>
        <v>134.41190646306592</v>
      </c>
      <c r="AO384" s="31">
        <f t="shared" si="247"/>
        <v>1.5633564410608825</v>
      </c>
      <c r="AP384" s="58" t="str">
        <f t="shared" si="248"/>
        <v>-0.0207788330585325+0.515785339127004i</v>
      </c>
      <c r="AQ384" s="49">
        <f t="shared" si="249"/>
        <v>-5.7435774757753011</v>
      </c>
      <c r="AR384" s="61">
        <f t="shared" si="250"/>
        <v>92.306959723082272</v>
      </c>
      <c r="AS384" s="58" t="str">
        <f t="shared" si="251"/>
        <v>-0.00952993979349011-0.00778225675892937i</v>
      </c>
      <c r="AT384" s="64">
        <f t="shared" si="252"/>
        <v>-38.199221100581141</v>
      </c>
      <c r="AU384" s="61">
        <f t="shared" si="253"/>
        <v>-140.76453513833107</v>
      </c>
    </row>
    <row r="385" spans="14:47" x14ac:dyDescent="0.35">
      <c r="N385" s="10">
        <v>67</v>
      </c>
      <c r="O385" s="50">
        <f t="shared" si="254"/>
        <v>46773.514128719893</v>
      </c>
      <c r="P385" s="48" t="str">
        <f t="shared" si="222"/>
        <v>547.187404092767</v>
      </c>
      <c r="Q385" s="17" t="str">
        <f t="shared" si="223"/>
        <v>1+5636.25560266121i</v>
      </c>
      <c r="R385" s="17">
        <f t="shared" si="231"/>
        <v>5636.2556913725866</v>
      </c>
      <c r="S385" s="17">
        <f t="shared" si="232"/>
        <v>1.5706189040412097</v>
      </c>
      <c r="T385" s="17" t="str">
        <f t="shared" si="224"/>
        <v>1+0.106648875629089i</v>
      </c>
      <c r="U385" s="17">
        <f t="shared" si="233"/>
        <v>1.0056709117166256</v>
      </c>
      <c r="V385" s="17">
        <f t="shared" si="234"/>
        <v>0.10624727196575967</v>
      </c>
      <c r="W385" s="31" t="str">
        <f t="shared" si="225"/>
        <v>1-1.85198416717675i</v>
      </c>
      <c r="X385" s="17">
        <f t="shared" si="235"/>
        <v>2.1047197807483444</v>
      </c>
      <c r="Y385" s="17">
        <f t="shared" si="236"/>
        <v>-1.0756929340406904</v>
      </c>
      <c r="Z385" s="31" t="str">
        <f t="shared" si="226"/>
        <v>0.276773016876176+8.86112607666571i</v>
      </c>
      <c r="AA385" s="17">
        <f t="shared" si="237"/>
        <v>8.8654474590646455</v>
      </c>
      <c r="AB385" s="17">
        <f t="shared" si="238"/>
        <v>1.5395719585839835</v>
      </c>
      <c r="AC385" s="66" t="str">
        <f t="shared" si="239"/>
        <v>-0.0137072929908106+0.0186916212535005i</v>
      </c>
      <c r="AD385" s="64">
        <f t="shared" si="240"/>
        <v>-32.698101683116519</v>
      </c>
      <c r="AE385" s="61">
        <f t="shared" si="241"/>
        <v>126.2540451872643</v>
      </c>
      <c r="AF385" s="31" t="str">
        <f t="shared" si="227"/>
        <v>-0.000106860158311346</v>
      </c>
      <c r="AG385" s="31" t="str">
        <f t="shared" si="228"/>
        <v>0.00135775635413293i</v>
      </c>
      <c r="AH385" s="31">
        <f t="shared" si="242"/>
        <v>1.3577563541329299E-3</v>
      </c>
      <c r="AI385" s="31">
        <f t="shared" si="243"/>
        <v>1.5707963267948966</v>
      </c>
      <c r="AJ385" s="31" t="str">
        <f t="shared" si="229"/>
        <v>1+21.4346423927884i</v>
      </c>
      <c r="AK385" s="31">
        <f t="shared" si="244"/>
        <v>21.457956438270671</v>
      </c>
      <c r="AL385" s="31">
        <f t="shared" si="245"/>
        <v>1.5241766812270925</v>
      </c>
      <c r="AM385" s="31" t="str">
        <f t="shared" si="230"/>
        <v>1+137.538955353725i</v>
      </c>
      <c r="AN385" s="31">
        <f t="shared" si="246"/>
        <v>137.54259063938687</v>
      </c>
      <c r="AO385" s="31">
        <f t="shared" si="247"/>
        <v>1.5635257874984558</v>
      </c>
      <c r="AP385" s="58" t="str">
        <f t="shared" si="248"/>
        <v>-0.0198456626039302+0.50408816703862i</v>
      </c>
      <c r="AQ385" s="49">
        <f t="shared" si="249"/>
        <v>-5.9431437973250194</v>
      </c>
      <c r="AR385" s="61">
        <f t="shared" si="250"/>
        <v>92.254537716960883</v>
      </c>
      <c r="AS385" s="58" t="str">
        <f t="shared" si="251"/>
        <v>-0.00915019478474834-0.00728063180771646i</v>
      </c>
      <c r="AT385" s="64">
        <f t="shared" si="252"/>
        <v>-38.641245480441533</v>
      </c>
      <c r="AU385" s="61">
        <f t="shared" si="253"/>
        <v>-141.49141709577484</v>
      </c>
    </row>
    <row r="386" spans="14:47" x14ac:dyDescent="0.35">
      <c r="N386" s="10">
        <v>68</v>
      </c>
      <c r="O386" s="50">
        <f t="shared" si="254"/>
        <v>47863.009232263823</v>
      </c>
      <c r="P386" s="48" t="str">
        <f t="shared" si="222"/>
        <v>547.187404092767</v>
      </c>
      <c r="Q386" s="17" t="str">
        <f t="shared" si="223"/>
        <v>1+5767.54086090634i</v>
      </c>
      <c r="R386" s="17">
        <f t="shared" si="231"/>
        <v>5767.5409475983988</v>
      </c>
      <c r="S386" s="17">
        <f t="shared" si="232"/>
        <v>1.5706229426760674</v>
      </c>
      <c r="T386" s="17" t="str">
        <f t="shared" si="224"/>
        <v>1+0.109133047065868i</v>
      </c>
      <c r="U386" s="17">
        <f t="shared" si="233"/>
        <v>1.0059373847123294</v>
      </c>
      <c r="V386" s="17">
        <f t="shared" si="234"/>
        <v>0.10870285804742219</v>
      </c>
      <c r="W386" s="31" t="str">
        <f t="shared" si="225"/>
        <v>1-1.89512242008688i</v>
      </c>
      <c r="X386" s="17">
        <f t="shared" si="235"/>
        <v>2.1427760002193308</v>
      </c>
      <c r="Y386" s="17">
        <f t="shared" si="236"/>
        <v>-1.0852582235396091</v>
      </c>
      <c r="Z386" s="31" t="str">
        <f t="shared" si="226"/>
        <v>0.242688379250322+9.06752821796825i</v>
      </c>
      <c r="AA386" s="17">
        <f t="shared" si="237"/>
        <v>9.0707753600821608</v>
      </c>
      <c r="AB386" s="17">
        <f t="shared" si="238"/>
        <v>1.5440381575279327</v>
      </c>
      <c r="AC386" s="66" t="str">
        <f t="shared" si="239"/>
        <v>-0.0131208969804758+0.0183334535724509i</v>
      </c>
      <c r="AD386" s="64">
        <f t="shared" si="240"/>
        <v>-32.939025689855882</v>
      </c>
      <c r="AE386" s="61">
        <f t="shared" si="241"/>
        <v>125.59056344117941</v>
      </c>
      <c r="AF386" s="31" t="str">
        <f t="shared" si="227"/>
        <v>-0.000106860158311346</v>
      </c>
      <c r="AG386" s="31" t="str">
        <f t="shared" si="228"/>
        <v>0.00138938256240889i</v>
      </c>
      <c r="AH386" s="31">
        <f t="shared" si="242"/>
        <v>1.3893825624088901E-3</v>
      </c>
      <c r="AI386" s="31">
        <f t="shared" si="243"/>
        <v>1.5707963267948966</v>
      </c>
      <c r="AJ386" s="31" t="str">
        <f t="shared" si="229"/>
        <v>1+21.9339193525843i</v>
      </c>
      <c r="AK386" s="31">
        <f t="shared" si="244"/>
        <v>21.956703262686592</v>
      </c>
      <c r="AL386" s="31">
        <f t="shared" si="245"/>
        <v>1.5252363889868314</v>
      </c>
      <c r="AM386" s="31" t="str">
        <f t="shared" si="230"/>
        <v>1+140.742649179082i</v>
      </c>
      <c r="AN386" s="31">
        <f t="shared" si="246"/>
        <v>140.74620171765261</v>
      </c>
      <c r="AO386" s="31">
        <f t="shared" si="247"/>
        <v>1.5636912795434494</v>
      </c>
      <c r="AP386" s="58" t="str">
        <f t="shared" si="248"/>
        <v>-0.0189543133953641+0.492654357409426i</v>
      </c>
      <c r="AQ386" s="49">
        <f t="shared" si="249"/>
        <v>-6.1427295951723773</v>
      </c>
      <c r="AR386" s="61">
        <f t="shared" si="250"/>
        <v>92.203302930531692</v>
      </c>
      <c r="AS386" s="58" t="str">
        <f t="shared" si="251"/>
        <v>-0.00878335819543512-0.00681156509518317i</v>
      </c>
      <c r="AT386" s="64">
        <f t="shared" si="252"/>
        <v>-39.081755285028265</v>
      </c>
      <c r="AU386" s="61">
        <f t="shared" si="253"/>
        <v>-142.20613362828891</v>
      </c>
    </row>
    <row r="387" spans="14:47" x14ac:dyDescent="0.35">
      <c r="N387" s="10">
        <v>69</v>
      </c>
      <c r="O387" s="50">
        <f t="shared" si="254"/>
        <v>48977.881936844598</v>
      </c>
      <c r="P387" s="48" t="str">
        <f t="shared" si="222"/>
        <v>547.187404092767</v>
      </c>
      <c r="Q387" s="17" t="str">
        <f t="shared" si="223"/>
        <v>1+5901.88414565836i</v>
      </c>
      <c r="R387" s="17">
        <f t="shared" si="231"/>
        <v>5901.8842303770671</v>
      </c>
      <c r="S387" s="17">
        <f t="shared" si="232"/>
        <v>1.5706268893803776</v>
      </c>
      <c r="T387" s="17" t="str">
        <f t="shared" si="224"/>
        <v>1+0.111675082288748i</v>
      </c>
      <c r="U387" s="17">
        <f t="shared" si="233"/>
        <v>1.0062163405571383</v>
      </c>
      <c r="V387" s="17">
        <f t="shared" si="234"/>
        <v>0.1112142801150746</v>
      </c>
      <c r="W387" s="31" t="str">
        <f t="shared" si="225"/>
        <v>1-1.93926549198904i</v>
      </c>
      <c r="X387" s="17">
        <f t="shared" si="235"/>
        <v>2.1819144457149307</v>
      </c>
      <c r="Y387" s="17">
        <f t="shared" si="236"/>
        <v>-1.094700017389626</v>
      </c>
      <c r="Z387" s="31" t="str">
        <f t="shared" si="226"/>
        <v>0.206997382142319+9.27873808275489i</v>
      </c>
      <c r="AA387" s="17">
        <f t="shared" si="237"/>
        <v>9.2810467256974665</v>
      </c>
      <c r="AB387" s="17">
        <f t="shared" si="238"/>
        <v>1.548491240593745</v>
      </c>
      <c r="AC387" s="66" t="str">
        <f t="shared" si="239"/>
        <v>-0.0125602454641885+0.0179791904877173i</v>
      </c>
      <c r="AD387" s="64">
        <f t="shared" si="240"/>
        <v>-33.178449406431831</v>
      </c>
      <c r="AE387" s="61">
        <f t="shared" si="241"/>
        <v>124.9381133926012</v>
      </c>
      <c r="AF387" s="31" t="str">
        <f t="shared" si="227"/>
        <v>-0.000106860158311346</v>
      </c>
      <c r="AG387" s="31" t="str">
        <f t="shared" si="228"/>
        <v>0.0014217454397101i</v>
      </c>
      <c r="AH387" s="31">
        <f t="shared" si="242"/>
        <v>1.4217454397101E-3</v>
      </c>
      <c r="AI387" s="31">
        <f t="shared" si="243"/>
        <v>1.5707963267948966</v>
      </c>
      <c r="AJ387" s="31" t="str">
        <f t="shared" si="229"/>
        <v>1+22.4448259667507i</v>
      </c>
      <c r="AK387" s="31">
        <f t="shared" si="244"/>
        <v>22.46709177169414</v>
      </c>
      <c r="AL387" s="31">
        <f t="shared" si="245"/>
        <v>1.5262720738068332</v>
      </c>
      <c r="AM387" s="31" t="str">
        <f t="shared" si="230"/>
        <v>1+144.020966619983i</v>
      </c>
      <c r="AN387" s="31">
        <f t="shared" si="246"/>
        <v>144.02443829487501</v>
      </c>
      <c r="AO387" s="31">
        <f t="shared" si="247"/>
        <v>1.5638530049056565</v>
      </c>
      <c r="AP387" s="58" t="str">
        <f t="shared" si="248"/>
        <v>-0.0181029188112058+0.481478107903822i</v>
      </c>
      <c r="AQ387" s="49">
        <f t="shared" si="249"/>
        <v>-6.3423339964670973</v>
      </c>
      <c r="AR387" s="61">
        <f t="shared" si="250"/>
        <v>92.153228742134502</v>
      </c>
      <c r="AS387" s="58" t="str">
        <f t="shared" si="251"/>
        <v>-0.0084292095137815-0.00637295904659539i</v>
      </c>
      <c r="AT387" s="64">
        <f t="shared" si="252"/>
        <v>-39.520783402898928</v>
      </c>
      <c r="AU387" s="61">
        <f t="shared" si="253"/>
        <v>-142.9086578652643</v>
      </c>
    </row>
    <row r="388" spans="14:47" x14ac:dyDescent="0.35">
      <c r="N388" s="10">
        <v>70</v>
      </c>
      <c r="O388" s="50">
        <f t="shared" si="254"/>
        <v>50118.723362727294</v>
      </c>
      <c r="P388" s="48" t="str">
        <f t="shared" si="222"/>
        <v>547.187404092767</v>
      </c>
      <c r="Q388" s="17" t="str">
        <f t="shared" si="223"/>
        <v>1+6039.35668750509i</v>
      </c>
      <c r="R388" s="17">
        <f t="shared" si="231"/>
        <v>6039.3567702953651</v>
      </c>
      <c r="S388" s="17">
        <f t="shared" si="232"/>
        <v>1.570630746246735</v>
      </c>
      <c r="T388" s="17" t="str">
        <f t="shared" si="224"/>
        <v>1+0.114276329118453i</v>
      </c>
      <c r="U388" s="17">
        <f t="shared" si="233"/>
        <v>1.0065083603213583</v>
      </c>
      <c r="V388" s="17">
        <f t="shared" si="234"/>
        <v>0.11378274296798915</v>
      </c>
      <c r="W388" s="31" t="str">
        <f t="shared" si="225"/>
        <v>1-1.98443678812428i</v>
      </c>
      <c r="X388" s="17">
        <f t="shared" si="235"/>
        <v>2.2221587175674489</v>
      </c>
      <c r="Y388" s="17">
        <f t="shared" si="236"/>
        <v>-1.1040165871926759</v>
      </c>
      <c r="Z388" s="31" t="str">
        <f t="shared" si="226"/>
        <v>0.16962432016212+9.49486765729165i</v>
      </c>
      <c r="AA388" s="17">
        <f t="shared" si="237"/>
        <v>9.4963826923452004</v>
      </c>
      <c r="AB388" s="17">
        <f t="shared" si="238"/>
        <v>1.552933383951443</v>
      </c>
      <c r="AC388" s="66" t="str">
        <f t="shared" si="239"/>
        <v>-0.0120242337550651+0.0176290231966915i</v>
      </c>
      <c r="AD388" s="64">
        <f t="shared" si="240"/>
        <v>-33.416406807572152</v>
      </c>
      <c r="AE388" s="61">
        <f t="shared" si="241"/>
        <v>124.29673829610275</v>
      </c>
      <c r="AF388" s="31" t="str">
        <f t="shared" si="227"/>
        <v>-0.000106860158311346</v>
      </c>
      <c r="AG388" s="31" t="str">
        <f t="shared" si="228"/>
        <v>0.00145486214526246i</v>
      </c>
      <c r="AH388" s="31">
        <f t="shared" si="242"/>
        <v>1.45486214526246E-3</v>
      </c>
      <c r="AI388" s="31">
        <f t="shared" si="243"/>
        <v>1.5707963267948966</v>
      </c>
      <c r="AJ388" s="31" t="str">
        <f t="shared" si="229"/>
        <v>1+22.9676331247371i</v>
      </c>
      <c r="AK388" s="31">
        <f t="shared" si="244"/>
        <v>22.989392583374645</v>
      </c>
      <c r="AL388" s="31">
        <f t="shared" si="245"/>
        <v>1.527284275928479</v>
      </c>
      <c r="AM388" s="31" t="str">
        <f t="shared" si="230"/>
        <v>1+147.37564588373i</v>
      </c>
      <c r="AN388" s="31">
        <f t="shared" si="246"/>
        <v>147.37903853549386</v>
      </c>
      <c r="AO388" s="31">
        <f t="shared" si="247"/>
        <v>1.5640110493001451</v>
      </c>
      <c r="AP388" s="58" t="str">
        <f t="shared" si="248"/>
        <v>-0.0172896948712371+0.470553735508846i</v>
      </c>
      <c r="AQ388" s="49">
        <f t="shared" si="249"/>
        <v>-6.5419561673163447</v>
      </c>
      <c r="AR388" s="61">
        <f t="shared" si="250"/>
        <v>92.104289109329926</v>
      </c>
      <c r="AS388" s="58" t="str">
        <f t="shared" si="251"/>
        <v>-0.00808750738588978-0.0059628485420262i</v>
      </c>
      <c r="AT388" s="64">
        <f t="shared" si="252"/>
        <v>-39.958362974888487</v>
      </c>
      <c r="AU388" s="61">
        <f t="shared" si="253"/>
        <v>-143.59897259456733</v>
      </c>
    </row>
    <row r="389" spans="14:47" x14ac:dyDescent="0.35">
      <c r="N389" s="10">
        <v>71</v>
      </c>
      <c r="O389" s="50">
        <f t="shared" si="254"/>
        <v>51286.138399136544</v>
      </c>
      <c r="P389" s="48" t="str">
        <f t="shared" si="222"/>
        <v>547.187404092767</v>
      </c>
      <c r="Q389" s="17" t="str">
        <f t="shared" si="223"/>
        <v>1+6180.03137620789i</v>
      </c>
      <c r="R389" s="17">
        <f t="shared" si="231"/>
        <v>6180.0314571136278</v>
      </c>
      <c r="S389" s="17">
        <f t="shared" si="232"/>
        <v>1.5706345153201002</v>
      </c>
      <c r="T389" s="17" t="str">
        <f t="shared" si="224"/>
        <v>1+0.116938166770482i</v>
      </c>
      <c r="U389" s="17">
        <f t="shared" si="233"/>
        <v>1.0068140517730377</v>
      </c>
      <c r="V389" s="17">
        <f t="shared" si="234"/>
        <v>0.11640947281254119</v>
      </c>
      <c r="W389" s="31" t="str">
        <f t="shared" si="225"/>
        <v>1-2.03066025891171i</v>
      </c>
      <c r="X389" s="17">
        <f t="shared" si="235"/>
        <v>2.2635328774116297</v>
      </c>
      <c r="Y389" s="17">
        <f t="shared" si="236"/>
        <v>-1.1132064024973607</v>
      </c>
      <c r="Z389" s="31" t="str">
        <f t="shared" si="226"/>
        <v>0.130489920034579+9.71603153633975i</v>
      </c>
      <c r="AA389" s="17">
        <f t="shared" si="237"/>
        <v>9.7169077609278141</v>
      </c>
      <c r="AB389" s="17">
        <f t="shared" si="238"/>
        <v>1.5573667619881606</v>
      </c>
      <c r="AC389" s="66" t="str">
        <f t="shared" si="239"/>
        <v>-0.0115118021621748+0.0172831207168641i</v>
      </c>
      <c r="AD389" s="64">
        <f t="shared" si="240"/>
        <v>-33.652931981232186</v>
      </c>
      <c r="AE389" s="61">
        <f t="shared" si="241"/>
        <v>123.66647139616707</v>
      </c>
      <c r="AF389" s="31" t="str">
        <f t="shared" si="227"/>
        <v>-0.000106860158311346</v>
      </c>
      <c r="AG389" s="31" t="str">
        <f t="shared" si="228"/>
        <v>0.00148875023798162i</v>
      </c>
      <c r="AH389" s="31">
        <f t="shared" si="242"/>
        <v>1.4887502379816199E-3</v>
      </c>
      <c r="AI389" s="31">
        <f t="shared" si="243"/>
        <v>1.5707963267948966</v>
      </c>
      <c r="AJ389" s="31" t="str">
        <f t="shared" si="229"/>
        <v>1+23.5026180258189i</v>
      </c>
      <c r="AK389" s="31">
        <f t="shared" si="244"/>
        <v>23.523882631647936</v>
      </c>
      <c r="AL389" s="31">
        <f t="shared" si="245"/>
        <v>1.5282735237335694</v>
      </c>
      <c r="AM389" s="31" t="str">
        <f t="shared" si="230"/>
        <v>1+150.808465665671i</v>
      </c>
      <c r="AN389" s="31">
        <f t="shared" si="246"/>
        <v>150.81178109296991</v>
      </c>
      <c r="AO389" s="31">
        <f t="shared" si="247"/>
        <v>1.5641654964925464</v>
      </c>
      <c r="AP389" s="58" t="str">
        <f t="shared" si="248"/>
        <v>-0.0165129366369629+0.459875674658992i</v>
      </c>
      <c r="AQ389" s="49">
        <f t="shared" si="249"/>
        <v>-6.7415953110606255</v>
      </c>
      <c r="AR389" s="61">
        <f t="shared" si="250"/>
        <v>92.056458557487886</v>
      </c>
      <c r="AS389" s="58" t="str">
        <f t="shared" si="251"/>
        <v>-0.00775799314019943-0.00557939286315754i</v>
      </c>
      <c r="AT389" s="64">
        <f t="shared" si="252"/>
        <v>-40.394527292292814</v>
      </c>
      <c r="AU389" s="61">
        <f t="shared" si="253"/>
        <v>-144.27707004634502</v>
      </c>
    </row>
    <row r="390" spans="14:47" x14ac:dyDescent="0.35">
      <c r="N390" s="10">
        <v>72</v>
      </c>
      <c r="O390" s="50">
        <f t="shared" si="254"/>
        <v>52480.746024977314</v>
      </c>
      <c r="P390" s="48" t="str">
        <f t="shared" si="222"/>
        <v>547.187404092767</v>
      </c>
      <c r="Q390" s="17" t="str">
        <f t="shared" si="223"/>
        <v>1+6323.98279934871i</v>
      </c>
      <c r="R390" s="17">
        <f t="shared" si="231"/>
        <v>6323.9828784128085</v>
      </c>
      <c r="S390" s="17">
        <f t="shared" si="232"/>
        <v>1.5706381985988858</v>
      </c>
      <c r="T390" s="17" t="str">
        <f t="shared" si="224"/>
        <v>1+0.119662006586393i</v>
      </c>
      <c r="U390" s="17">
        <f t="shared" si="233"/>
        <v>1.0071340505713637</v>
      </c>
      <c r="V390" s="17">
        <f t="shared" si="234"/>
        <v>0.11909571730798749</v>
      </c>
      <c r="W390" s="31" t="str">
        <f t="shared" si="225"/>
        <v>1-2.07796041264737i</v>
      </c>
      <c r="X390" s="17">
        <f t="shared" si="235"/>
        <v>2.3060614641699444</v>
      </c>
      <c r="Y390" s="17">
        <f t="shared" si="236"/>
        <v>-1.1222681260832408</v>
      </c>
      <c r="Z390" s="31" t="str">
        <f t="shared" si="226"/>
        <v>0.089511172450191+9.94234698391527i</v>
      </c>
      <c r="AA390" s="17">
        <f t="shared" si="237"/>
        <v>9.9427499112952891</v>
      </c>
      <c r="AB390" s="17">
        <f t="shared" si="238"/>
        <v>1.5617935476435096</v>
      </c>
      <c r="AC390" s="66" t="str">
        <f t="shared" si="239"/>
        <v>-0.0110219343615083+0.0169416314980982i</v>
      </c>
      <c r="AD390" s="64">
        <f t="shared" si="240"/>
        <v>-33.888059033352377</v>
      </c>
      <c r="AE390" s="61">
        <f t="shared" si="241"/>
        <v>123.04733618072156</v>
      </c>
      <c r="AF390" s="31" t="str">
        <f t="shared" si="227"/>
        <v>-0.000106860158311346</v>
      </c>
      <c r="AG390" s="31" t="str">
        <f t="shared" si="228"/>
        <v>0.0015234276857829i</v>
      </c>
      <c r="AH390" s="31">
        <f t="shared" si="242"/>
        <v>1.5234276857829E-3</v>
      </c>
      <c r="AI390" s="31">
        <f t="shared" si="243"/>
        <v>1.5707963267948966</v>
      </c>
      <c r="AJ390" s="31" t="str">
        <f t="shared" si="229"/>
        <v>1+24.0500643260718i</v>
      </c>
      <c r="AK390" s="31">
        <f t="shared" si="244"/>
        <v>24.070845313120838</v>
      </c>
      <c r="AL390" s="31">
        <f t="shared" si="245"/>
        <v>1.5292403339852612</v>
      </c>
      <c r="AM390" s="31" t="str">
        <f t="shared" si="230"/>
        <v>1+154.321246092294i</v>
      </c>
      <c r="AN390" s="31">
        <f t="shared" si="246"/>
        <v>154.32448605285671</v>
      </c>
      <c r="AO390" s="31">
        <f t="shared" si="247"/>
        <v>1.5643164283433155</v>
      </c>
      <c r="AP390" s="58" t="str">
        <f t="shared" si="248"/>
        <v>-0.0157710147635012+0.449438475348768i</v>
      </c>
      <c r="AQ390" s="49">
        <f t="shared" si="249"/>
        <v>-6.9412506666235618</v>
      </c>
      <c r="AR390" s="61">
        <f t="shared" si="250"/>
        <v>92.009712168519158</v>
      </c>
      <c r="AS390" s="58" t="str">
        <f t="shared" si="251"/>
        <v>-0.00744039394088823-0.00522086809530479i</v>
      </c>
      <c r="AT390" s="64">
        <f t="shared" si="252"/>
        <v>-40.829309699975944</v>
      </c>
      <c r="AU390" s="61">
        <f t="shared" si="253"/>
        <v>-144.94295165075928</v>
      </c>
    </row>
    <row r="391" spans="14:47" x14ac:dyDescent="0.35">
      <c r="N391" s="10">
        <v>73</v>
      </c>
      <c r="O391" s="50">
        <f t="shared" si="254"/>
        <v>53703.179637025423</v>
      </c>
      <c r="P391" s="48" t="str">
        <f t="shared" si="222"/>
        <v>547.187404092767</v>
      </c>
      <c r="Q391" s="17" t="str">
        <f t="shared" si="223"/>
        <v>1+6471.28728187757i</v>
      </c>
      <c r="R391" s="17">
        <f t="shared" si="231"/>
        <v>6471.2873591419511</v>
      </c>
      <c r="S391" s="17">
        <f t="shared" si="232"/>
        <v>1.5706417980360141</v>
      </c>
      <c r="T391" s="17" t="str">
        <f t="shared" si="224"/>
        <v>1+0.122449292782109i</v>
      </c>
      <c r="U391" s="17">
        <f t="shared" si="233"/>
        <v>1.0074690215102591</v>
      </c>
      <c r="V391" s="17">
        <f t="shared" si="234"/>
        <v>0.12184274558364937</v>
      </c>
      <c r="W391" s="31" t="str">
        <f t="shared" si="225"/>
        <v>1-2.12636232849888i</v>
      </c>
      <c r="X391" s="17">
        <f t="shared" si="235"/>
        <v>2.3497695104114316</v>
      </c>
      <c r="Y391" s="17">
        <f t="shared" si="236"/>
        <v>-1.1312006088059667</v>
      </c>
      <c r="Z391" s="31" t="str">
        <f t="shared" si="226"/>
        <v>0.046601155991201+10.1739339954642i</v>
      </c>
      <c r="AA391" s="17">
        <f t="shared" si="237"/>
        <v>10.17404072194533</v>
      </c>
      <c r="AB391" s="17">
        <f t="shared" si="238"/>
        <v>1.5662159127573072</v>
      </c>
      <c r="AC391" s="66" t="str">
        <f t="shared" si="239"/>
        <v>-0.0105536558071769+0.0166046849330108i</v>
      </c>
      <c r="AD391" s="64">
        <f t="shared" si="240"/>
        <v>-34.121821997613246</v>
      </c>
      <c r="AE391" s="61">
        <f t="shared" si="241"/>
        <v>122.43934665749187</v>
      </c>
      <c r="AF391" s="31" t="str">
        <f t="shared" si="227"/>
        <v>-0.000106860158311346</v>
      </c>
      <c r="AG391" s="31" t="str">
        <f t="shared" si="228"/>
        <v>0.00155891287510813i</v>
      </c>
      <c r="AH391" s="31">
        <f t="shared" si="242"/>
        <v>1.55891287510813E-3</v>
      </c>
      <c r="AI391" s="31">
        <f t="shared" si="243"/>
        <v>1.5707963267948966</v>
      </c>
      <c r="AJ391" s="31" t="str">
        <f t="shared" si="229"/>
        <v>1+24.6102622887706i</v>
      </c>
      <c r="AK391" s="31">
        <f t="shared" si="244"/>
        <v>24.630570637362105</v>
      </c>
      <c r="AL391" s="31">
        <f t="shared" si="245"/>
        <v>1.5301852120654362</v>
      </c>
      <c r="AM391" s="31" t="str">
        <f t="shared" si="230"/>
        <v>1+157.915849686278i</v>
      </c>
      <c r="AN391" s="31">
        <f t="shared" si="246"/>
        <v>157.91901589783018</v>
      </c>
      <c r="AO391" s="31">
        <f t="shared" si="247"/>
        <v>1.5644639248509957</v>
      </c>
      <c r="AP391" s="58" t="str">
        <f t="shared" si="248"/>
        <v>-0.0150623721971267+0.439236801236702i</v>
      </c>
      <c r="AQ391" s="49">
        <f t="shared" si="249"/>
        <v>-7.140921506934637</v>
      </c>
      <c r="AR391" s="61">
        <f t="shared" si="250"/>
        <v>91.964025569753673</v>
      </c>
      <c r="AS391" s="58" t="str">
        <f t="shared" si="251"/>
        <v>-0.00713442560371086-0.00488565996277456i</v>
      </c>
      <c r="AT391" s="64">
        <f t="shared" si="252"/>
        <v>-41.262743504547885</v>
      </c>
      <c r="AU391" s="61">
        <f t="shared" si="253"/>
        <v>-145.59662777275443</v>
      </c>
    </row>
    <row r="392" spans="14:47" x14ac:dyDescent="0.35">
      <c r="N392" s="10">
        <v>74</v>
      </c>
      <c r="O392" s="50">
        <f t="shared" si="254"/>
        <v>54954.087385762505</v>
      </c>
      <c r="P392" s="48" t="str">
        <f t="shared" si="222"/>
        <v>547.187404092767</v>
      </c>
      <c r="Q392" s="17" t="str">
        <f t="shared" si="223"/>
        <v>1+6622.02292658087i</v>
      </c>
      <c r="R392" s="17">
        <f t="shared" si="231"/>
        <v>6622.0230020864974</v>
      </c>
      <c r="S392" s="17">
        <f t="shared" si="232"/>
        <v>1.5706453155399545</v>
      </c>
      <c r="T392" s="17" t="str">
        <f t="shared" si="224"/>
        <v>1+0.125301503213666i</v>
      </c>
      <c r="U392" s="17">
        <f t="shared" si="233"/>
        <v>1.0078196598139988</v>
      </c>
      <c r="V392" s="17">
        <f t="shared" si="234"/>
        <v>0.12465184822505548</v>
      </c>
      <c r="W392" s="31" t="str">
        <f t="shared" si="225"/>
        <v>1-2.17589166980269i</v>
      </c>
      <c r="X392" s="17">
        <f t="shared" si="235"/>
        <v>2.3946825590705627</v>
      </c>
      <c r="Y392" s="17">
        <f t="shared" si="236"/>
        <v>-1.1400028840576253</v>
      </c>
      <c r="Z392" s="31" t="str">
        <f t="shared" si="226"/>
        <v>0.001668852759658+10.4109153614854i</v>
      </c>
      <c r="AA392" s="17">
        <f t="shared" si="237"/>
        <v>10.410915495242588</v>
      </c>
      <c r="AB392" s="17">
        <f t="shared" si="238"/>
        <v>1.5706360284265575</v>
      </c>
      <c r="AC392" s="66" t="str">
        <f t="shared" si="239"/>
        <v>-0.0101060321836978+0.016272392771226i</v>
      </c>
      <c r="AD392" s="64">
        <f t="shared" si="240"/>
        <v>-34.354254750285698</v>
      </c>
      <c r="AE392" s="61">
        <f t="shared" si="241"/>
        <v>121.84250765009325</v>
      </c>
      <c r="AF392" s="31" t="str">
        <f t="shared" si="227"/>
        <v>-0.000106860158311346</v>
      </c>
      <c r="AG392" s="31" t="str">
        <f t="shared" si="228"/>
        <v>0.00159522462067439i</v>
      </c>
      <c r="AH392" s="31">
        <f t="shared" si="242"/>
        <v>1.59522462067439E-3</v>
      </c>
      <c r="AI392" s="31">
        <f t="shared" si="243"/>
        <v>1.5707963267948966</v>
      </c>
      <c r="AJ392" s="31" t="str">
        <f t="shared" si="229"/>
        <v>1+25.1835089382903i</v>
      </c>
      <c r="AK392" s="31">
        <f t="shared" si="244"/>
        <v>25.203355380681906</v>
      </c>
      <c r="AL392" s="31">
        <f t="shared" si="245"/>
        <v>1.5311086522084569</v>
      </c>
      <c r="AM392" s="31" t="str">
        <f t="shared" si="230"/>
        <v>1+161.594182354029i</v>
      </c>
      <c r="AN392" s="31">
        <f t="shared" si="246"/>
        <v>161.59727649520329</v>
      </c>
      <c r="AO392" s="31">
        <f t="shared" si="247"/>
        <v>1.5646080641945024</v>
      </c>
      <c r="AP392" s="58" t="str">
        <f t="shared" si="248"/>
        <v>-0.0143855210127464+0.429265427744404i</v>
      </c>
      <c r="AQ392" s="49">
        <f t="shared" si="249"/>
        <v>-7.3406071374202462</v>
      </c>
      <c r="AR392" s="61">
        <f t="shared" si="250"/>
        <v>91.919374922970349</v>
      </c>
      <c r="AS392" s="58" t="str">
        <f t="shared" si="251"/>
        <v>-0.0068397951050312-0.00457225707627188i</v>
      </c>
      <c r="AT392" s="64">
        <f t="shared" si="252"/>
        <v>-41.694861887705947</v>
      </c>
      <c r="AU392" s="61">
        <f t="shared" si="253"/>
        <v>-146.23811742693641</v>
      </c>
    </row>
    <row r="393" spans="14:47" x14ac:dyDescent="0.35">
      <c r="N393" s="10">
        <v>75</v>
      </c>
      <c r="O393" s="50">
        <f t="shared" si="254"/>
        <v>56234.132519034953</v>
      </c>
      <c r="P393" s="48" t="str">
        <f t="shared" si="222"/>
        <v>547.187404092767</v>
      </c>
      <c r="Q393" s="17" t="str">
        <f t="shared" si="223"/>
        <v>1+6776.26965549269i</v>
      </c>
      <c r="R393" s="17">
        <f t="shared" si="231"/>
        <v>6776.2697292795992</v>
      </c>
      <c r="S393" s="17">
        <f t="shared" si="232"/>
        <v>1.5706487529757334</v>
      </c>
      <c r="T393" s="17" t="str">
        <f t="shared" si="224"/>
        <v>1+0.128220150160789i</v>
      </c>
      <c r="U393" s="17">
        <f t="shared" si="233"/>
        <v>1.0081866924866918</v>
      </c>
      <c r="V393" s="17">
        <f t="shared" si="234"/>
        <v>0.12752433722640677</v>
      </c>
      <c r="W393" s="31" t="str">
        <f t="shared" si="225"/>
        <v>1-2.22657469767116i</v>
      </c>
      <c r="X393" s="17">
        <f t="shared" si="235"/>
        <v>2.4408266805140872</v>
      </c>
      <c r="Y393" s="17">
        <f t="shared" si="236"/>
        <v>-1.1486741618954945</v>
      </c>
      <c r="Z393" s="31" t="str">
        <f t="shared" si="226"/>
        <v>-0.0453810446837699+10.6534167326361i</v>
      </c>
      <c r="AA393" s="17">
        <f t="shared" si="237"/>
        <v>10.653513388475533</v>
      </c>
      <c r="AB393" s="17">
        <f t="shared" si="238"/>
        <v>1.5750560653686343</v>
      </c>
      <c r="AC393" s="66" t="str">
        <f t="shared" si="239"/>
        <v>-0.0096781678999736+0.0159448504429879i</v>
      </c>
      <c r="AD393" s="64">
        <f t="shared" si="240"/>
        <v>-34.585390930235278</v>
      </c>
      <c r="AE393" s="61">
        <f t="shared" si="241"/>
        <v>121.25681511083774</v>
      </c>
      <c r="AF393" s="31" t="str">
        <f t="shared" si="227"/>
        <v>-0.000106860158311346</v>
      </c>
      <c r="AG393" s="31" t="str">
        <f t="shared" si="228"/>
        <v>0.00163238217544983i</v>
      </c>
      <c r="AH393" s="31">
        <f t="shared" si="242"/>
        <v>1.6323821754498299E-3</v>
      </c>
      <c r="AI393" s="31">
        <f t="shared" si="243"/>
        <v>1.5707963267948966</v>
      </c>
      <c r="AJ393" s="31" t="str">
        <f t="shared" si="229"/>
        <v>1+25.7701082175921i</v>
      </c>
      <c r="AK393" s="31">
        <f t="shared" si="244"/>
        <v>25.789503243498274</v>
      </c>
      <c r="AL393" s="31">
        <f t="shared" si="245"/>
        <v>1.5320111377312702</v>
      </c>
      <c r="AM393" s="31" t="str">
        <f t="shared" si="230"/>
        <v>1+165.358194396216i</v>
      </c>
      <c r="AN393" s="31">
        <f t="shared" si="246"/>
        <v>165.36121810744126</v>
      </c>
      <c r="AO393" s="31">
        <f t="shared" si="247"/>
        <v>1.564748922774452</v>
      </c>
      <c r="AP393" s="58" t="str">
        <f t="shared" si="248"/>
        <v>-0.0137390393857614+0.419519240153868i</v>
      </c>
      <c r="AQ393" s="49">
        <f t="shared" si="249"/>
        <v>-7.5403068945610325</v>
      </c>
      <c r="AR393" s="61">
        <f t="shared" si="250"/>
        <v>91.875736913580823</v>
      </c>
      <c r="AS393" s="58" t="str">
        <f t="shared" si="251"/>
        <v>-0.0065562028122496-0.00427924457171477i</v>
      </c>
      <c r="AT393" s="64">
        <f t="shared" si="252"/>
        <v>-42.125697824796305</v>
      </c>
      <c r="AU393" s="61">
        <f t="shared" si="253"/>
        <v>-146.8674479755814</v>
      </c>
    </row>
    <row r="394" spans="14:47" x14ac:dyDescent="0.35">
      <c r="N394" s="10">
        <v>76</v>
      </c>
      <c r="O394" s="50">
        <f t="shared" si="254"/>
        <v>57543.993733715732</v>
      </c>
      <c r="P394" s="48" t="str">
        <f t="shared" si="222"/>
        <v>547.187404092767</v>
      </c>
      <c r="Q394" s="17" t="str">
        <f t="shared" si="223"/>
        <v>1+6934.1092522704i</v>
      </c>
      <c r="R394" s="17">
        <f t="shared" si="231"/>
        <v>6934.109324377715</v>
      </c>
      <c r="S394" s="17">
        <f t="shared" si="232"/>
        <v>1.5706521121659247</v>
      </c>
      <c r="T394" s="17" t="str">
        <f t="shared" si="224"/>
        <v>1+0.131206781128722i</v>
      </c>
      <c r="U394" s="17">
        <f t="shared" si="233"/>
        <v>1.0085708797175141</v>
      </c>
      <c r="V394" s="17">
        <f t="shared" si="234"/>
        <v>0.13046154590660008</v>
      </c>
      <c r="W394" s="31" t="str">
        <f t="shared" si="225"/>
        <v>1-2.27843828491653i</v>
      </c>
      <c r="X394" s="17">
        <f t="shared" si="235"/>
        <v>2.4882284899448801</v>
      </c>
      <c r="Y394" s="17">
        <f t="shared" si="236"/>
        <v>-1.1572138228906983</v>
      </c>
      <c r="Z394" s="31" t="str">
        <f t="shared" si="226"/>
        <v>-0.0946483354796499+10.901566686353i</v>
      </c>
      <c r="AA394" s="17">
        <f t="shared" si="237"/>
        <v>10.901977551087262</v>
      </c>
      <c r="AB394" s="17">
        <f t="shared" si="238"/>
        <v>1.5794781942876057</v>
      </c>
      <c r="AC394" s="66" t="str">
        <f t="shared" si="239"/>
        <v>-0.00926920462536134+0.0156221382973624i</v>
      </c>
      <c r="AD394" s="64">
        <f t="shared" si="240"/>
        <v>-34.815263864096899</v>
      </c>
      <c r="AE394" s="61">
        <f t="shared" si="241"/>
        <v>120.68225644732401</v>
      </c>
      <c r="AF394" s="31" t="str">
        <f t="shared" si="227"/>
        <v>-0.000106860158311346</v>
      </c>
      <c r="AG394" s="31" t="str">
        <f t="shared" si="228"/>
        <v>0.00167040524086182i</v>
      </c>
      <c r="AH394" s="31">
        <f t="shared" si="242"/>
        <v>1.6704052408618201E-3</v>
      </c>
      <c r="AI394" s="31">
        <f t="shared" si="243"/>
        <v>1.5707963267948966</v>
      </c>
      <c r="AJ394" s="31" t="str">
        <f t="shared" si="229"/>
        <v>1+26.3703711493787i</v>
      </c>
      <c r="AK394" s="31">
        <f t="shared" si="244"/>
        <v>26.389325011375046</v>
      </c>
      <c r="AL394" s="31">
        <f t="shared" si="245"/>
        <v>1.5328931412598397</v>
      </c>
      <c r="AM394" s="31" t="str">
        <f t="shared" si="230"/>
        <v>1+169.209881541846i</v>
      </c>
      <c r="AN394" s="31">
        <f t="shared" si="246"/>
        <v>169.21283642621663</v>
      </c>
      <c r="AO394" s="31">
        <f t="shared" si="247"/>
        <v>1.564886575253557</v>
      </c>
      <c r="AP394" s="58" t="str">
        <f t="shared" si="248"/>
        <v>-0.0131215686929578+0.409993231705982i</v>
      </c>
      <c r="AQ394" s="49">
        <f t="shared" si="249"/>
        <v>-7.740020144512469</v>
      </c>
      <c r="AR394" s="61">
        <f t="shared" si="250"/>
        <v>91.833088739970378</v>
      </c>
      <c r="AS394" s="58" t="str">
        <f t="shared" si="251"/>
        <v>-0.00628334446147264-0.00400529812049566i</v>
      </c>
      <c r="AT394" s="64">
        <f t="shared" si="252"/>
        <v>-42.555284008609362</v>
      </c>
      <c r="AU394" s="61">
        <f t="shared" si="253"/>
        <v>-147.48465481270563</v>
      </c>
    </row>
    <row r="395" spans="14:47" x14ac:dyDescent="0.35">
      <c r="N395" s="10">
        <v>77</v>
      </c>
      <c r="O395" s="50">
        <f t="shared" si="254"/>
        <v>58884.365535558936</v>
      </c>
      <c r="P395" s="48" t="str">
        <f t="shared" si="222"/>
        <v>547.187404092767</v>
      </c>
      <c r="Q395" s="17" t="str">
        <f t="shared" si="223"/>
        <v>1+7095.62540555744i</v>
      </c>
      <c r="R395" s="17">
        <f t="shared" si="231"/>
        <v>7095.6254760233915</v>
      </c>
      <c r="S395" s="17">
        <f t="shared" si="232"/>
        <v>1.5706553948916149</v>
      </c>
      <c r="T395" s="17" t="str">
        <f t="shared" si="224"/>
        <v>1+0.134262979668736i</v>
      </c>
      <c r="U395" s="17">
        <f t="shared" si="233"/>
        <v>1.0089730163436124</v>
      </c>
      <c r="V395" s="17">
        <f t="shared" si="234"/>
        <v>0.13346482878587262</v>
      </c>
      <c r="W395" s="31" t="str">
        <f t="shared" si="225"/>
        <v>1-2.33150993029927i</v>
      </c>
      <c r="X395" s="17">
        <f t="shared" si="235"/>
        <v>2.5369151651334554</v>
      </c>
      <c r="Y395" s="17">
        <f t="shared" si="236"/>
        <v>-1.1656214117463159</v>
      </c>
      <c r="Z395" s="31" t="str">
        <f t="shared" si="226"/>
        <v>-0.14623752215713+11.1554967950264i</v>
      </c>
      <c r="AA395" s="17">
        <f t="shared" si="237"/>
        <v>11.156455268441269</v>
      </c>
      <c r="AB395" s="17">
        <f t="shared" si="238"/>
        <v>1.5839045862406658</v>
      </c>
      <c r="AC395" s="66" t="str">
        <f t="shared" si="239"/>
        <v>-0.00887831986802642+0.015304322759997i</v>
      </c>
      <c r="AD395" s="64">
        <f t="shared" si="240"/>
        <v>-35.043906496603164</v>
      </c>
      <c r="AE395" s="61">
        <f t="shared" si="241"/>
        <v>120.11881085997368</v>
      </c>
      <c r="AF395" s="31" t="str">
        <f t="shared" si="227"/>
        <v>-0.000106860158311346</v>
      </c>
      <c r="AG395" s="31" t="str">
        <f t="shared" si="228"/>
        <v>0.00170931397724295i</v>
      </c>
      <c r="AH395" s="31">
        <f t="shared" si="242"/>
        <v>1.70931397724295E-3</v>
      </c>
      <c r="AI395" s="31">
        <f t="shared" si="243"/>
        <v>1.5707963267948966</v>
      </c>
      <c r="AJ395" s="31" t="str">
        <f t="shared" si="229"/>
        <v>1+26.9846160010018i</v>
      </c>
      <c r="AK395" s="31">
        <f t="shared" si="244"/>
        <v>27.003138719814078</v>
      </c>
      <c r="AL395" s="31">
        <f t="shared" si="245"/>
        <v>1.5337551249518815</v>
      </c>
      <c r="AM395" s="31" t="str">
        <f t="shared" si="230"/>
        <v>1+173.151286006428i</v>
      </c>
      <c r="AN395" s="31">
        <f t="shared" si="246"/>
        <v>173.15417363055337</v>
      </c>
      <c r="AO395" s="31">
        <f t="shared" si="247"/>
        <v>1.5650210945961063</v>
      </c>
      <c r="AP395" s="58" t="str">
        <f t="shared" si="248"/>
        <v>-0.0125318107372539+0.40068250170298i</v>
      </c>
      <c r="AQ395" s="49">
        <f t="shared" si="249"/>
        <v>-7.9397462817855047</v>
      </c>
      <c r="AR395" s="61">
        <f t="shared" si="250"/>
        <v>91.791408102998233</v>
      </c>
      <c r="AS395" s="58" t="str">
        <f t="shared" si="251"/>
        <v>-0.00602091290609454-0.00374917829193023i</v>
      </c>
      <c r="AT395" s="64">
        <f t="shared" si="252"/>
        <v>-42.983652778388674</v>
      </c>
      <c r="AU395" s="61">
        <f t="shared" si="253"/>
        <v>-148.08978103702805</v>
      </c>
    </row>
    <row r="396" spans="14:47" x14ac:dyDescent="0.35">
      <c r="N396" s="10">
        <v>78</v>
      </c>
      <c r="O396" s="50">
        <f t="shared" si="254"/>
        <v>60255.95860743591</v>
      </c>
      <c r="P396" s="48" t="str">
        <f t="shared" si="222"/>
        <v>547.187404092767</v>
      </c>
      <c r="Q396" s="17" t="str">
        <f t="shared" si="223"/>
        <v>1+7260.90375335623i</v>
      </c>
      <c r="R396" s="17">
        <f t="shared" si="231"/>
        <v>7260.9038222181798</v>
      </c>
      <c r="S396" s="17">
        <f t="shared" si="232"/>
        <v>1.5706586028933485</v>
      </c>
      <c r="T396" s="17" t="str">
        <f t="shared" si="224"/>
        <v>1+0.137390366217751i</v>
      </c>
      <c r="U396" s="17">
        <f t="shared" si="233"/>
        <v>1.0093939333726192</v>
      </c>
      <c r="V396" s="17">
        <f t="shared" si="234"/>
        <v>0.13653556141996417</v>
      </c>
      <c r="W396" s="31" t="str">
        <f t="shared" si="225"/>
        <v>1-2.38581777310824i</v>
      </c>
      <c r="X396" s="17">
        <f t="shared" si="235"/>
        <v>2.5869144644690443</v>
      </c>
      <c r="Y396" s="17">
        <f t="shared" si="236"/>
        <v>-1.1738966307322058</v>
      </c>
      <c r="Z396" s="31" t="str">
        <f t="shared" si="226"/>
        <v>-0.20025803229786+11.4153416957609i</v>
      </c>
      <c r="AA396" s="17">
        <f t="shared" si="237"/>
        <v>11.41709811250114</v>
      </c>
      <c r="AB396" s="17">
        <f t="shared" si="238"/>
        <v>1.5883374130016499</v>
      </c>
      <c r="AC396" s="66" t="str">
        <f t="shared" si="239"/>
        <v>-0.00850472559561031+0.014991457415165i</v>
      </c>
      <c r="AD396" s="64">
        <f t="shared" si="240"/>
        <v>-35.271351326013161</v>
      </c>
      <c r="AE396" s="61">
        <f t="shared" si="241"/>
        <v>119.5664496878052</v>
      </c>
      <c r="AF396" s="31" t="str">
        <f t="shared" si="227"/>
        <v>-0.000106860158311346</v>
      </c>
      <c r="AG396" s="31" t="str">
        <f t="shared" si="228"/>
        <v>0.00174912901452025i</v>
      </c>
      <c r="AH396" s="31">
        <f t="shared" si="242"/>
        <v>1.7491290145202499E-3</v>
      </c>
      <c r="AI396" s="31">
        <f t="shared" si="243"/>
        <v>1.5707963267948966</v>
      </c>
      <c r="AJ396" s="31" t="str">
        <f t="shared" si="229"/>
        <v>1+27.6131684532123i</v>
      </c>
      <c r="AK396" s="31">
        <f t="shared" si="244"/>
        <v>27.631269822892303</v>
      </c>
      <c r="AL396" s="31">
        <f t="shared" si="245"/>
        <v>1.5345975407158934</v>
      </c>
      <c r="AM396" s="31" t="str">
        <f t="shared" si="230"/>
        <v>1+177.184497574779i</v>
      </c>
      <c r="AN396" s="31">
        <f t="shared" si="246"/>
        <v>177.18731946961347</v>
      </c>
      <c r="AO396" s="31">
        <f t="shared" si="247"/>
        <v>1.5651525521065504</v>
      </c>
      <c r="AP396" s="58" t="str">
        <f t="shared" si="248"/>
        <v>-0.0119685250912999+0.391582253617253i</v>
      </c>
      <c r="AQ396" s="49">
        <f t="shared" si="249"/>
        <v>-8.1394847279856659</v>
      </c>
      <c r="AR396" s="61">
        <f t="shared" si="250"/>
        <v>91.750673195658806</v>
      </c>
      <c r="AS396" s="58" t="str">
        <f t="shared" si="251"/>
        <v>-0.00576859965795171-0.00350972524935398i</v>
      </c>
      <c r="AT396" s="64">
        <f t="shared" si="252"/>
        <v>-43.410836053998821</v>
      </c>
      <c r="AU396" s="61">
        <f t="shared" si="253"/>
        <v>-148.68287711653599</v>
      </c>
    </row>
    <row r="397" spans="14:47" x14ac:dyDescent="0.35">
      <c r="N397" s="10">
        <v>79</v>
      </c>
      <c r="O397" s="50">
        <f t="shared" si="254"/>
        <v>61659.500186148245</v>
      </c>
      <c r="P397" s="48" t="str">
        <f t="shared" si="222"/>
        <v>547.187404092767</v>
      </c>
      <c r="Q397" s="17" t="str">
        <f t="shared" si="223"/>
        <v>1+7430.03192843444i</v>
      </c>
      <c r="R397" s="17">
        <f t="shared" si="231"/>
        <v>7430.0319957289003</v>
      </c>
      <c r="S397" s="17">
        <f t="shared" si="232"/>
        <v>1.5706617378720502</v>
      </c>
      <c r="T397" s="17" t="str">
        <f t="shared" si="224"/>
        <v>1+0.140590598957511i</v>
      </c>
      <c r="U397" s="17">
        <f t="shared" si="233"/>
        <v>1.0098344995667516</v>
      </c>
      <c r="V397" s="17">
        <f t="shared" si="234"/>
        <v>0.13967514018851182</v>
      </c>
      <c r="W397" s="31" t="str">
        <f t="shared" si="225"/>
        <v>1-2.44139060808053i</v>
      </c>
      <c r="X397" s="17">
        <f t="shared" si="235"/>
        <v>2.6382547453238514</v>
      </c>
      <c r="Y397" s="17">
        <f t="shared" si="236"/>
        <v>-1.1820393329813461</v>
      </c>
      <c r="Z397" s="31" t="str">
        <f t="shared" si="226"/>
        <v>-0.25682445064649+11.6812391617625i</v>
      </c>
      <c r="AA397" s="17">
        <f t="shared" si="237"/>
        <v>11.684062099832564</v>
      </c>
      <c r="AB397" s="17">
        <f t="shared" si="238"/>
        <v>1.5927788474185656</v>
      </c>
      <c r="AC397" s="66" t="str">
        <f t="shared" si="239"/>
        <v>-0.00814766689808175+0.0146835840165745i</v>
      </c>
      <c r="AD397" s="64">
        <f t="shared" si="240"/>
        <v>-35.497630344562921</v>
      </c>
      <c r="AE397" s="61">
        <f t="shared" si="241"/>
        <v>119.02513675986253</v>
      </c>
      <c r="AF397" s="31" t="str">
        <f t="shared" si="227"/>
        <v>-0.000106860158311346</v>
      </c>
      <c r="AG397" s="31" t="str">
        <f t="shared" si="228"/>
        <v>0.00178987146315351i</v>
      </c>
      <c r="AH397" s="31">
        <f t="shared" si="242"/>
        <v>1.7898714631535101E-3</v>
      </c>
      <c r="AI397" s="31">
        <f t="shared" si="243"/>
        <v>1.5707963267948966</v>
      </c>
      <c r="AJ397" s="31" t="str">
        <f t="shared" si="229"/>
        <v>1+28.2563617728401i</v>
      </c>
      <c r="AK397" s="31">
        <f t="shared" si="244"/>
        <v>28.274051365830466</v>
      </c>
      <c r="AL397" s="31">
        <f t="shared" si="245"/>
        <v>1.535420830426474</v>
      </c>
      <c r="AM397" s="31" t="str">
        <f t="shared" si="230"/>
        <v>1+181.311654709057i</v>
      </c>
      <c r="AN397" s="31">
        <f t="shared" si="246"/>
        <v>181.31441237071118</v>
      </c>
      <c r="AO397" s="31">
        <f t="shared" si="247"/>
        <v>1.5652810174672176</v>
      </c>
      <c r="AP397" s="58" t="str">
        <f t="shared" si="248"/>
        <v>-0.0114305265551139+0.382687793208807i</v>
      </c>
      <c r="AQ397" s="49">
        <f t="shared" si="249"/>
        <v>-8.3392349306074856</v>
      </c>
      <c r="AR397" s="61">
        <f t="shared" si="250"/>
        <v>91.710862692905835</v>
      </c>
      <c r="AS397" s="58" t="str">
        <f t="shared" si="251"/>
        <v>-0.00552609624085826-0.00328585376205305i</v>
      </c>
      <c r="AT397" s="64">
        <f t="shared" si="252"/>
        <v>-43.83686527517041</v>
      </c>
      <c r="AU397" s="61">
        <f t="shared" si="253"/>
        <v>-149.26400054723166</v>
      </c>
    </row>
    <row r="398" spans="14:47" x14ac:dyDescent="0.35">
      <c r="N398" s="10">
        <v>80</v>
      </c>
      <c r="O398" s="50">
        <f t="shared" si="254"/>
        <v>63095.734448019342</v>
      </c>
      <c r="P398" s="48" t="str">
        <f t="shared" si="222"/>
        <v>547.187404092767</v>
      </c>
      <c r="Q398" s="17" t="str">
        <f t="shared" si="223"/>
        <v>1+7603.09960478921i</v>
      </c>
      <c r="R398" s="17">
        <f t="shared" si="231"/>
        <v>7603.0996705518628</v>
      </c>
      <c r="S398" s="17">
        <f t="shared" si="232"/>
        <v>1.5706648014899272</v>
      </c>
      <c r="T398" s="17" t="str">
        <f t="shared" si="224"/>
        <v>1+0.143865374693774i</v>
      </c>
      <c r="U398" s="17">
        <f t="shared" si="233"/>
        <v>1.0102956230904794</v>
      </c>
      <c r="V398" s="17">
        <f t="shared" si="234"/>
        <v>0.14288498203422681</v>
      </c>
      <c r="W398" s="31" t="str">
        <f t="shared" si="225"/>
        <v>1-2.49825790066885i</v>
      </c>
      <c r="X398" s="17">
        <f t="shared" si="235"/>
        <v>2.690964982725403</v>
      </c>
      <c r="Y398" s="17">
        <f t="shared" si="236"/>
        <v>-1.1900495156897972</v>
      </c>
      <c r="Z398" s="31" t="str">
        <f t="shared" si="226"/>
        <v>-0.31605676216032+11.953330175387i</v>
      </c>
      <c r="AA398" s="17">
        <f t="shared" si="237"/>
        <v>11.957507857355759</v>
      </c>
      <c r="AB398" s="17">
        <f t="shared" si="238"/>
        <v>1.5972310637620999</v>
      </c>
      <c r="AC398" s="66" t="str">
        <f t="shared" si="239"/>
        <v>-0.00780642069251055+0.0143807334311947i</v>
      </c>
      <c r="AD398" s="64">
        <f t="shared" si="240"/>
        <v>-35.722774983830348</v>
      </c>
      <c r="AE398" s="61">
        <f t="shared" si="241"/>
        <v>118.49482874986552</v>
      </c>
      <c r="AF398" s="31" t="str">
        <f t="shared" si="227"/>
        <v>-0.000106860158311346</v>
      </c>
      <c r="AG398" s="31" t="str">
        <f t="shared" si="228"/>
        <v>0.00183156292532829i</v>
      </c>
      <c r="AH398" s="31">
        <f t="shared" si="242"/>
        <v>1.83156292532829E-3</v>
      </c>
      <c r="AI398" s="31">
        <f t="shared" si="243"/>
        <v>1.5707963267948966</v>
      </c>
      <c r="AJ398" s="31" t="str">
        <f t="shared" si="229"/>
        <v>1+28.9145369894971i</v>
      </c>
      <c r="AK398" s="31">
        <f t="shared" si="244"/>
        <v>28.931824161587119</v>
      </c>
      <c r="AL398" s="31">
        <f t="shared" si="245"/>
        <v>1.5362254261359309</v>
      </c>
      <c r="AM398" s="31" t="str">
        <f t="shared" si="230"/>
        <v>1+185.534945682606i</v>
      </c>
      <c r="AN398" s="31">
        <f t="shared" si="246"/>
        <v>185.53764057313967</v>
      </c>
      <c r="AO398" s="31">
        <f t="shared" si="247"/>
        <v>1.5654065587751718</v>
      </c>
      <c r="AP398" s="58" t="str">
        <f t="shared" si="248"/>
        <v>-0.0109166827230978+0.373994526653423i</v>
      </c>
      <c r="AQ398" s="49">
        <f t="shared" si="249"/>
        <v>-8.5389963618815639</v>
      </c>
      <c r="AR398" s="61">
        <f t="shared" si="250"/>
        <v>91.671955741639962</v>
      </c>
      <c r="AS398" s="58" t="str">
        <f t="shared" si="251"/>
        <v>-0.00529309537462555-0.00307654851594677i</v>
      </c>
      <c r="AT398" s="64">
        <f t="shared" si="252"/>
        <v>-44.261771345711914</v>
      </c>
      <c r="AU398" s="61">
        <f t="shared" si="253"/>
        <v>-149.83321550849448</v>
      </c>
    </row>
    <row r="399" spans="14:47" x14ac:dyDescent="0.35">
      <c r="N399" s="10">
        <v>81</v>
      </c>
      <c r="O399" s="50">
        <f t="shared" si="254"/>
        <v>64565.422903465682</v>
      </c>
      <c r="P399" s="48" t="str">
        <f t="shared" si="222"/>
        <v>547.187404092767</v>
      </c>
      <c r="Q399" s="17" t="str">
        <f t="shared" si="223"/>
        <v>1+7780.19854519338i</v>
      </c>
      <c r="R399" s="17">
        <f t="shared" si="231"/>
        <v>7780.1986094590911</v>
      </c>
      <c r="S399" s="17">
        <f t="shared" si="232"/>
        <v>1.5706677953713495</v>
      </c>
      <c r="T399" s="17" t="str">
        <f t="shared" si="224"/>
        <v>1+0.147216429755985i</v>
      </c>
      <c r="U399" s="17">
        <f t="shared" si="233"/>
        <v>1.0107782532237715</v>
      </c>
      <c r="V399" s="17">
        <f t="shared" si="234"/>
        <v>0.14616652414921247</v>
      </c>
      <c r="W399" s="31" t="str">
        <f t="shared" si="225"/>
        <v>1-2.55644980266447i</v>
      </c>
      <c r="X399" s="17">
        <f t="shared" si="235"/>
        <v>2.7450747883333175</v>
      </c>
      <c r="Y399" s="17">
        <f t="shared" si="236"/>
        <v>-1.1979273132595827</v>
      </c>
      <c r="Z399" s="31" t="str">
        <f t="shared" si="226"/>
        <v>-0.37808060651351+12.2317590028916i</v>
      </c>
      <c r="AA399" s="17">
        <f t="shared" si="237"/>
        <v>12.237600796309763</v>
      </c>
      <c r="AB399" s="17">
        <f t="shared" si="238"/>
        <v>1.6016962380619852</v>
      </c>
      <c r="AC399" s="66" t="str">
        <f t="shared" si="239"/>
        <v>-0.00748029446938146+0.0140829265201241i</v>
      </c>
      <c r="AD399" s="64">
        <f t="shared" si="240"/>
        <v>-35.946816064887898</v>
      </c>
      <c r="AE399" s="61">
        <f t="shared" si="241"/>
        <v>117.97547553179776</v>
      </c>
      <c r="AF399" s="31" t="str">
        <f t="shared" si="227"/>
        <v>-0.000106860158311346</v>
      </c>
      <c r="AG399" s="31" t="str">
        <f t="shared" si="228"/>
        <v>0.00187422550640968i</v>
      </c>
      <c r="AH399" s="31">
        <f t="shared" si="242"/>
        <v>1.87422550640968E-3</v>
      </c>
      <c r="AI399" s="31">
        <f t="shared" si="243"/>
        <v>1.5707963267948966</v>
      </c>
      <c r="AJ399" s="31" t="str">
        <f t="shared" si="229"/>
        <v>1+29.5880430763951i</v>
      </c>
      <c r="AK399" s="31">
        <f t="shared" si="244"/>
        <v>29.604936971569657</v>
      </c>
      <c r="AL399" s="31">
        <f t="shared" si="245"/>
        <v>1.5370117502821825</v>
      </c>
      <c r="AM399" s="31" t="str">
        <f t="shared" si="230"/>
        <v>1+189.856609740201i</v>
      </c>
      <c r="AN399" s="31">
        <f t="shared" si="246"/>
        <v>189.85924328839769</v>
      </c>
      <c r="AO399" s="31">
        <f t="shared" si="247"/>
        <v>1.5655292425782383</v>
      </c>
      <c r="AP399" s="58" t="str">
        <f t="shared" si="248"/>
        <v>-0.0104259116559529+0.365497958683336i</v>
      </c>
      <c r="AQ399" s="49">
        <f t="shared" si="249"/>
        <v>-8.7387685176728276</v>
      </c>
      <c r="AR399" s="61">
        <f t="shared" si="250"/>
        <v>91.633931950860841</v>
      </c>
      <c r="AS399" s="58" t="str">
        <f t="shared" si="251"/>
        <v>-0.00506929200609449-0.00288085970666526i</v>
      </c>
      <c r="AT399" s="64">
        <f t="shared" si="252"/>
        <v>-44.685584582560729</v>
      </c>
      <c r="AU399" s="61">
        <f t="shared" si="253"/>
        <v>-150.39059251734139</v>
      </c>
    </row>
    <row r="400" spans="14:47" x14ac:dyDescent="0.35">
      <c r="N400" s="10">
        <v>82</v>
      </c>
      <c r="O400" s="50">
        <f t="shared" si="254"/>
        <v>66069.344800759733</v>
      </c>
      <c r="P400" s="48" t="str">
        <f t="shared" si="222"/>
        <v>547.187404092767</v>
      </c>
      <c r="Q400" s="17" t="str">
        <f t="shared" si="223"/>
        <v>1+7961.42264984931i</v>
      </c>
      <c r="R400" s="17">
        <f t="shared" si="231"/>
        <v>7961.4227126521555</v>
      </c>
      <c r="S400" s="17">
        <f t="shared" si="232"/>
        <v>1.5706707211037128</v>
      </c>
      <c r="T400" s="17" t="str">
        <f t="shared" si="224"/>
        <v>1+0.150645540917891i</v>
      </c>
      <c r="U400" s="17">
        <f t="shared" si="233"/>
        <v>1.0112833821429303</v>
      </c>
      <c r="V400" s="17">
        <f t="shared" si="234"/>
        <v>0.14952122360457484</v>
      </c>
      <c r="W400" s="31" t="str">
        <f t="shared" si="225"/>
        <v>1-2.61599716818407i</v>
      </c>
      <c r="X400" s="17">
        <f t="shared" si="235"/>
        <v>2.8006144297184279</v>
      </c>
      <c r="Y400" s="17">
        <f t="shared" si="236"/>
        <v>-1.2056729904209276</v>
      </c>
      <c r="Z400" s="31" t="str">
        <f t="shared" si="226"/>
        <v>-0.4430275445956+12.516673270926i</v>
      </c>
      <c r="AA400" s="17">
        <f t="shared" si="237"/>
        <v>12.524511294912221</v>
      </c>
      <c r="AB400" s="17">
        <f t="shared" si="238"/>
        <v>1.6061765484280826</v>
      </c>
      <c r="AC400" s="66" t="str">
        <f t="shared" si="239"/>
        <v>-0.0071686250799655+0.0137901749603151i</v>
      </c>
      <c r="AD400" s="64">
        <f t="shared" si="240"/>
        <v>-36.169783753094485</v>
      </c>
      <c r="AE400" s="61">
        <f t="shared" si="241"/>
        <v>117.46702053430649</v>
      </c>
      <c r="AF400" s="31" t="str">
        <f t="shared" si="227"/>
        <v>-0.000106860158311346</v>
      </c>
      <c r="AG400" s="31" t="str">
        <f t="shared" si="228"/>
        <v>0.00191788182666287i</v>
      </c>
      <c r="AH400" s="31">
        <f t="shared" si="242"/>
        <v>1.9178818266628701E-3</v>
      </c>
      <c r="AI400" s="31">
        <f t="shared" si="243"/>
        <v>1.5707963267948966</v>
      </c>
      <c r="AJ400" s="31" t="str">
        <f t="shared" si="229"/>
        <v>1+30.2772371353762i</v>
      </c>
      <c r="AK400" s="31">
        <f t="shared" si="244"/>
        <v>30.293746690559818</v>
      </c>
      <c r="AL400" s="31">
        <f t="shared" si="245"/>
        <v>1.5377802158929672</v>
      </c>
      <c r="AM400" s="31" t="str">
        <f t="shared" si="230"/>
        <v>1+194.27893828533i</v>
      </c>
      <c r="AN400" s="31">
        <f t="shared" si="246"/>
        <v>194.28151188745434</v>
      </c>
      <c r="AO400" s="31">
        <f t="shared" si="247"/>
        <v>1.5656491339102128</v>
      </c>
      <c r="AP400" s="58" t="str">
        <f t="shared" si="248"/>
        <v>-0.00995717965317385+0.357193690742134i</v>
      </c>
      <c r="AQ400" s="49">
        <f t="shared" si="249"/>
        <v>-8.9385509164274008</v>
      </c>
      <c r="AR400" s="61">
        <f t="shared" si="250"/>
        <v>91.596771381984254</v>
      </c>
      <c r="AS400" s="58" t="str">
        <f t="shared" si="251"/>
        <v>-0.00485438420226725-0.00269789889938806i</v>
      </c>
      <c r="AT400" s="64">
        <f t="shared" si="252"/>
        <v>-45.108334669521881</v>
      </c>
      <c r="AU400" s="61">
        <f t="shared" si="253"/>
        <v>-150.93620808370923</v>
      </c>
    </row>
    <row r="401" spans="14:47" x14ac:dyDescent="0.35">
      <c r="N401" s="10">
        <v>83</v>
      </c>
      <c r="O401" s="50">
        <f t="shared" si="254"/>
        <v>67608.297539198305</v>
      </c>
      <c r="P401" s="48" t="str">
        <f t="shared" si="222"/>
        <v>547.187404092767</v>
      </c>
      <c r="Q401" s="17" t="str">
        <f t="shared" si="223"/>
        <v>1+8146.86800617607i</v>
      </c>
      <c r="R401" s="17">
        <f t="shared" si="231"/>
        <v>8146.8680675493479</v>
      </c>
      <c r="S401" s="17">
        <f t="shared" si="232"/>
        <v>1.5706735802382787</v>
      </c>
      <c r="T401" s="17" t="str">
        <f t="shared" si="224"/>
        <v>1+0.154154526339621i</v>
      </c>
      <c r="U401" s="17">
        <f t="shared" si="233"/>
        <v>1.0118120467710359</v>
      </c>
      <c r="V401" s="17">
        <f t="shared" si="234"/>
        <v>0.15295055691933629</v>
      </c>
      <c r="W401" s="31" t="str">
        <f t="shared" si="225"/>
        <v>1-2.67693157002906i</v>
      </c>
      <c r="X401" s="17">
        <f t="shared" si="235"/>
        <v>2.8576148499436114</v>
      </c>
      <c r="Y401" s="17">
        <f t="shared" si="236"/>
        <v>-1.2132869353673665</v>
      </c>
      <c r="Z401" s="31" t="str">
        <f t="shared" si="226"/>
        <v>-0.51103533756985+12.8082240448064i</v>
      </c>
      <c r="AA401" s="17">
        <f t="shared" si="237"/>
        <v>12.81841489023514</v>
      </c>
      <c r="AB401" s="17">
        <f t="shared" si="238"/>
        <v>1.6106741753530041</v>
      </c>
      <c r="AC401" s="66" t="str">
        <f t="shared" si="239"/>
        <v>-0.00687077756417327+0.0135024820107596i</v>
      </c>
      <c r="AD401" s="64">
        <f t="shared" si="240"/>
        <v>-36.391707517365049</v>
      </c>
      <c r="AE401" s="61">
        <f t="shared" si="241"/>
        <v>116.96940109194388</v>
      </c>
      <c r="AF401" s="31" t="str">
        <f t="shared" si="227"/>
        <v>-0.000106860158311346</v>
      </c>
      <c r="AG401" s="31" t="str">
        <f t="shared" si="228"/>
        <v>0.00196255503324673i</v>
      </c>
      <c r="AH401" s="31">
        <f t="shared" si="242"/>
        <v>1.96255503324673E-3</v>
      </c>
      <c r="AI401" s="31">
        <f t="shared" si="243"/>
        <v>1.5707963267948966</v>
      </c>
      <c r="AJ401" s="31" t="str">
        <f t="shared" si="229"/>
        <v>1+30.982484586253i</v>
      </c>
      <c r="AK401" s="31">
        <f t="shared" si="244"/>
        <v>30.998618535950996</v>
      </c>
      <c r="AL401" s="31">
        <f t="shared" si="245"/>
        <v>1.5385312267863751</v>
      </c>
      <c r="AM401" s="31" t="str">
        <f t="shared" si="230"/>
        <v>1+198.804276095123i</v>
      </c>
      <c r="AN401" s="31">
        <f t="shared" si="246"/>
        <v>198.80679111566056</v>
      </c>
      <c r="AO401" s="31">
        <f t="shared" si="247"/>
        <v>1.5657662963252714</v>
      </c>
      <c r="AP401" s="58" t="str">
        <f t="shared" si="248"/>
        <v>-0.0095094991219601+0.349077419155395i</v>
      </c>
      <c r="AQ401" s="49">
        <f t="shared" si="249"/>
        <v>-9.138343098165743</v>
      </c>
      <c r="AR401" s="61">
        <f t="shared" si="250"/>
        <v>91.560454539324056</v>
      </c>
      <c r="AS401" s="58" t="str">
        <f t="shared" si="251"/>
        <v>-0.00464807391929442-0.002526835140518i</v>
      </c>
      <c r="AT401" s="64">
        <f t="shared" si="252"/>
        <v>-45.53005061553079</v>
      </c>
      <c r="AU401" s="61">
        <f t="shared" si="253"/>
        <v>-151.47014436873201</v>
      </c>
    </row>
    <row r="402" spans="14:47" x14ac:dyDescent="0.35">
      <c r="N402" s="10">
        <v>84</v>
      </c>
      <c r="O402" s="50">
        <f t="shared" si="254"/>
        <v>69183.097091893651</v>
      </c>
      <c r="P402" s="48" t="str">
        <f t="shared" si="222"/>
        <v>547.187404092767</v>
      </c>
      <c r="Q402" s="17" t="str">
        <f t="shared" si="223"/>
        <v>1+8336.63293975623i</v>
      </c>
      <c r="R402" s="17">
        <f t="shared" si="231"/>
        <v>8336.632999732481</v>
      </c>
      <c r="S402" s="17">
        <f t="shared" si="232"/>
        <v>1.5706763742909984</v>
      </c>
      <c r="T402" s="17" t="str">
        <f t="shared" si="224"/>
        <v>1+0.157745246531693i</v>
      </c>
      <c r="U402" s="17">
        <f t="shared" si="233"/>
        <v>1.012365330700012</v>
      </c>
      <c r="V402" s="17">
        <f t="shared" si="234"/>
        <v>0.15645601956439495</v>
      </c>
      <c r="W402" s="31" t="str">
        <f t="shared" si="225"/>
        <v>1-2.73928531642584i</v>
      </c>
      <c r="X402" s="17">
        <f t="shared" si="235"/>
        <v>2.9161076874467811</v>
      </c>
      <c r="Y402" s="17">
        <f t="shared" si="236"/>
        <v>-1.2207696529342604</v>
      </c>
      <c r="Z402" s="31" t="str">
        <f t="shared" si="226"/>
        <v>-0.58224823908311+13.1065659086123i</v>
      </c>
      <c r="AA402" s="17">
        <f t="shared" si="237"/>
        <v>13.119492479845155</v>
      </c>
      <c r="AB402" s="17">
        <f t="shared" si="238"/>
        <v>1.6151913019929973</v>
      </c>
      <c r="AC402" s="66" t="str">
        <f t="shared" si="239"/>
        <v>-0.0065861440182404+0.0132198432265416i</v>
      </c>
      <c r="AD402" s="64">
        <f t="shared" si="240"/>
        <v>-36.612616093743512</v>
      </c>
      <c r="AE402" s="61">
        <f t="shared" si="241"/>
        <v>116.48254879144888</v>
      </c>
      <c r="AF402" s="31" t="str">
        <f t="shared" si="227"/>
        <v>-0.000106860158311346</v>
      </c>
      <c r="AG402" s="31" t="str">
        <f t="shared" si="228"/>
        <v>0.0020082688124867i</v>
      </c>
      <c r="AH402" s="31">
        <f t="shared" si="242"/>
        <v>2.0082688124867E-3</v>
      </c>
      <c r="AI402" s="31">
        <f t="shared" si="243"/>
        <v>1.5707963267948966</v>
      </c>
      <c r="AJ402" s="31" t="str">
        <f t="shared" si="229"/>
        <v>1+31.7041593605591i</v>
      </c>
      <c r="AK402" s="31">
        <f t="shared" si="244"/>
        <v>31.719926241397967</v>
      </c>
      <c r="AL402" s="31">
        <f t="shared" si="245"/>
        <v>1.53926517776772</v>
      </c>
      <c r="AM402" s="31" t="str">
        <f t="shared" si="230"/>
        <v>1+203.435022563587i</v>
      </c>
      <c r="AN402" s="31">
        <f t="shared" si="246"/>
        <v>203.43748033596748</v>
      </c>
      <c r="AO402" s="31">
        <f t="shared" si="247"/>
        <v>1.565880791931604</v>
      </c>
      <c r="AP402" s="58" t="str">
        <f t="shared" si="248"/>
        <v>-0.00908192653854147+0.341144933318417i</v>
      </c>
      <c r="AQ402" s="49">
        <f t="shared" si="249"/>
        <v>-9.3381446235202894</v>
      </c>
      <c r="AR402" s="61">
        <f t="shared" si="250"/>
        <v>91.524962360739167</v>
      </c>
      <c r="AS402" s="58" t="str">
        <f t="shared" si="251"/>
        <v>-0.00445006765985255-0.0023668913069626i</v>
      </c>
      <c r="AT402" s="64">
        <f t="shared" si="252"/>
        <v>-45.95076071726379</v>
      </c>
      <c r="AU402" s="61">
        <f t="shared" si="253"/>
        <v>-151.99248884781193</v>
      </c>
    </row>
    <row r="403" spans="14:47" x14ac:dyDescent="0.35">
      <c r="N403" s="10">
        <v>85</v>
      </c>
      <c r="O403" s="50">
        <f t="shared" si="254"/>
        <v>70794.578438413781</v>
      </c>
      <c r="P403" s="48" t="str">
        <f t="shared" ref="P403:P466" si="255">COMPLEX(Adc,0)</f>
        <v>547.187404092767</v>
      </c>
      <c r="Q403" s="17" t="str">
        <f t="shared" ref="Q403:Q466" si="256">IMSUM(COMPLEX(1,0),IMDIV(COMPLEX(0,2*PI()*O403),COMPLEX(wp_lf,0)))</f>
        <v>1+8530.81806646945i</v>
      </c>
      <c r="R403" s="17">
        <f t="shared" si="231"/>
        <v>8530.8181250804755</v>
      </c>
      <c r="S403" s="17">
        <f t="shared" si="232"/>
        <v>1.5706791047433151</v>
      </c>
      <c r="T403" s="17" t="str">
        <f t="shared" ref="T403:T466" si="257">IMSUM(COMPLEX(1,0),IMDIV(COMPLEX(0,2*PI()*O403),COMPLEX(wz_esr,0)))</f>
        <v>1+0.161419605341481i</v>
      </c>
      <c r="U403" s="17">
        <f t="shared" si="233"/>
        <v>1.0129443661863171</v>
      </c>
      <c r="V403" s="17">
        <f t="shared" si="234"/>
        <v>0.16003912539713261</v>
      </c>
      <c r="W403" s="31" t="str">
        <f t="shared" ref="W403:W466" si="258">IMSUB(COMPLEX(1,0),IMDIV(COMPLEX(0,2*PI()*O403),COMPLEX(wz_rhp,0)))</f>
        <v>1-2.80309146815613i</v>
      </c>
      <c r="X403" s="17">
        <f t="shared" si="235"/>
        <v>2.9761252962282496</v>
      </c>
      <c r="Y403" s="17">
        <f t="shared" si="236"/>
        <v>-1.2281217578484176</v>
      </c>
      <c r="Z403" s="31" t="str">
        <f t="shared" ref="Z403:Z466" si="259">IMSUM(COMPLEX(1,0),IMDIV(COMPLEX(0,2*PI()*O403),COMPLEX(Q*(wsl/2),0)),IMDIV(IMPOWER(COMPLEX(0,2*PI()*O403),2),IMPOWER(COMPLEX(wsl/2,0),2)))</f>
        <v>-0.65681730124718+13.4118570471487i</v>
      </c>
      <c r="AA403" s="17">
        <f t="shared" si="237"/>
        <v>13.427930533792981</v>
      </c>
      <c r="AB403" s="17">
        <f t="shared" si="238"/>
        <v>1.6197301144237768</v>
      </c>
      <c r="AC403" s="66" t="str">
        <f t="shared" si="239"/>
        <v>-0.00631414250152846+0.0129422471239782i</v>
      </c>
      <c r="AD403" s="64">
        <f t="shared" si="240"/>
        <v>-36.832537453093835</v>
      </c>
      <c r="AE403" s="61">
        <f t="shared" si="241"/>
        <v>116.00638981141584</v>
      </c>
      <c r="AF403" s="31" t="str">
        <f t="shared" ref="AF403:AF466" si="260">COMPLEX(Adc_ea,0)</f>
        <v>-0.000106860158311346</v>
      </c>
      <c r="AG403" s="31" t="str">
        <f t="shared" ref="AG403:AG466" si="261">COMPLEX(0,2*PI()*O403*wp0_ea)</f>
        <v>0.00205504740243363i</v>
      </c>
      <c r="AH403" s="31">
        <f t="shared" si="242"/>
        <v>2.0550474024336302E-3</v>
      </c>
      <c r="AI403" s="31">
        <f t="shared" si="243"/>
        <v>1.5707963267948966</v>
      </c>
      <c r="AJ403" s="31" t="str">
        <f t="shared" ref="AJ403:AJ466" si="262">IMSUM(COMPLEX(1,0),IMDIV(COMPLEX(0,2*PI()*O403),COMPLEX(wp1_ea,0)))</f>
        <v>1+32.4426440998124i</v>
      </c>
      <c r="AK403" s="31">
        <f t="shared" si="244"/>
        <v>32.458052254981233</v>
      </c>
      <c r="AL403" s="31">
        <f t="shared" si="245"/>
        <v>1.5399824548227772</v>
      </c>
      <c r="AM403" s="31" t="str">
        <f t="shared" ref="AM403:AM466" si="263">IMSUM(COMPLEX(1,0),IMDIV(COMPLEX(0,2*PI()*O403),COMPLEX(wz_ea,0)))</f>
        <v>1+208.173632973796i</v>
      </c>
      <c r="AN403" s="31">
        <f t="shared" si="246"/>
        <v>208.17603480109983</v>
      </c>
      <c r="AO403" s="31">
        <f t="shared" si="247"/>
        <v>1.5659926814242822</v>
      </c>
      <c r="AP403" s="58" t="str">
        <f t="shared" si="248"/>
        <v>-0.00867356049806301+0.333392113902253i</v>
      </c>
      <c r="AQ403" s="49">
        <f t="shared" si="249"/>
        <v>-9.5379550728157643</v>
      </c>
      <c r="AR403" s="61">
        <f t="shared" si="250"/>
        <v>91.490276208445138</v>
      </c>
      <c r="AS403" s="58" t="str">
        <f t="shared" si="251"/>
        <v>-0.00426007703032805-0.00221734067947534i</v>
      </c>
      <c r="AT403" s="64">
        <f t="shared" si="252"/>
        <v>-46.370492525909597</v>
      </c>
      <c r="AU403" s="61">
        <f t="shared" si="253"/>
        <v>-152.50333398013902</v>
      </c>
    </row>
    <row r="404" spans="14:47" x14ac:dyDescent="0.35">
      <c r="N404" s="10">
        <v>86</v>
      </c>
      <c r="O404" s="50">
        <f t="shared" si="254"/>
        <v>72443.596007499116</v>
      </c>
      <c r="P404" s="48" t="str">
        <f t="shared" si="255"/>
        <v>547.187404092767</v>
      </c>
      <c r="Q404" s="17" t="str">
        <f t="shared" si="256"/>
        <v>1+8729.52634584026i</v>
      </c>
      <c r="R404" s="17">
        <f t="shared" ref="R404:R467" si="264">IMABS(Q404)</f>
        <v>8729.5264031171373</v>
      </c>
      <c r="S404" s="17">
        <f t="shared" ref="S404:S467" si="265">IMARGUMENT(Q404)</f>
        <v>1.5706817730429508</v>
      </c>
      <c r="T404" s="17" t="str">
        <f t="shared" si="257"/>
        <v>1+0.165179550962663i</v>
      </c>
      <c r="U404" s="17">
        <f t="shared" ref="U404:U467" si="266">IMABS(T404)</f>
        <v>1.0135503362222456</v>
      </c>
      <c r="V404" s="17">
        <f t="shared" ref="V404:V467" si="267">IMARGUMENT(T404)</f>
        <v>0.1637014060220493</v>
      </c>
      <c r="W404" s="31" t="str">
        <f t="shared" si="258"/>
        <v>1-2.86838385608614i</v>
      </c>
      <c r="X404" s="17">
        <f t="shared" ref="X404:X467" si="268">IMABS(W404)</f>
        <v>3.0377007663454267</v>
      </c>
      <c r="Y404" s="17">
        <f t="shared" ref="Y404:Y467" si="269">IMARGUMENT(W404)</f>
        <v>-1.2353439680735947</v>
      </c>
      <c r="Z404" s="31" t="str">
        <f t="shared" si="259"/>
        <v>-0.73490069504058+13.7242593298186i</v>
      </c>
      <c r="AA404" s="17">
        <f t="shared" ref="AA404:AA467" si="270">IMABS(Z404)</f>
        <v>13.74392131757469</v>
      </c>
      <c r="AB404" s="17">
        <f t="shared" ref="AB404:AB467" si="271">IMARGUMENT(Z404)</f>
        <v>1.62429280186787</v>
      </c>
      <c r="AC404" s="66" t="str">
        <f t="shared" ref="AC404:AC467" si="272">(IMDIV(IMPRODUCT(P404,T404,W404),IMPRODUCT(Q404,Z404)))</f>
        <v>-0.00605421598167006+0.0126696757998838i</v>
      </c>
      <c r="AD404" s="64">
        <f t="shared" ref="AD404:AD467" si="273">20*LOG(IMABS(AC404))</f>
        <v>-37.05149877271969</v>
      </c>
      <c r="AE404" s="61">
        <f t="shared" ref="AE404:AE467" si="274">(180/PI())*IMARGUMENT(AC404)</f>
        <v>115.54084525386577</v>
      </c>
      <c r="AF404" s="31" t="str">
        <f t="shared" si="260"/>
        <v>-0.000106860158311346</v>
      </c>
      <c r="AG404" s="31" t="str">
        <f t="shared" si="261"/>
        <v>0.0021029156057151i</v>
      </c>
      <c r="AH404" s="31">
        <f t="shared" ref="AH404:AH467" si="275">IMABS(AG404)</f>
        <v>2.1029156057150999E-3</v>
      </c>
      <c r="AI404" s="31">
        <f t="shared" ref="AI404:AI467" si="276">IMARGUMENT(AG404)</f>
        <v>1.5707963267948966</v>
      </c>
      <c r="AJ404" s="31" t="str">
        <f t="shared" si="262"/>
        <v>1+33.1983303583967i</v>
      </c>
      <c r="AK404" s="31">
        <f t="shared" ref="AK404:AK467" si="277">IMABS(AJ404)</f>
        <v>33.213387941991769</v>
      </c>
      <c r="AL404" s="31">
        <f t="shared" ref="AL404:AL467" si="278">IMARGUMENT(AJ404)</f>
        <v>1.5406834353074128</v>
      </c>
      <c r="AM404" s="31" t="str">
        <f t="shared" si="263"/>
        <v>1+213.022619799711i</v>
      </c>
      <c r="AN404" s="31">
        <f t="shared" ref="AN404:AN467" si="279">IMABS(AM404)</f>
        <v>213.02496695535999</v>
      </c>
      <c r="AO404" s="31">
        <f t="shared" ref="AO404:AO467" si="280">IMARGUMENT(AM404)</f>
        <v>1.5661020241173833</v>
      </c>
      <c r="AP404" s="58" t="str">
        <f t="shared" ref="AP404:AP467" si="281">IMPRODUCT(AF404,IMDIV(AM404,IMPRODUCT(AG404,AJ404)))</f>
        <v>-0.00828353984932281+0.325814931079143i</v>
      </c>
      <c r="AQ404" s="49">
        <f t="shared" ref="AQ404:AQ467" si="282">20*LOG(IMABS(AP404))</f>
        <v>-9.7377740451902035</v>
      </c>
      <c r="AR404" s="61">
        <f t="shared" ref="AR404:AR467" si="283">(180/PI())*IMARGUMENT(AP404)</f>
        <v>91.456377859989772</v>
      </c>
      <c r="AS404" s="58" t="str">
        <f t="shared" ref="AS404:AS467" si="284">IMPRODUCT(AC404,AP404)</f>
        <v>-0.00407781920819365-0.00207750372717242i</v>
      </c>
      <c r="AT404" s="64">
        <f t="shared" ref="AT404:AT467" si="285">20*LOG(IMABS(AS404))</f>
        <v>-46.789272817909897</v>
      </c>
      <c r="AU404" s="61">
        <f t="shared" ref="AU404:AU467" si="286">(180/PI())*IMARGUMENT(AS404)</f>
        <v>-153.00277688614435</v>
      </c>
    </row>
    <row r="405" spans="14:47" x14ac:dyDescent="0.35">
      <c r="N405" s="10">
        <v>87</v>
      </c>
      <c r="O405" s="50">
        <f t="shared" si="254"/>
        <v>74131.024130091857</v>
      </c>
      <c r="P405" s="48" t="str">
        <f t="shared" si="255"/>
        <v>547.187404092767</v>
      </c>
      <c r="Q405" s="17" t="str">
        <f t="shared" si="256"/>
        <v>1+8932.86313562856i</v>
      </c>
      <c r="R405" s="17">
        <f t="shared" si="264"/>
        <v>8932.8631916016566</v>
      </c>
      <c r="S405" s="17">
        <f t="shared" si="265"/>
        <v>1.5706843806046731</v>
      </c>
      <c r="T405" s="17" t="str">
        <f t="shared" si="257"/>
        <v>1+0.169027076968175i</v>
      </c>
      <c r="U405" s="17">
        <f t="shared" si="266"/>
        <v>1.0141844766847921</v>
      </c>
      <c r="V405" s="17">
        <f t="shared" si="267"/>
        <v>0.16744441007259456</v>
      </c>
      <c r="W405" s="31" t="str">
        <f t="shared" si="258"/>
        <v>1-2.9351970991042i</v>
      </c>
      <c r="X405" s="17">
        <f t="shared" si="268"/>
        <v>3.1008679447196252</v>
      </c>
      <c r="Y405" s="17">
        <f t="shared" si="269"/>
        <v>-1.2424370982739525</v>
      </c>
      <c r="Z405" s="31" t="str">
        <f t="shared" si="259"/>
        <v>-0.81666404581034+14.0439383964471i</v>
      </c>
      <c r="AA405" s="17">
        <f t="shared" si="270"/>
        <v>14.067663126721524</v>
      </c>
      <c r="AB405" s="17">
        <f t="shared" si="271"/>
        <v>1.6288815568899788</v>
      </c>
      <c r="AC405" s="66" t="str">
        <f t="shared" si="272"/>
        <v>-0.00580583131724112+0.0124021055078258i</v>
      </c>
      <c r="AD405" s="64">
        <f t="shared" si="273"/>
        <v>-37.269526411716349</v>
      </c>
      <c r="AE405" s="61">
        <f t="shared" si="274"/>
        <v>115.0858314663773</v>
      </c>
      <c r="AF405" s="31" t="str">
        <f t="shared" si="260"/>
        <v>-0.000106860158311346</v>
      </c>
      <c r="AG405" s="31" t="str">
        <f t="shared" si="261"/>
        <v>0.0021518988026861i</v>
      </c>
      <c r="AH405" s="31">
        <f t="shared" si="275"/>
        <v>2.1518988026861001E-3</v>
      </c>
      <c r="AI405" s="31">
        <f t="shared" si="276"/>
        <v>1.5707963267948966</v>
      </c>
      <c r="AJ405" s="31" t="str">
        <f t="shared" si="262"/>
        <v>1+33.9716188111688i</v>
      </c>
      <c r="AK405" s="31">
        <f t="shared" si="277"/>
        <v>33.986333792443077</v>
      </c>
      <c r="AL405" s="31">
        <f t="shared" si="278"/>
        <v>1.5413684881336356</v>
      </c>
      <c r="AM405" s="31" t="str">
        <f t="shared" si="263"/>
        <v>1+217.984554038332i</v>
      </c>
      <c r="AN405" s="31">
        <f t="shared" si="279"/>
        <v>217.98684776676433</v>
      </c>
      <c r="AO405" s="31">
        <f t="shared" si="280"/>
        <v>1.5662088779753864</v>
      </c>
      <c r="AP405" s="58" t="str">
        <f t="shared" si="281"/>
        <v>-0.00791104191079853+0.318409442768324i</v>
      </c>
      <c r="AQ405" s="49">
        <f t="shared" si="282"/>
        <v>-9.9376011577545675</v>
      </c>
      <c r="AR405" s="61">
        <f t="shared" si="283"/>
        <v>91.423249499391957</v>
      </c>
      <c r="AS405" s="58" t="str">
        <f t="shared" si="284"/>
        <v>-0.00390301732902305-0.00194674509098418i</v>
      </c>
      <c r="AT405" s="64">
        <f t="shared" si="285"/>
        <v>-47.207127569470927</v>
      </c>
      <c r="AU405" s="61">
        <f t="shared" si="286"/>
        <v>-153.49091903423079</v>
      </c>
    </row>
    <row r="406" spans="14:47" x14ac:dyDescent="0.35">
      <c r="N406" s="10">
        <v>88</v>
      </c>
      <c r="O406" s="50">
        <f t="shared" si="254"/>
        <v>75857.757502918481</v>
      </c>
      <c r="P406" s="48" t="str">
        <f t="shared" si="255"/>
        <v>547.187404092767</v>
      </c>
      <c r="Q406" s="17" t="str">
        <f t="shared" si="256"/>
        <v>1+9140.93624769178i</v>
      </c>
      <c r="R406" s="17">
        <f t="shared" si="264"/>
        <v>9140.9363023907699</v>
      </c>
      <c r="S406" s="17">
        <f t="shared" si="265"/>
        <v>1.5706869288110454</v>
      </c>
      <c r="T406" s="17" t="str">
        <f t="shared" si="257"/>
        <v>1+0.172964223367233i</v>
      </c>
      <c r="U406" s="17">
        <f t="shared" si="266"/>
        <v>1.0148480785639937</v>
      </c>
      <c r="V406" s="17">
        <f t="shared" si="267"/>
        <v>0.17126970240918971</v>
      </c>
      <c r="W406" s="31" t="str">
        <f t="shared" si="258"/>
        <v>1-3.00356662247612i</v>
      </c>
      <c r="X406" s="17">
        <f t="shared" si="268"/>
        <v>3.1656614562603829</v>
      </c>
      <c r="Y406" s="17">
        <f t="shared" si="269"/>
        <v>-1.2494020534148109</v>
      </c>
      <c r="Z406" s="31" t="str">
        <f t="shared" si="259"/>
        <v>-0.90228078458565+14.3710637451069i</v>
      </c>
      <c r="AA406" s="17">
        <f t="shared" si="270"/>
        <v>14.399360533723657</v>
      </c>
      <c r="AB406" s="17">
        <f t="shared" si="271"/>
        <v>1.633498575556745</v>
      </c>
      <c r="AC406" s="66" t="str">
        <f t="shared" si="272"/>
        <v>-0.00556847827710427+0.0121395071940692i</v>
      </c>
      <c r="AD406" s="64">
        <f t="shared" si="273"/>
        <v>-37.486645889860625</v>
      </c>
      <c r="AE406" s="61">
        <f t="shared" si="274"/>
        <v>114.6412603535895</v>
      </c>
      <c r="AF406" s="31" t="str">
        <f t="shared" si="260"/>
        <v>-0.000106860158311346</v>
      </c>
      <c r="AG406" s="31" t="str">
        <f t="shared" si="261"/>
        <v>0.00220202296488603i</v>
      </c>
      <c r="AH406" s="31">
        <f t="shared" si="275"/>
        <v>2.2020229648860301E-3</v>
      </c>
      <c r="AI406" s="31">
        <f t="shared" si="276"/>
        <v>1.5707963267948966</v>
      </c>
      <c r="AJ406" s="31" t="str">
        <f t="shared" si="262"/>
        <v>1+34.762919465902i</v>
      </c>
      <c r="AK406" s="31">
        <f t="shared" si="277"/>
        <v>34.777299633421627</v>
      </c>
      <c r="AL406" s="31">
        <f t="shared" si="278"/>
        <v>1.542037973952102</v>
      </c>
      <c r="AM406" s="31" t="str">
        <f t="shared" si="263"/>
        <v>1+223.06206657287i</v>
      </c>
      <c r="AN406" s="31">
        <f t="shared" si="279"/>
        <v>223.06430809019963</v>
      </c>
      <c r="AO406" s="31">
        <f t="shared" si="280"/>
        <v>1.5663132996438554</v>
      </c>
      <c r="AP406" s="58" t="str">
        <f t="shared" si="281"/>
        <v>-0.00755528076453584+0.311171792903031i</v>
      </c>
      <c r="AQ406" s="49">
        <f t="shared" si="282"/>
        <v>-10.137436044790146</v>
      </c>
      <c r="AR406" s="61">
        <f t="shared" si="283"/>
        <v>91.390873708442967</v>
      </c>
      <c r="AS406" s="58" t="str">
        <f t="shared" si="284"/>
        <v>-0.00373540080172301-0.00182447075442241i</v>
      </c>
      <c r="AT406" s="64">
        <f t="shared" si="285"/>
        <v>-47.624081934650782</v>
      </c>
      <c r="AU406" s="61">
        <f t="shared" si="286"/>
        <v>-153.96786593796753</v>
      </c>
    </row>
    <row r="407" spans="14:47" x14ac:dyDescent="0.35">
      <c r="N407" s="10">
        <v>89</v>
      </c>
      <c r="O407" s="50">
        <f t="shared" si="254"/>
        <v>77624.711662869129</v>
      </c>
      <c r="P407" s="48" t="str">
        <f t="shared" si="255"/>
        <v>547.187404092767</v>
      </c>
      <c r="Q407" s="17" t="str">
        <f t="shared" si="256"/>
        <v>1+9353.85600514811i</v>
      </c>
      <c r="R407" s="17">
        <f t="shared" si="264"/>
        <v>9353.856058602003</v>
      </c>
      <c r="S407" s="17">
        <f t="shared" si="265"/>
        <v>1.5706894190131604</v>
      </c>
      <c r="T407" s="17" t="str">
        <f t="shared" si="257"/>
        <v>1+0.176993077686972i</v>
      </c>
      <c r="U407" s="17">
        <f t="shared" si="266"/>
        <v>1.015542490272616</v>
      </c>
      <c r="V407" s="17">
        <f t="shared" si="267"/>
        <v>0.17517886322821191</v>
      </c>
      <c r="W407" s="31" t="str">
        <f t="shared" si="258"/>
        <v>1-3.07352867662819i</v>
      </c>
      <c r="X407" s="17">
        <f t="shared" si="268"/>
        <v>3.2321167253142069</v>
      </c>
      <c r="Y407" s="17">
        <f t="shared" si="269"/>
        <v>-1.2562398225175293</v>
      </c>
      <c r="Z407" s="31" t="str">
        <f t="shared" si="259"/>
        <v>-0.99193251594829+14.7058088219879i</v>
      </c>
      <c r="AA407" s="17">
        <f t="shared" si="270"/>
        <v>14.739224648028561</v>
      </c>
      <c r="AB407" s="17">
        <f t="shared" si="271"/>
        <v>1.638146057557182</v>
      </c>
      <c r="AC407" s="66" t="str">
        <f t="shared" si="272"/>
        <v>-0.00534166859554078+0.0118818469957588i</v>
      </c>
      <c r="AD407" s="64">
        <f t="shared" si="273"/>
        <v>-37.702881869840155</v>
      </c>
      <c r="AE407" s="61">
        <f t="shared" si="274"/>
        <v>114.20703967702734</v>
      </c>
      <c r="AF407" s="31" t="str">
        <f t="shared" si="260"/>
        <v>-0.000106860158311346</v>
      </c>
      <c r="AG407" s="31" t="str">
        <f t="shared" si="261"/>
        <v>0.00225331466880916i</v>
      </c>
      <c r="AH407" s="31">
        <f t="shared" si="275"/>
        <v>2.2533146688091601E-3</v>
      </c>
      <c r="AI407" s="31">
        <f t="shared" si="276"/>
        <v>1.5707963267948966</v>
      </c>
      <c r="AJ407" s="31" t="str">
        <f t="shared" si="262"/>
        <v>1+35.5726518806776i</v>
      </c>
      <c r="AK407" s="31">
        <f t="shared" si="277"/>
        <v>35.586704846387157</v>
      </c>
      <c r="AL407" s="31">
        <f t="shared" si="278"/>
        <v>1.5426922453311125</v>
      </c>
      <c r="AM407" s="31" t="str">
        <f t="shared" si="263"/>
        <v>1+228.257849567681i</v>
      </c>
      <c r="AN407" s="31">
        <f t="shared" si="279"/>
        <v>228.26004006234226</v>
      </c>
      <c r="AO407" s="31">
        <f t="shared" si="280"/>
        <v>1.5664153444794271</v>
      </c>
      <c r="AP407" s="58" t="str">
        <f t="shared" si="281"/>
        <v>-0.00721550562460801+0.30409820971948i</v>
      </c>
      <c r="AQ407" s="49">
        <f t="shared" si="282"/>
        <v>-10.337278356981066</v>
      </c>
      <c r="AR407" s="61">
        <f t="shared" si="283"/>
        <v>91.359233458168831</v>
      </c>
      <c r="AS407" s="58" t="str">
        <f t="shared" si="284"/>
        <v>-0.00357470555977512-0.00171012539064735i</v>
      </c>
      <c r="AT407" s="64">
        <f t="shared" si="285"/>
        <v>-48.040160226821207</v>
      </c>
      <c r="AU407" s="61">
        <f t="shared" si="286"/>
        <v>-154.43372686480384</v>
      </c>
    </row>
    <row r="408" spans="14:47" x14ac:dyDescent="0.35">
      <c r="N408" s="10">
        <v>90</v>
      </c>
      <c r="O408" s="50">
        <f t="shared" si="254"/>
        <v>79432.823472428237</v>
      </c>
      <c r="P408" s="48" t="str">
        <f t="shared" si="255"/>
        <v>547.187404092767</v>
      </c>
      <c r="Q408" s="17" t="str">
        <f t="shared" si="256"/>
        <v>1+9571.73530087133i</v>
      </c>
      <c r="R408" s="17">
        <f t="shared" si="264"/>
        <v>9571.7353531084627</v>
      </c>
      <c r="S408" s="17">
        <f t="shared" si="265"/>
        <v>1.5706918525313562</v>
      </c>
      <c r="T408" s="17" t="str">
        <f t="shared" si="257"/>
        <v>1+0.181115776079282i</v>
      </c>
      <c r="U408" s="17">
        <f t="shared" si="266"/>
        <v>1.0162691200389791</v>
      </c>
      <c r="V408" s="17">
        <f t="shared" si="267"/>
        <v>0.17917348707653605</v>
      </c>
      <c r="W408" s="31" t="str">
        <f t="shared" si="258"/>
        <v>1-3.14512035636757i</v>
      </c>
      <c r="X408" s="17">
        <f t="shared" si="268"/>
        <v>3.3002699974453105</v>
      </c>
      <c r="Y408" s="17">
        <f t="shared" si="269"/>
        <v>-1.2629514725828768</v>
      </c>
      <c r="Z408" s="31" t="str">
        <f t="shared" si="259"/>
        <v>-1.08580940324031+15.0483511133608i</v>
      </c>
      <c r="AA408" s="17">
        <f t="shared" si="270"/>
        <v>15.087473389907014</v>
      </c>
      <c r="AB408" s="17">
        <f t="shared" si="271"/>
        <v>1.642826206279931</v>
      </c>
      <c r="AC408" s="66" t="str">
        <f t="shared" si="272"/>
        <v>-0.00512493506226239+0.0116290867037329i</v>
      </c>
      <c r="AD408" s="64">
        <f t="shared" si="273"/>
        <v>-37.918258142629739</v>
      </c>
      <c r="AE408" s="61">
        <f t="shared" si="274"/>
        <v>113.78307334233631</v>
      </c>
      <c r="AF408" s="31" t="str">
        <f t="shared" si="260"/>
        <v>-0.000106860158311346</v>
      </c>
      <c r="AG408" s="31" t="str">
        <f t="shared" si="261"/>
        <v>0.00230580110999585i</v>
      </c>
      <c r="AH408" s="31">
        <f t="shared" si="275"/>
        <v>2.3058011099958498E-3</v>
      </c>
      <c r="AI408" s="31">
        <f t="shared" si="276"/>
        <v>1.5707963267948966</v>
      </c>
      <c r="AJ408" s="31" t="str">
        <f t="shared" si="262"/>
        <v>1+36.4012453863403i</v>
      </c>
      <c r="AK408" s="31">
        <f t="shared" si="277"/>
        <v>36.414978589538684</v>
      </c>
      <c r="AL408" s="31">
        <f t="shared" si="278"/>
        <v>1.543331646932133</v>
      </c>
      <c r="AM408" s="31" t="str">
        <f t="shared" si="263"/>
        <v>1+233.574657895683i</v>
      </c>
      <c r="AN408" s="31">
        <f t="shared" si="279"/>
        <v>233.57679852906054</v>
      </c>
      <c r="AO408" s="31">
        <f t="shared" si="280"/>
        <v>1.5665150665791181</v>
      </c>
      <c r="AP408" s="58" t="str">
        <f t="shared" si="281"/>
        <v>-0.006890999276983+0.297185004068444i</v>
      </c>
      <c r="AQ408" s="49">
        <f t="shared" si="282"/>
        <v>-10.537127760681317</v>
      </c>
      <c r="AR408" s="61">
        <f t="shared" si="283"/>
        <v>91.328312100452919</v>
      </c>
      <c r="AS408" s="58" t="str">
        <f t="shared" si="284"/>
        <v>-0.00342067425555252-0.00160318987539636i</v>
      </c>
      <c r="AT408" s="64">
        <f t="shared" si="285"/>
        <v>-48.45538590331104</v>
      </c>
      <c r="AU408" s="61">
        <f t="shared" si="286"/>
        <v>-154.88861455721073</v>
      </c>
    </row>
    <row r="409" spans="14:47" x14ac:dyDescent="0.35">
      <c r="N409" s="10">
        <v>91</v>
      </c>
      <c r="O409" s="50">
        <f t="shared" si="254"/>
        <v>81283.051616410012</v>
      </c>
      <c r="P409" s="48" t="str">
        <f t="shared" si="255"/>
        <v>547.187404092767</v>
      </c>
      <c r="Q409" s="17" t="str">
        <f t="shared" si="256"/>
        <v>1+9794.68965734794i</v>
      </c>
      <c r="R409" s="17">
        <f t="shared" si="264"/>
        <v>9794.6897083960102</v>
      </c>
      <c r="S409" s="17">
        <f t="shared" si="265"/>
        <v>1.5706942306559164</v>
      </c>
      <c r="T409" s="17" t="str">
        <f t="shared" si="257"/>
        <v>1+0.18533450445342i</v>
      </c>
      <c r="U409" s="17">
        <f t="shared" si="266"/>
        <v>1.017029438384649</v>
      </c>
      <c r="V409" s="17">
        <f t="shared" si="267"/>
        <v>0.18325518176602881</v>
      </c>
      <c r="W409" s="31" t="str">
        <f t="shared" si="258"/>
        <v>1-3.21837962055048i</v>
      </c>
      <c r="X409" s="17">
        <f t="shared" si="268"/>
        <v>3.3701583615573099</v>
      </c>
      <c r="Y409" s="17">
        <f t="shared" si="269"/>
        <v>-1.2695381426950043</v>
      </c>
      <c r="Z409" s="31" t="str">
        <f t="shared" si="259"/>
        <v>-1.18411057192594+15.3988722396823i</v>
      </c>
      <c r="AA409" s="17">
        <f t="shared" si="270"/>
        <v>15.444331779025111</v>
      </c>
      <c r="AB409" s="17">
        <f t="shared" si="271"/>
        <v>1.6475412288433593</v>
      </c>
      <c r="AC409" s="66" t="str">
        <f t="shared" si="272"/>
        <v>-0.00491783064637867+0.0113811841922231i</v>
      </c>
      <c r="AD409" s="64">
        <f t="shared" si="273"/>
        <v>-38.132797615825659</v>
      </c>
      <c r="AE409" s="61">
        <f t="shared" si="274"/>
        <v>113.36926167314141</v>
      </c>
      <c r="AF409" s="31" t="str">
        <f t="shared" si="260"/>
        <v>-0.000106860158311346</v>
      </c>
      <c r="AG409" s="31" t="str">
        <f t="shared" si="261"/>
        <v>0.00235951011745194i</v>
      </c>
      <c r="AH409" s="31">
        <f t="shared" si="275"/>
        <v>2.3595101174519401E-3</v>
      </c>
      <c r="AI409" s="31">
        <f t="shared" si="276"/>
        <v>1.5707963267948966</v>
      </c>
      <c r="AJ409" s="31" t="str">
        <f t="shared" si="262"/>
        <v>1+37.2491393141341i</v>
      </c>
      <c r="AK409" s="31">
        <f t="shared" si="277"/>
        <v>37.262560025362866</v>
      </c>
      <c r="AL409" s="31">
        <f t="shared" si="278"/>
        <v>1.5439565156818837</v>
      </c>
      <c r="AM409" s="31" t="str">
        <f t="shared" si="263"/>
        <v>1+239.015310599027i</v>
      </c>
      <c r="AN409" s="31">
        <f t="shared" si="279"/>
        <v>239.01740250607139</v>
      </c>
      <c r="AO409" s="31">
        <f t="shared" si="280"/>
        <v>1.5666125188089679</v>
      </c>
      <c r="AP409" s="58" t="str">
        <f t="shared" si="281"/>
        <v>-0.00658107658776267+0.290428567750027i</v>
      </c>
      <c r="AQ409" s="49">
        <f t="shared" si="282"/>
        <v>-10.736983937213651</v>
      </c>
      <c r="AR409" s="61">
        <f t="shared" si="283"/>
        <v>91.298093359817116</v>
      </c>
      <c r="AS409" s="58" t="str">
        <f t="shared" si="284"/>
        <v>-0.00327305640411714-0.0015031789558934i</v>
      </c>
      <c r="AT409" s="64">
        <f t="shared" si="285"/>
        <v>-48.869781553039303</v>
      </c>
      <c r="AU409" s="61">
        <f t="shared" si="286"/>
        <v>-155.33264496704146</v>
      </c>
    </row>
    <row r="410" spans="14:47" x14ac:dyDescent="0.35">
      <c r="N410" s="10">
        <v>92</v>
      </c>
      <c r="O410" s="50">
        <f t="shared" si="254"/>
        <v>83176.377110267174</v>
      </c>
      <c r="P410" s="48" t="str">
        <f t="shared" si="255"/>
        <v>547.187404092767</v>
      </c>
      <c r="Q410" s="17" t="str">
        <f t="shared" si="256"/>
        <v>1+10022.8372879289i</v>
      </c>
      <c r="R410" s="17">
        <f t="shared" si="264"/>
        <v>10022.837337814974</v>
      </c>
      <c r="S410" s="17">
        <f t="shared" si="265"/>
        <v>1.5706965546477536</v>
      </c>
      <c r="T410" s="17" t="str">
        <f t="shared" si="257"/>
        <v>1+0.189651499635011i</v>
      </c>
      <c r="U410" s="17">
        <f t="shared" si="266"/>
        <v>1.0178249806886293</v>
      </c>
      <c r="V410" s="17">
        <f t="shared" si="267"/>
        <v>0.18742556718223025</v>
      </c>
      <c r="W410" s="31" t="str">
        <f t="shared" si="258"/>
        <v>1-3.2933453122085i</v>
      </c>
      <c r="X410" s="17">
        <f t="shared" si="268"/>
        <v>3.4418197723654425</v>
      </c>
      <c r="Y410" s="17">
        <f t="shared" si="269"/>
        <v>-1.2760010383159546</v>
      </c>
      <c r="Z410" s="31" t="str">
        <f t="shared" si="259"/>
        <v>-1.28704453196344+15.7575580518936i</v>
      </c>
      <c r="AA410" s="17">
        <f t="shared" si="270"/>
        <v>15.810032238615261</v>
      </c>
      <c r="AB410" s="17">
        <f t="shared" si="271"/>
        <v>1.6522933360743786</v>
      </c>
      <c r="AC410" s="66" t="str">
        <f t="shared" si="272"/>
        <v>-0.00471992765338466+0.0111380938175634i</v>
      </c>
      <c r="AD410" s="64">
        <f t="shared" si="273"/>
        <v>-38.346522304752767</v>
      </c>
      <c r="AE410" s="61">
        <f t="shared" si="274"/>
        <v>112.96550167086386</v>
      </c>
      <c r="AF410" s="31" t="str">
        <f t="shared" si="260"/>
        <v>-0.000106860158311346</v>
      </c>
      <c r="AG410" s="31" t="str">
        <f t="shared" si="261"/>
        <v>0.00241447016840411i</v>
      </c>
      <c r="AH410" s="31">
        <f t="shared" si="275"/>
        <v>2.4144701684041098E-3</v>
      </c>
      <c r="AI410" s="31">
        <f t="shared" si="276"/>
        <v>1.5707963267948966</v>
      </c>
      <c r="AJ410" s="31" t="str">
        <f t="shared" si="262"/>
        <v>1+38.116783228643i</v>
      </c>
      <c r="AK410" s="31">
        <f t="shared" si="277"/>
        <v>38.129898553488978</v>
      </c>
      <c r="AL410" s="31">
        <f t="shared" si="278"/>
        <v>1.5445671809410344</v>
      </c>
      <c r="AM410" s="31" t="str">
        <f t="shared" si="263"/>
        <v>1+244.582692383792i</v>
      </c>
      <c r="AN410" s="31">
        <f t="shared" si="279"/>
        <v>244.58473667362119</v>
      </c>
      <c r="AO410" s="31">
        <f t="shared" si="280"/>
        <v>1.5667077528320303</v>
      </c>
      <c r="AP410" s="58" t="str">
        <f t="shared" si="281"/>
        <v>-0.00628508307687583+0.283825371872053i</v>
      </c>
      <c r="AQ410" s="49">
        <f t="shared" si="282"/>
        <v>-10.936846582200513</v>
      </c>
      <c r="AR410" s="61">
        <f t="shared" si="283"/>
        <v>91.268561325360039</v>
      </c>
      <c r="AS410" s="58" t="str">
        <f t="shared" si="284"/>
        <v>-0.00313160848229738-0.00140963906639251i</v>
      </c>
      <c r="AT410" s="64">
        <f t="shared" si="285"/>
        <v>-49.283368886953276</v>
      </c>
      <c r="AU410" s="61">
        <f t="shared" si="286"/>
        <v>-155.76593700377612</v>
      </c>
    </row>
    <row r="411" spans="14:47" x14ac:dyDescent="0.35">
      <c r="N411" s="10">
        <v>93</v>
      </c>
      <c r="O411" s="50">
        <f t="shared" si="254"/>
        <v>85113.803820237721</v>
      </c>
      <c r="P411" s="48" t="str">
        <f t="shared" si="255"/>
        <v>547.187404092767</v>
      </c>
      <c r="Q411" s="17" t="str">
        <f t="shared" si="256"/>
        <v>1+10256.2991595079i</v>
      </c>
      <c r="R411" s="17">
        <f t="shared" si="264"/>
        <v>10256.299208258426</v>
      </c>
      <c r="S411" s="17">
        <f t="shared" si="265"/>
        <v>1.5706988257390793</v>
      </c>
      <c r="T411" s="17" t="str">
        <f t="shared" si="257"/>
        <v>1+0.194069050552042i</v>
      </c>
      <c r="U411" s="17">
        <f t="shared" si="266"/>
        <v>1.0186573498395675</v>
      </c>
      <c r="V411" s="17">
        <f t="shared" si="267"/>
        <v>0.19168627398126745</v>
      </c>
      <c r="W411" s="31" t="str">
        <f t="shared" si="258"/>
        <v>1-3.37005717914363i</v>
      </c>
      <c r="X411" s="17">
        <f t="shared" si="268"/>
        <v>3.5152930732298153</v>
      </c>
      <c r="Y411" s="17">
        <f t="shared" si="269"/>
        <v>-1.2823414257786578</v>
      </c>
      <c r="Z411" s="31" t="str">
        <f t="shared" si="259"/>
        <v>-1.39482962008262+16.1245987299599i</v>
      </c>
      <c r="AA411" s="17">
        <f t="shared" si="270"/>
        <v>16.184814916188699</v>
      </c>
      <c r="AB411" s="17">
        <f t="shared" si="271"/>
        <v>1.6570847424317265</v>
      </c>
      <c r="AC411" s="66" t="str">
        <f t="shared" si="272"/>
        <v>-0.00453081691422658+0.0108997667879027i</v>
      </c>
      <c r="AD411" s="64">
        <f t="shared" si="273"/>
        <v>-38.559453326167386</v>
      </c>
      <c r="AE411" s="61">
        <f t="shared" si="274"/>
        <v>112.57168725994478</v>
      </c>
      <c r="AF411" s="31" t="str">
        <f t="shared" si="260"/>
        <v>-0.000106860158311346</v>
      </c>
      <c r="AG411" s="31" t="str">
        <f t="shared" si="261"/>
        <v>0.00247071040339885i</v>
      </c>
      <c r="AH411" s="31">
        <f t="shared" si="275"/>
        <v>2.47071040339885E-3</v>
      </c>
      <c r="AI411" s="31">
        <f t="shared" si="276"/>
        <v>1.5707963267948966</v>
      </c>
      <c r="AJ411" s="31" t="str">
        <f t="shared" si="262"/>
        <v>1+39.004637166155i</v>
      </c>
      <c r="AK411" s="31">
        <f t="shared" si="277"/>
        <v>39.017454048968908</v>
      </c>
      <c r="AL411" s="31">
        <f t="shared" si="278"/>
        <v>1.5451639646695501</v>
      </c>
      <c r="AM411" s="31" t="str">
        <f t="shared" si="263"/>
        <v>1+250.279755149494i</v>
      </c>
      <c r="AN411" s="31">
        <f t="shared" si="279"/>
        <v>250.28175290598128</v>
      </c>
      <c r="AO411" s="31">
        <f t="shared" si="280"/>
        <v>1.5668008191357312</v>
      </c>
      <c r="AP411" s="58" t="str">
        <f t="shared" si="281"/>
        <v>-0.00600239355442971+0.277371965232539i</v>
      </c>
      <c r="AQ411" s="49">
        <f t="shared" si="282"/>
        <v>-11.136715404923791</v>
      </c>
      <c r="AR411" s="61">
        <f t="shared" si="283"/>
        <v>91.239700442850946</v>
      </c>
      <c r="AS411" s="58" t="str">
        <f t="shared" si="284"/>
        <v>-0.00299609398829468-0.00132214628152035i</v>
      </c>
      <c r="AT411" s="64">
        <f t="shared" si="285"/>
        <v>-49.696168731091163</v>
      </c>
      <c r="AU411" s="61">
        <f t="shared" si="286"/>
        <v>-156.18861229720429</v>
      </c>
    </row>
    <row r="412" spans="14:47" x14ac:dyDescent="0.35">
      <c r="N412" s="10">
        <v>94</v>
      </c>
      <c r="O412" s="50">
        <f t="shared" si="254"/>
        <v>87096.358995608127</v>
      </c>
      <c r="P412" s="48" t="str">
        <f t="shared" si="255"/>
        <v>547.187404092767</v>
      </c>
      <c r="Q412" s="17" t="str">
        <f t="shared" si="256"/>
        <v>1+10495.1990566594i</v>
      </c>
      <c r="R412" s="17">
        <f t="shared" si="264"/>
        <v>10495.199104300229</v>
      </c>
      <c r="S412" s="17">
        <f t="shared" si="265"/>
        <v>1.5707010451340557</v>
      </c>
      <c r="T412" s="17" t="str">
        <f t="shared" si="257"/>
        <v>1+0.198589499448484i</v>
      </c>
      <c r="U412" s="17">
        <f t="shared" si="266"/>
        <v>1.0195282189773853</v>
      </c>
      <c r="V412" s="17">
        <f t="shared" si="267"/>
        <v>0.19603894216890688</v>
      </c>
      <c r="W412" s="31" t="str">
        <f t="shared" si="258"/>
        <v>1-3.44855589500312i</v>
      </c>
      <c r="X412" s="17">
        <f t="shared" si="268"/>
        <v>3.5906180193611195</v>
      </c>
      <c r="Y412" s="17">
        <f t="shared" si="269"/>
        <v>-1.2885606269845253</v>
      </c>
      <c r="Z412" s="31" t="str">
        <f t="shared" si="259"/>
        <v>-1.50769446290641+16.5001888837071i</v>
      </c>
      <c r="AA412" s="17">
        <f t="shared" si="270"/>
        <v>16.568928021797003</v>
      </c>
      <c r="AB412" s="17">
        <f t="shared" si="271"/>
        <v>1.6619176658692849</v>
      </c>
      <c r="AC412" s="66" t="str">
        <f t="shared" si="272"/>
        <v>-0.00435010700550066+0.0106661515057932i</v>
      </c>
      <c r="AD412" s="64">
        <f t="shared" si="273"/>
        <v>-38.771610894388708</v>
      </c>
      <c r="AE412" s="61">
        <f t="shared" si="274"/>
        <v>112.18770951803143</v>
      </c>
      <c r="AF412" s="31" t="str">
        <f t="shared" si="260"/>
        <v>-0.000106860158311346</v>
      </c>
      <c r="AG412" s="31" t="str">
        <f t="shared" si="261"/>
        <v>0.0025282606417532i</v>
      </c>
      <c r="AH412" s="31">
        <f t="shared" si="275"/>
        <v>2.5282606417532001E-3</v>
      </c>
      <c r="AI412" s="31">
        <f t="shared" si="276"/>
        <v>1.5707963267948966</v>
      </c>
      <c r="AJ412" s="31" t="str">
        <f t="shared" si="262"/>
        <v>1+39.9131718785799i</v>
      </c>
      <c r="AK412" s="31">
        <f t="shared" si="277"/>
        <v>39.925697106112771</v>
      </c>
      <c r="AL412" s="31">
        <f t="shared" si="278"/>
        <v>1.5457471815887289</v>
      </c>
      <c r="AM412" s="31" t="str">
        <f t="shared" si="263"/>
        <v>1+256.10951955422i</v>
      </c>
      <c r="AN412" s="31">
        <f t="shared" si="279"/>
        <v>256.11147183656851</v>
      </c>
      <c r="AO412" s="31">
        <f t="shared" si="280"/>
        <v>1.5668917670586042</v>
      </c>
      <c r="AP412" s="58" t="str">
        <f t="shared" si="281"/>
        <v>-0.00573241081703174+0.271064972726514i</v>
      </c>
      <c r="AQ412" s="49">
        <f t="shared" si="282"/>
        <v>-11.336590127714064</v>
      </c>
      <c r="AR412" s="61">
        <f t="shared" si="283"/>
        <v>91.211495506977499</v>
      </c>
      <c r="AS412" s="58" t="str">
        <f t="shared" si="284"/>
        <v>-0.00286628346656112-0.00124030439907136i</v>
      </c>
      <c r="AT412" s="64">
        <f t="shared" si="285"/>
        <v>-50.108201022102776</v>
      </c>
      <c r="AU412" s="61">
        <f t="shared" si="286"/>
        <v>-156.60079497499109</v>
      </c>
    </row>
    <row r="413" spans="14:47" x14ac:dyDescent="0.35">
      <c r="N413" s="10">
        <v>95</v>
      </c>
      <c r="O413" s="50">
        <f t="shared" si="254"/>
        <v>89125.093813374609</v>
      </c>
      <c r="P413" s="48" t="str">
        <f t="shared" si="255"/>
        <v>547.187404092767</v>
      </c>
      <c r="Q413" s="17" t="str">
        <f t="shared" si="256"/>
        <v>1+10739.6636472712i</v>
      </c>
      <c r="R413" s="17">
        <f t="shared" si="264"/>
        <v>10739.663693827593</v>
      </c>
      <c r="S413" s="17">
        <f t="shared" si="265"/>
        <v>1.5707032140094357</v>
      </c>
      <c r="T413" s="17" t="str">
        <f t="shared" si="257"/>
        <v>1+0.203215243126177i</v>
      </c>
      <c r="U413" s="17">
        <f t="shared" si="266"/>
        <v>1.0204393343255791</v>
      </c>
      <c r="V413" s="17">
        <f t="shared" si="267"/>
        <v>0.20048521955549983</v>
      </c>
      <c r="W413" s="31" t="str">
        <f t="shared" si="258"/>
        <v>1-3.52888308084518i</v>
      </c>
      <c r="X413" s="17">
        <f t="shared" si="268"/>
        <v>3.6678353014108156</v>
      </c>
      <c r="Y413" s="17">
        <f t="shared" si="269"/>
        <v>-1.2946600143100389</v>
      </c>
      <c r="Z413" s="31" t="str">
        <f t="shared" si="259"/>
        <v>-1.62587846189846+16.8845276560063i</v>
      </c>
      <c r="AA413" s="17">
        <f t="shared" si="270"/>
        <v>16.962628184904215</v>
      </c>
      <c r="AB413" s="17">
        <f t="shared" si="271"/>
        <v>1.6667943276348509</v>
      </c>
      <c r="AC413" s="66" t="str">
        <f t="shared" si="272"/>
        <v>-0.00417742349984254+0.010437193885418i</v>
      </c>
      <c r="AD413" s="64">
        <f t="shared" si="273"/>
        <v>-38.983014319697183</v>
      </c>
      <c r="AE413" s="61">
        <f t="shared" si="274"/>
        <v>111.81345689077467</v>
      </c>
      <c r="AF413" s="31" t="str">
        <f t="shared" si="260"/>
        <v>-0.000106860158311346</v>
      </c>
      <c r="AG413" s="31" t="str">
        <f t="shared" si="261"/>
        <v>0.00258715139736529i</v>
      </c>
      <c r="AH413" s="31">
        <f t="shared" si="275"/>
        <v>2.5871513973652902E-3</v>
      </c>
      <c r="AI413" s="31">
        <f t="shared" si="276"/>
        <v>1.5707963267948966</v>
      </c>
      <c r="AJ413" s="31" t="str">
        <f t="shared" si="262"/>
        <v>1+40.842869083048i</v>
      </c>
      <c r="AK413" s="31">
        <f t="shared" si="277"/>
        <v>40.855109288007029</v>
      </c>
      <c r="AL413" s="31">
        <f t="shared" si="278"/>
        <v>1.5463171393399797</v>
      </c>
      <c r="AM413" s="31" t="str">
        <f t="shared" si="263"/>
        <v>1+262.075076616224i</v>
      </c>
      <c r="AN413" s="31">
        <f t="shared" si="279"/>
        <v>262.07698445952803</v>
      </c>
      <c r="AO413" s="31">
        <f t="shared" si="280"/>
        <v>1.5669806448164203</v>
      </c>
      <c r="AP413" s="58" t="str">
        <f t="shared" si="281"/>
        <v>-0.00547456440150696+0.26490109377752i</v>
      </c>
      <c r="AQ413" s="49">
        <f t="shared" si="282"/>
        <v>-11.536470485365912</v>
      </c>
      <c r="AR413" s="61">
        <f t="shared" si="283"/>
        <v>91.183931653745518</v>
      </c>
      <c r="AS413" s="58" t="str">
        <f t="shared" si="284"/>
        <v>-0.00274195450223302-0.00116374314437694i</v>
      </c>
      <c r="AT413" s="64">
        <f t="shared" si="285"/>
        <v>-50.51948480506308</v>
      </c>
      <c r="AU413" s="61">
        <f t="shared" si="286"/>
        <v>-157.00261145547984</v>
      </c>
    </row>
    <row r="414" spans="14:47" x14ac:dyDescent="0.35">
      <c r="N414" s="10">
        <v>96</v>
      </c>
      <c r="O414" s="50">
        <f t="shared" si="254"/>
        <v>91201.083935591028</v>
      </c>
      <c r="P414" s="48" t="str">
        <f t="shared" si="255"/>
        <v>547.187404092767</v>
      </c>
      <c r="Q414" s="17" t="str">
        <f t="shared" si="256"/>
        <v>1+10989.822549705i</v>
      </c>
      <c r="R414" s="17">
        <f t="shared" si="264"/>
        <v>10989.82259520164</v>
      </c>
      <c r="S414" s="17">
        <f t="shared" si="265"/>
        <v>1.5707053335151855</v>
      </c>
      <c r="T414" s="17" t="str">
        <f t="shared" si="257"/>
        <v>1+0.207948734215646i</v>
      </c>
      <c r="U414" s="17">
        <f t="shared" si="266"/>
        <v>1.0213925181152883</v>
      </c>
      <c r="V414" s="17">
        <f t="shared" si="267"/>
        <v>0.20502676008047424</v>
      </c>
      <c r="W414" s="31" t="str">
        <f t="shared" si="258"/>
        <v>1-3.61108132720699i</v>
      </c>
      <c r="X414" s="17">
        <f t="shared" si="268"/>
        <v>3.7469865694585822</v>
      </c>
      <c r="Y414" s="17">
        <f t="shared" si="269"/>
        <v>-1.3006410057252022</v>
      </c>
      <c r="Z414" s="31" t="str">
        <f t="shared" si="259"/>
        <v>-1.74963230116587+17.2778188283618i</v>
      </c>
      <c r="AA414" s="17">
        <f t="shared" si="270"/>
        <v>17.366180830999557</v>
      </c>
      <c r="AB414" s="17">
        <f t="shared" si="271"/>
        <v>1.6717169519996409</v>
      </c>
      <c r="AC414" s="66" t="str">
        <f t="shared" si="272"/>
        <v>-0.00401240824556963+0.0102128376461098i</v>
      </c>
      <c r="AD414" s="64">
        <f t="shared" si="273"/>
        <v>-39.19368200885102</v>
      </c>
      <c r="AE414" s="61">
        <f t="shared" si="274"/>
        <v>111.4488153909857</v>
      </c>
      <c r="AF414" s="31" t="str">
        <f t="shared" si="260"/>
        <v>-0.000106860158311346</v>
      </c>
      <c r="AG414" s="31" t="str">
        <f t="shared" si="261"/>
        <v>0.00264741389489326i</v>
      </c>
      <c r="AH414" s="31">
        <f t="shared" si="275"/>
        <v>2.6474138948932601E-3</v>
      </c>
      <c r="AI414" s="31">
        <f t="shared" si="276"/>
        <v>1.5707963267948966</v>
      </c>
      <c r="AJ414" s="31" t="str">
        <f t="shared" si="262"/>
        <v>1+41.7942217173233i</v>
      </c>
      <c r="AK414" s="31">
        <f t="shared" si="277"/>
        <v>41.806183381848896</v>
      </c>
      <c r="AL414" s="31">
        <f t="shared" si="278"/>
        <v>1.5468741386403833</v>
      </c>
      <c r="AM414" s="31" t="str">
        <f t="shared" si="263"/>
        <v>1+268.179589352824i</v>
      </c>
      <c r="AN414" s="31">
        <f t="shared" si="279"/>
        <v>268.18145376861781</v>
      </c>
      <c r="AO414" s="31">
        <f t="shared" si="280"/>
        <v>1.5670674995277234</v>
      </c>
      <c r="AP414" s="58" t="str">
        <f t="shared" si="281"/>
        <v>-0.00522830939353908+0.258877100793932i</v>
      </c>
      <c r="AQ414" s="49">
        <f t="shared" si="282"/>
        <v>-11.736356224580316</v>
      </c>
      <c r="AR414" s="61">
        <f t="shared" si="283"/>
        <v>91.156994353029148</v>
      </c>
      <c r="AS414" s="58" t="str">
        <f t="shared" si="284"/>
        <v>-0.002622891688983-0.00109211648881458i</v>
      </c>
      <c r="AT414" s="64">
        <f t="shared" si="285"/>
        <v>-50.930038233431347</v>
      </c>
      <c r="AU414" s="61">
        <f t="shared" si="286"/>
        <v>-157.39419025598511</v>
      </c>
    </row>
    <row r="415" spans="14:47" x14ac:dyDescent="0.35">
      <c r="N415" s="10">
        <v>97</v>
      </c>
      <c r="O415" s="50">
        <f t="shared" si="254"/>
        <v>93325.430079699145</v>
      </c>
      <c r="P415" s="48" t="str">
        <f t="shared" si="255"/>
        <v>547.187404092767</v>
      </c>
      <c r="Q415" s="17" t="str">
        <f t="shared" si="256"/>
        <v>1+11245.8084015221i</v>
      </c>
      <c r="R415" s="17">
        <f t="shared" si="264"/>
        <v>11245.80844598311</v>
      </c>
      <c r="S415" s="17">
        <f t="shared" si="265"/>
        <v>1.5707074047750951</v>
      </c>
      <c r="T415" s="17" t="str">
        <f t="shared" si="257"/>
        <v>1+0.212792482476524i</v>
      </c>
      <c r="U415" s="17">
        <f t="shared" si="266"/>
        <v>1.0223896716020373</v>
      </c>
      <c r="V415" s="17">
        <f t="shared" si="267"/>
        <v>0.20966522199992527</v>
      </c>
      <c r="W415" s="31" t="str">
        <f t="shared" si="258"/>
        <v>1-3.6951942166868i</v>
      </c>
      <c r="X415" s="17">
        <f t="shared" si="268"/>
        <v>3.8281144574105381</v>
      </c>
      <c r="Y415" s="17">
        <f t="shared" si="269"/>
        <v>-1.3065050601253085</v>
      </c>
      <c r="Z415" s="31" t="str">
        <f t="shared" si="259"/>
        <v>-1.87921847919367+17.6802709289591i</v>
      </c>
      <c r="AA415" s="17">
        <f t="shared" si="270"/>
        <v>17.77986057914795</v>
      </c>
      <c r="AB415" s="17">
        <f t="shared" si="271"/>
        <v>1.6766877659135828</v>
      </c>
      <c r="AC415" s="66" t="str">
        <f t="shared" si="272"/>
        <v>-0.00385471867464591+0.00999302458371317i</v>
      </c>
      <c r="AD415" s="64">
        <f t="shared" si="273"/>
        <v>-39.403631467581384</v>
      </c>
      <c r="AE415" s="61">
        <f t="shared" si="274"/>
        <v>111.09366878197631</v>
      </c>
      <c r="AF415" s="31" t="str">
        <f t="shared" si="260"/>
        <v>-0.000106860158311346</v>
      </c>
      <c r="AG415" s="31" t="str">
        <f t="shared" si="261"/>
        <v>0.00270908008631097i</v>
      </c>
      <c r="AH415" s="31">
        <f t="shared" si="275"/>
        <v>2.7090800863109701E-3</v>
      </c>
      <c r="AI415" s="31">
        <f t="shared" si="276"/>
        <v>1.5707963267948966</v>
      </c>
      <c r="AJ415" s="31" t="str">
        <f t="shared" si="262"/>
        <v>1+42.7677342011651i</v>
      </c>
      <c r="AK415" s="31">
        <f t="shared" si="277"/>
        <v>42.779423660230705</v>
      </c>
      <c r="AL415" s="31">
        <f t="shared" si="278"/>
        <v>1.5474184734350853</v>
      </c>
      <c r="AM415" s="31" t="str">
        <f t="shared" si="263"/>
        <v>1+274.426294457475i</v>
      </c>
      <c r="AN415" s="31">
        <f t="shared" si="279"/>
        <v>274.4281164342691</v>
      </c>
      <c r="AO415" s="31">
        <f t="shared" si="280"/>
        <v>1.5671523772387863</v>
      </c>
      <c r="AP415" s="58" t="str">
        <f t="shared" si="281"/>
        <v>-0.00499312528886584+0.252989837650303i</v>
      </c>
      <c r="AQ415" s="49">
        <f t="shared" si="282"/>
        <v>-11.936247103431146</v>
      </c>
      <c r="AR415" s="61">
        <f t="shared" si="283"/>
        <v>91.130669401269245</v>
      </c>
      <c r="AS415" s="58" t="str">
        <f t="shared" si="284"/>
        <v>-0.00250888657377324-0.00102510107544746i</v>
      </c>
      <c r="AT415" s="64">
        <f t="shared" si="285"/>
        <v>-51.339878571012534</v>
      </c>
      <c r="AU415" s="61">
        <f t="shared" si="286"/>
        <v>-157.77566181675434</v>
      </c>
    </row>
    <row r="416" spans="14:47" x14ac:dyDescent="0.35">
      <c r="N416" s="10">
        <v>98</v>
      </c>
      <c r="O416" s="50">
        <f t="shared" si="254"/>
        <v>95499.258602143804</v>
      </c>
      <c r="P416" s="48" t="str">
        <f t="shared" si="255"/>
        <v>547.187404092767</v>
      </c>
      <c r="Q416" s="17" t="str">
        <f t="shared" si="256"/>
        <v>1+11507.7569298096i</v>
      </c>
      <c r="R416" s="17">
        <f t="shared" si="264"/>
        <v>11507.756973258554</v>
      </c>
      <c r="S416" s="17">
        <f t="shared" si="265"/>
        <v>1.5707094288873737</v>
      </c>
      <c r="T416" s="17" t="str">
        <f t="shared" si="257"/>
        <v>1+0.217749056128253i</v>
      </c>
      <c r="U416" s="17">
        <f t="shared" si="266"/>
        <v>1.0234327781758532</v>
      </c>
      <c r="V416" s="17">
        <f t="shared" si="267"/>
        <v>0.21440226593077069</v>
      </c>
      <c r="W416" s="31" t="str">
        <f t="shared" si="258"/>
        <v>1-3.78126634705198i</v>
      </c>
      <c r="X416" s="17">
        <f t="shared" si="268"/>
        <v>3.9112626078221626</v>
      </c>
      <c r="Y416" s="17">
        <f t="shared" si="269"/>
        <v>-1.3122536728762184</v>
      </c>
      <c r="Z416" s="31" t="str">
        <f t="shared" si="259"/>
        <v>-2.01491186563939+18.092097343229i</v>
      </c>
      <c r="AA416" s="17">
        <f t="shared" si="270"/>
        <v>18.203951661745542</v>
      </c>
      <c r="AB416" s="17">
        <f t="shared" si="271"/>
        <v>1.6817089985813511</v>
      </c>
      <c r="AC416" s="66" t="str">
        <f t="shared" si="272"/>
        <v>-0.00370402713805015+0.0097776948212462i</v>
      </c>
      <c r="AD416" s="64">
        <f t="shared" si="273"/>
        <v>-39.612879304938481</v>
      </c>
      <c r="AE416" s="61">
        <f t="shared" si="274"/>
        <v>110.74789874499245</v>
      </c>
      <c r="AF416" s="31" t="str">
        <f t="shared" si="260"/>
        <v>-0.000106860158311346</v>
      </c>
      <c r="AG416" s="31" t="str">
        <f t="shared" si="261"/>
        <v>0.00277218266784937i</v>
      </c>
      <c r="AH416" s="31">
        <f t="shared" si="275"/>
        <v>2.7721826678493702E-3</v>
      </c>
      <c r="AI416" s="31">
        <f t="shared" si="276"/>
        <v>1.5707963267948966</v>
      </c>
      <c r="AJ416" s="31" t="str">
        <f t="shared" si="262"/>
        <v>1+43.7639227037782i</v>
      </c>
      <c r="AK416" s="31">
        <f t="shared" si="277"/>
        <v>43.775346148514608</v>
      </c>
      <c r="AL416" s="31">
        <f t="shared" si="278"/>
        <v>1.5479504310465666</v>
      </c>
      <c r="AM416" s="31" t="str">
        <f t="shared" si="263"/>
        <v>1+280.818504015909i</v>
      </c>
      <c r="AN416" s="31">
        <f t="shared" si="279"/>
        <v>280.82028451971399</v>
      </c>
      <c r="AO416" s="31">
        <f t="shared" si="280"/>
        <v>1.5672353229480005</v>
      </c>
      <c r="AP416" s="58" t="str">
        <f t="shared" si="281"/>
        <v>-0.00476851490475692+0.247236218193807i</v>
      </c>
      <c r="AQ416" s="49">
        <f t="shared" si="282"/>
        <v>-12.136142890855616</v>
      </c>
      <c r="AR416" s="61">
        <f t="shared" si="283"/>
        <v>91.104942914318187</v>
      </c>
      <c r="AS416" s="58" t="str">
        <f t="shared" si="284"/>
        <v>-0.00239973758164267-0.000962394745188026i</v>
      </c>
      <c r="AT416" s="64">
        <f t="shared" si="285"/>
        <v>-51.749022195794083</v>
      </c>
      <c r="AU416" s="61">
        <f t="shared" si="286"/>
        <v>-158.1471583406894</v>
      </c>
    </row>
    <row r="417" spans="14:47" x14ac:dyDescent="0.35">
      <c r="N417" s="10">
        <v>99</v>
      </c>
      <c r="O417" s="50">
        <f t="shared" si="254"/>
        <v>97723.722095581266</v>
      </c>
      <c r="P417" s="48" t="str">
        <f t="shared" si="255"/>
        <v>547.187404092767</v>
      </c>
      <c r="Q417" s="17" t="str">
        <f t="shared" si="256"/>
        <v>1+11775.8070231445i</v>
      </c>
      <c r="R417" s="17">
        <f t="shared" si="264"/>
        <v>11775.807065604435</v>
      </c>
      <c r="S417" s="17">
        <f t="shared" si="265"/>
        <v>1.5707114069252324</v>
      </c>
      <c r="T417" s="17" t="str">
        <f t="shared" si="257"/>
        <v>1+0.222821083211789i</v>
      </c>
      <c r="U417" s="17">
        <f t="shared" si="266"/>
        <v>1.0245239065652274</v>
      </c>
      <c r="V417" s="17">
        <f t="shared" si="267"/>
        <v>0.21923955274493975</v>
      </c>
      <c r="W417" s="31" t="str">
        <f t="shared" si="258"/>
        <v>1-3.86934335488533i</v>
      </c>
      <c r="X417" s="17">
        <f t="shared" si="268"/>
        <v>3.9964756971605948</v>
      </c>
      <c r="Y417" s="17">
        <f t="shared" si="269"/>
        <v>-1.3178883715722116</v>
      </c>
      <c r="Z417" s="31" t="str">
        <f t="shared" si="259"/>
        <v>-2.1570002843684+18.5135164269875i</v>
      </c>
      <c r="AA417" s="17">
        <f t="shared" si="270"/>
        <v>18.638748367825063</v>
      </c>
      <c r="AB417" s="17">
        <f t="shared" si="271"/>
        <v>1.6867828809538608</v>
      </c>
      <c r="AC417" s="66" t="str">
        <f t="shared" si="272"/>
        <v>-0.00356002026764082+0.00956678704022789i</v>
      </c>
      <c r="AD417" s="64">
        <f t="shared" si="273"/>
        <v>-39.821441239371588</v>
      </c>
      <c r="AE417" s="61">
        <f t="shared" si="274"/>
        <v>110.41138503071868</v>
      </c>
      <c r="AF417" s="31" t="str">
        <f t="shared" si="260"/>
        <v>-0.000106860158311346</v>
      </c>
      <c r="AG417" s="31" t="str">
        <f t="shared" si="261"/>
        <v>0.00283675509733242i</v>
      </c>
      <c r="AH417" s="31">
        <f t="shared" si="275"/>
        <v>2.8367550973324202E-3</v>
      </c>
      <c r="AI417" s="31">
        <f t="shared" si="276"/>
        <v>1.5707963267948966</v>
      </c>
      <c r="AJ417" s="31" t="str">
        <f t="shared" si="262"/>
        <v>1+44.7833154174928i</v>
      </c>
      <c r="AK417" s="31">
        <f t="shared" si="277"/>
        <v>44.794478898438463</v>
      </c>
      <c r="AL417" s="31">
        <f t="shared" si="278"/>
        <v>1.5484702923208418</v>
      </c>
      <c r="AM417" s="31" t="str">
        <f t="shared" si="263"/>
        <v>1+287.359607262245i</v>
      </c>
      <c r="AN417" s="31">
        <f t="shared" si="279"/>
        <v>287.36134723708352</v>
      </c>
      <c r="AO417" s="31">
        <f t="shared" si="280"/>
        <v>1.5673163806297106</v>
      </c>
      <c r="AP417" s="58" t="str">
        <f t="shared" si="281"/>
        <v>-0.00455400333959555+0.241613224775826i</v>
      </c>
      <c r="AQ417" s="49">
        <f t="shared" si="282"/>
        <v>-12.336043366167896</v>
      </c>
      <c r="AR417" s="61">
        <f t="shared" si="283"/>
        <v>91.079801320429027</v>
      </c>
      <c r="AS417" s="58" t="str">
        <f t="shared" si="284"/>
        <v>-0.00229524992334518-0.000903715157262395i</v>
      </c>
      <c r="AT417" s="64">
        <f t="shared" si="285"/>
        <v>-52.157484605539473</v>
      </c>
      <c r="AU417" s="61">
        <f t="shared" si="286"/>
        <v>-158.50881364885231</v>
      </c>
    </row>
    <row r="418" spans="14:47" x14ac:dyDescent="0.35">
      <c r="N418" s="10">
        <v>100</v>
      </c>
      <c r="O418" s="50">
        <f t="shared" si="254"/>
        <v>100000</v>
      </c>
      <c r="P418" s="48" t="str">
        <f t="shared" si="255"/>
        <v>547.187404092767</v>
      </c>
      <c r="Q418" s="17" t="str">
        <f t="shared" si="256"/>
        <v>1+12050.1008052342i</v>
      </c>
      <c r="R418" s="17">
        <f t="shared" si="264"/>
        <v>12050.100846727628</v>
      </c>
      <c r="S418" s="17">
        <f t="shared" si="265"/>
        <v>1.5707133399374531</v>
      </c>
      <c r="T418" s="17" t="str">
        <f t="shared" si="257"/>
        <v>1+0.22801125298303i</v>
      </c>
      <c r="U418" s="17">
        <f t="shared" si="266"/>
        <v>1.0256652141351441</v>
      </c>
      <c r="V418" s="17">
        <f t="shared" si="267"/>
        <v>0.22417874130704538</v>
      </c>
      <c r="W418" s="31" t="str">
        <f t="shared" si="258"/>
        <v>1-3.95947193978226i</v>
      </c>
      <c r="X418" s="17">
        <f t="shared" si="268"/>
        <v>4.0837994615214761</v>
      </c>
      <c r="Y418" s="17">
        <f t="shared" si="269"/>
        <v>-1.3234107120044885</v>
      </c>
      <c r="Z418" s="31" t="str">
        <f t="shared" si="259"/>
        <v>-2.30578512396695+18.9447516222109i</v>
      </c>
      <c r="AA418" s="17">
        <f t="shared" si="270"/>
        <v>19.084555511333498</v>
      </c>
      <c r="AB418" s="17">
        <f t="shared" si="271"/>
        <v>1.6919116451298115</v>
      </c>
      <c r="AC418" s="66" t="str">
        <f t="shared" si="272"/>
        <v>-0.00342239836362552+0.00936023869395135i</v>
      </c>
      <c r="AD418" s="64">
        <f t="shared" si="273"/>
        <v>-40.029332106438986</v>
      </c>
      <c r="AE418" s="61">
        <f t="shared" si="274"/>
        <v>110.08400559490079</v>
      </c>
      <c r="AF418" s="31" t="str">
        <f t="shared" si="260"/>
        <v>-0.000106860158311346</v>
      </c>
      <c r="AG418" s="31" t="str">
        <f t="shared" si="261"/>
        <v>0.00290283161191697i</v>
      </c>
      <c r="AH418" s="31">
        <f t="shared" si="275"/>
        <v>2.90283161191697E-3</v>
      </c>
      <c r="AI418" s="31">
        <f t="shared" si="276"/>
        <v>1.5707963267948966</v>
      </c>
      <c r="AJ418" s="31" t="str">
        <f t="shared" si="262"/>
        <v>1+45.826452837819i</v>
      </c>
      <c r="AK418" s="31">
        <f t="shared" si="277"/>
        <v>45.837362268097948</v>
      </c>
      <c r="AL418" s="31">
        <f t="shared" si="278"/>
        <v>1.5489783317706314</v>
      </c>
      <c r="AM418" s="31" t="str">
        <f t="shared" si="263"/>
        <v>1+294.053072376004i</v>
      </c>
      <c r="AN418" s="31">
        <f t="shared" si="279"/>
        <v>294.05477274441142</v>
      </c>
      <c r="AO418" s="31">
        <f t="shared" si="280"/>
        <v>1.5673955932575094</v>
      </c>
      <c r="AP418" s="58" t="str">
        <f t="shared" si="281"/>
        <v>-0.00434913697847786+0.236117906808722i</v>
      </c>
      <c r="AQ418" s="49">
        <f t="shared" si="282"/>
        <v>-12.535948318593901</v>
      </c>
      <c r="AR418" s="61">
        <f t="shared" si="283"/>
        <v>91.055231353386944</v>
      </c>
      <c r="AS418" s="58" t="str">
        <f t="shared" si="284"/>
        <v>-0.00219523548836747-0.000848798498116096i</v>
      </c>
      <c r="AT418" s="64">
        <f t="shared" si="285"/>
        <v>-52.565280425032896</v>
      </c>
      <c r="AU418" s="61">
        <f t="shared" si="286"/>
        <v>-158.86076305171224</v>
      </c>
    </row>
    <row r="419" spans="14:47" x14ac:dyDescent="0.35">
      <c r="N419" s="10">
        <v>1</v>
      </c>
      <c r="O419" s="50">
        <f>10^(5+(N419/100))</f>
        <v>102329.29922807543</v>
      </c>
      <c r="P419" s="48" t="str">
        <f t="shared" si="255"/>
        <v>547.187404092767</v>
      </c>
      <c r="Q419" s="17" t="str">
        <f t="shared" si="256"/>
        <v>1+12330.7837102728i</v>
      </c>
      <c r="R419" s="17">
        <f t="shared" si="264"/>
        <v>12330.783750821722</v>
      </c>
      <c r="S419" s="17">
        <f t="shared" si="265"/>
        <v>1.5707152289489443</v>
      </c>
      <c r="T419" s="17" t="str">
        <f t="shared" si="257"/>
        <v>1+0.233322317338689i</v>
      </c>
      <c r="U419" s="17">
        <f t="shared" si="266"/>
        <v>1.0268589502791003</v>
      </c>
      <c r="V419" s="17">
        <f t="shared" si="267"/>
        <v>0.2292214860490209</v>
      </c>
      <c r="W419" s="31" t="str">
        <f t="shared" si="258"/>
        <v>1-4.05169988911147i</v>
      </c>
      <c r="X419" s="17">
        <f t="shared" si="268"/>
        <v>4.1732807228157922</v>
      </c>
      <c r="Y419" s="17">
        <f t="shared" si="269"/>
        <v>-1.3288222743374949</v>
      </c>
      <c r="Z419" s="31" t="str">
        <f t="shared" si="259"/>
        <v>-2.46158197702778+19.3860315755079i</v>
      </c>
      <c r="AA419" s="17">
        <f t="shared" si="270"/>
        <v>19.541688925889115</v>
      </c>
      <c r="AB419" s="17">
        <f t="shared" si="271"/>
        <v>1.697097523661677</v>
      </c>
      <c r="AC419" s="66" t="str">
        <f t="shared" si="272"/>
        <v>-0.00329087480675893+0.00915798620390273i</v>
      </c>
      <c r="AD419" s="64">
        <f t="shared" si="273"/>
        <v>-40.23656586805572</v>
      </c>
      <c r="AE419" s="61">
        <f t="shared" si="274"/>
        <v>109.76563671819524</v>
      </c>
      <c r="AF419" s="31" t="str">
        <f t="shared" si="260"/>
        <v>-0.000106860158311346</v>
      </c>
      <c r="AG419" s="31" t="str">
        <f t="shared" si="261"/>
        <v>0.00297044724624568i</v>
      </c>
      <c r="AH419" s="31">
        <f t="shared" si="275"/>
        <v>2.9704472462456799E-3</v>
      </c>
      <c r="AI419" s="31">
        <f t="shared" si="276"/>
        <v>1.5707963267948966</v>
      </c>
      <c r="AJ419" s="31" t="str">
        <f t="shared" si="262"/>
        <v>1+46.8938880500246i</v>
      </c>
      <c r="AK419" s="31">
        <f t="shared" si="277"/>
        <v>46.904549208453538</v>
      </c>
      <c r="AL419" s="31">
        <f t="shared" si="278"/>
        <v>1.5494748177155586</v>
      </c>
      <c r="AM419" s="31" t="str">
        <f t="shared" si="263"/>
        <v>1+300.902448320991i</v>
      </c>
      <c r="AN419" s="31">
        <f t="shared" si="279"/>
        <v>300.90410998450432</v>
      </c>
      <c r="AO419" s="31">
        <f t="shared" si="280"/>
        <v>1.5674730028270023</v>
      </c>
      <c r="AP419" s="58" t="str">
        <f t="shared" si="281"/>
        <v>-0.0041534825428289+0.230747379347754i</v>
      </c>
      <c r="AQ419" s="49">
        <f t="shared" si="282"/>
        <v>-12.735857546826715</v>
      </c>
      <c r="AR419" s="61">
        <f t="shared" si="283"/>
        <v>91.031220045780898</v>
      </c>
      <c r="AS419" s="58" t="str">
        <f t="shared" si="284"/>
        <v>-0.00209951272559293-0.000797398273246547i</v>
      </c>
      <c r="AT419" s="64">
        <f t="shared" si="285"/>
        <v>-52.972423414882435</v>
      </c>
      <c r="AU419" s="61">
        <f t="shared" si="286"/>
        <v>-159.20314323602383</v>
      </c>
    </row>
    <row r="420" spans="14:47" x14ac:dyDescent="0.35">
      <c r="N420" s="10">
        <v>2</v>
      </c>
      <c r="O420" s="50">
        <f t="shared" ref="O420:O483" si="287">10^(5+(N420/100))</f>
        <v>104712.85480508996</v>
      </c>
      <c r="P420" s="48" t="str">
        <f t="shared" si="255"/>
        <v>547.187404092767</v>
      </c>
      <c r="Q420" s="17" t="str">
        <f t="shared" si="256"/>
        <v>1+12618.0045600519i</v>
      </c>
      <c r="R420" s="17">
        <f t="shared" si="264"/>
        <v>12618.004599677817</v>
      </c>
      <c r="S420" s="17">
        <f t="shared" si="265"/>
        <v>1.5707170749612849</v>
      </c>
      <c r="T420" s="17" t="str">
        <f t="shared" si="257"/>
        <v>1+0.238757092275387i</v>
      </c>
      <c r="U420" s="17">
        <f t="shared" si="266"/>
        <v>1.0281074599047502</v>
      </c>
      <c r="V420" s="17">
        <f t="shared" si="267"/>
        <v>0.23436943437532964</v>
      </c>
      <c r="W420" s="31" t="str">
        <f t="shared" si="258"/>
        <v>1-4.14607610335247i</v>
      </c>
      <c r="X420" s="17">
        <f t="shared" si="268"/>
        <v>4.2649674154429826</v>
      </c>
      <c r="Y420" s="17">
        <f t="shared" si="269"/>
        <v>-1.3341246594895073</v>
      </c>
      <c r="Z420" s="31" t="str">
        <f t="shared" si="259"/>
        <v>-2.62472130956426+19.8375902593506i</v>
      </c>
      <c r="AA420" s="17">
        <f t="shared" si="270"/>
        <v>20.010475987611152</v>
      </c>
      <c r="AB420" s="17">
        <f t="shared" si="271"/>
        <v>1.7023427487603779</v>
      </c>
      <c r="AC420" s="66" t="str">
        <f t="shared" si="272"/>
        <v>-0.00316517549441202+0.00895996514045281i</v>
      </c>
      <c r="AD420" s="64">
        <f t="shared" si="273"/>
        <v>-40.443155623196972</v>
      </c>
      <c r="AE420" s="61">
        <f t="shared" si="274"/>
        <v>109.45615311041328</v>
      </c>
      <c r="AF420" s="31" t="str">
        <f t="shared" si="260"/>
        <v>-0.000106860158311346</v>
      </c>
      <c r="AG420" s="31" t="str">
        <f t="shared" si="261"/>
        <v>0.00303963785102287i</v>
      </c>
      <c r="AH420" s="31">
        <f t="shared" si="275"/>
        <v>3.0396378510228702E-3</v>
      </c>
      <c r="AI420" s="31">
        <f t="shared" si="276"/>
        <v>1.5707963267948966</v>
      </c>
      <c r="AJ420" s="31" t="str">
        <f t="shared" si="262"/>
        <v>1+47.9861870223884i</v>
      </c>
      <c r="AK420" s="31">
        <f t="shared" si="277"/>
        <v>47.996605556514474</v>
      </c>
      <c r="AL420" s="31">
        <f t="shared" si="278"/>
        <v>1.5499600124194188</v>
      </c>
      <c r="AM420" s="31" t="str">
        <f t="shared" si="263"/>
        <v>1+307.911366726992i</v>
      </c>
      <c r="AN420" s="31">
        <f t="shared" si="279"/>
        <v>307.91299056662774</v>
      </c>
      <c r="AO420" s="31">
        <f t="shared" si="280"/>
        <v>1.5675486503780547</v>
      </c>
      <c r="AP420" s="58" t="str">
        <f t="shared" si="281"/>
        <v>-0.00396662618211908+0.22549882169805i</v>
      </c>
      <c r="AQ420" s="49">
        <f t="shared" si="282"/>
        <v>-12.935770858602776</v>
      </c>
      <c r="AR420" s="61">
        <f t="shared" si="283"/>
        <v>91.007754722413424</v>
      </c>
      <c r="AS420" s="58" t="str">
        <f t="shared" si="284"/>
        <v>-0.00200790651364058-0.000749284176774448i</v>
      </c>
      <c r="AT420" s="64">
        <f t="shared" si="285"/>
        <v>-53.378926481799738</v>
      </c>
      <c r="AU420" s="61">
        <f t="shared" si="286"/>
        <v>-159.53609216717334</v>
      </c>
    </row>
    <row r="421" spans="14:47" x14ac:dyDescent="0.35">
      <c r="N421" s="10">
        <v>3</v>
      </c>
      <c r="O421" s="50">
        <f t="shared" si="287"/>
        <v>107151.93052376082</v>
      </c>
      <c r="P421" s="48" t="str">
        <f t="shared" si="255"/>
        <v>547.187404092767</v>
      </c>
      <c r="Q421" s="17" t="str">
        <f t="shared" si="256"/>
        <v>1+12911.9156428677i</v>
      </c>
      <c r="R421" s="17">
        <f t="shared" si="264"/>
        <v>12911.915681591621</v>
      </c>
      <c r="S421" s="17">
        <f t="shared" si="265"/>
        <v>1.5707188789532549</v>
      </c>
      <c r="T421" s="17" t="str">
        <f t="shared" si="257"/>
        <v>1+0.244318459382733i</v>
      </c>
      <c r="U421" s="17">
        <f t="shared" si="266"/>
        <v>1.0294131870124612</v>
      </c>
      <c r="V421" s="17">
        <f t="shared" si="267"/>
        <v>0.23962422389247862</v>
      </c>
      <c r="W421" s="31" t="str">
        <f t="shared" si="258"/>
        <v>1-4.24265062202329i</v>
      </c>
      <c r="X421" s="17">
        <f t="shared" si="268"/>
        <v>4.3589086134667481</v>
      </c>
      <c r="Y421" s="17">
        <f t="shared" si="269"/>
        <v>-1.3393194857132427</v>
      </c>
      <c r="Z421" s="31" t="str">
        <f t="shared" si="259"/>
        <v>-2.79554916197319+20.2996670961305i</v>
      </c>
      <c r="AA421" s="17">
        <f t="shared" si="270"/>
        <v>20.491256167710468</v>
      </c>
      <c r="AB421" s="17">
        <f t="shared" si="271"/>
        <v>1.707649551392717</v>
      </c>
      <c r="AC421" s="66" t="str">
        <f t="shared" si="272"/>
        <v>-0.00304503829967261+0.00876611038887263i</v>
      </c>
      <c r="AD421" s="64">
        <f t="shared" si="273"/>
        <v>-40.649113619990956</v>
      </c>
      <c r="AE421" s="61">
        <f t="shared" si="274"/>
        <v>109.15542799938351</v>
      </c>
      <c r="AF421" s="31" t="str">
        <f t="shared" si="260"/>
        <v>-0.000106860158311346</v>
      </c>
      <c r="AG421" s="31" t="str">
        <f t="shared" si="261"/>
        <v>0.00311044011202304i</v>
      </c>
      <c r="AH421" s="31">
        <f t="shared" si="275"/>
        <v>3.1104401120230401E-3</v>
      </c>
      <c r="AI421" s="31">
        <f t="shared" si="276"/>
        <v>1.5707963267948966</v>
      </c>
      <c r="AJ421" s="31" t="str">
        <f t="shared" si="262"/>
        <v>1+49.1039289062838i</v>
      </c>
      <c r="AK421" s="31">
        <f t="shared" si="277"/>
        <v>49.114110335354482</v>
      </c>
      <c r="AL421" s="31">
        <f t="shared" si="278"/>
        <v>1.5504341722245696</v>
      </c>
      <c r="AM421" s="31" t="str">
        <f t="shared" si="263"/>
        <v>1+315.08354381532i</v>
      </c>
      <c r="AN421" s="31">
        <f t="shared" si="279"/>
        <v>315.08513069204122</v>
      </c>
      <c r="AO421" s="31">
        <f t="shared" si="280"/>
        <v>1.5676225760165341</v>
      </c>
      <c r="AP421" s="58" t="str">
        <f t="shared" si="281"/>
        <v>-0.00378817260584555+0.220369476046596i</v>
      </c>
      <c r="AQ421" s="49">
        <f t="shared" si="282"/>
        <v>-13.135688070295892</v>
      </c>
      <c r="AR421" s="61">
        <f t="shared" si="283"/>
        <v>90.984822993846223</v>
      </c>
      <c r="AS421" s="58" t="str">
        <f t="shared" si="284"/>
        <v>-0.00192024802269191-0.000704241033875616i</v>
      </c>
      <c r="AT421" s="64">
        <f t="shared" si="285"/>
        <v>-53.784801690286869</v>
      </c>
      <c r="AU421" s="61">
        <f t="shared" si="286"/>
        <v>-159.85974900677022</v>
      </c>
    </row>
    <row r="422" spans="14:47" x14ac:dyDescent="0.35">
      <c r="N422" s="10">
        <v>4</v>
      </c>
      <c r="O422" s="50">
        <f t="shared" si="287"/>
        <v>109647.81961431868</v>
      </c>
      <c r="P422" s="48" t="str">
        <f t="shared" si="255"/>
        <v>547.187404092767</v>
      </c>
      <c r="Q422" s="17" t="str">
        <f t="shared" si="256"/>
        <v>1+13212.6727942668i</v>
      </c>
      <c r="R422" s="17">
        <f t="shared" si="264"/>
        <v>13212.672832109256</v>
      </c>
      <c r="S422" s="17">
        <f t="shared" si="265"/>
        <v>1.5707206418813549</v>
      </c>
      <c r="T422" s="17" t="str">
        <f t="shared" si="257"/>
        <v>1+0.250009367371181i</v>
      </c>
      <c r="U422" s="17">
        <f t="shared" si="266"/>
        <v>1.0307786783656994</v>
      </c>
      <c r="V422" s="17">
        <f t="shared" si="267"/>
        <v>0.24498747945677879</v>
      </c>
      <c r="W422" s="31" t="str">
        <f t="shared" si="258"/>
        <v>1-4.34147465021201i</v>
      </c>
      <c r="X422" s="17">
        <f t="shared" si="268"/>
        <v>4.4551545583103511</v>
      </c>
      <c r="Y422" s="17">
        <f t="shared" si="269"/>
        <v>-1.344408385371695</v>
      </c>
      <c r="Z422" s="31" t="str">
        <f t="shared" si="259"/>
        <v>-2.97442788303279+20.7725070851025i</v>
      </c>
      <c r="AA422" s="17">
        <f t="shared" si="270"/>
        <v>20.984381616621363</v>
      </c>
      <c r="AB422" s="17">
        <f t="shared" si="271"/>
        <v>1.7130201602655035</v>
      </c>
      <c r="AC422" s="66" t="str">
        <f t="shared" si="272"/>
        <v>-0.0029302125526581+0.00857635630166142i</v>
      </c>
      <c r="AD422" s="64">
        <f t="shared" si="273"/>
        <v>-40.85445126914405</v>
      </c>
      <c r="AE422" s="61">
        <f t="shared" si="274"/>
        <v>108.86333320470719</v>
      </c>
      <c r="AF422" s="31" t="str">
        <f t="shared" si="260"/>
        <v>-0.000106860158311346</v>
      </c>
      <c r="AG422" s="31" t="str">
        <f t="shared" si="261"/>
        <v>0.00318289156954214i</v>
      </c>
      <c r="AH422" s="31">
        <f t="shared" si="275"/>
        <v>3.1828915695421402E-3</v>
      </c>
      <c r="AI422" s="31">
        <f t="shared" si="276"/>
        <v>1.5707963267948966</v>
      </c>
      <c r="AJ422" s="31" t="str">
        <f t="shared" si="262"/>
        <v>1+50.2477063432525i</v>
      </c>
      <c r="AK422" s="31">
        <f t="shared" si="277"/>
        <v>50.257656061119064</v>
      </c>
      <c r="AL422" s="31">
        <f t="shared" si="278"/>
        <v>1.5508975476834934</v>
      </c>
      <c r="AM422" s="31" t="str">
        <f t="shared" si="263"/>
        <v>1+322.422782369203i</v>
      </c>
      <c r="AN422" s="31">
        <f t="shared" si="279"/>
        <v>322.42433312437572</v>
      </c>
      <c r="AO422" s="31">
        <f t="shared" si="280"/>
        <v>1.5676948189355588</v>
      </c>
      <c r="AP422" s="58" t="str">
        <f t="shared" si="281"/>
        <v>-0.0036177442540203+0.215356646119072i</v>
      </c>
      <c r="AQ422" s="49">
        <f t="shared" si="282"/>
        <v>-13.335609006529925</v>
      </c>
      <c r="AR422" s="61">
        <f t="shared" si="283"/>
        <v>90.962412750079778</v>
      </c>
      <c r="AS422" s="58" t="str">
        <f t="shared" si="284"/>
        <v>-0.00183637456942253-0.000662067811487219i</v>
      </c>
      <c r="AT422" s="64">
        <f t="shared" si="285"/>
        <v>-54.190060275673993</v>
      </c>
      <c r="AU422" s="61">
        <f t="shared" si="286"/>
        <v>-160.17425404521299</v>
      </c>
    </row>
    <row r="423" spans="14:47" x14ac:dyDescent="0.35">
      <c r="N423" s="10">
        <v>5</v>
      </c>
      <c r="O423" s="50">
        <f t="shared" si="287"/>
        <v>112201.84543019651</v>
      </c>
      <c r="P423" s="48" t="str">
        <f t="shared" si="255"/>
        <v>547.187404092767</v>
      </c>
      <c r="Q423" s="17" t="str">
        <f t="shared" si="256"/>
        <v>1+13520.4354796717i</v>
      </c>
      <c r="R423" s="17">
        <f t="shared" si="264"/>
        <v>13520.435516652757</v>
      </c>
      <c r="S423" s="17">
        <f t="shared" si="265"/>
        <v>1.5707223646803123</v>
      </c>
      <c r="T423" s="17" t="str">
        <f t="shared" si="257"/>
        <v>1+0.255832833635474i</v>
      </c>
      <c r="U423" s="17">
        <f t="shared" si="266"/>
        <v>1.0322065872517749</v>
      </c>
      <c r="V423" s="17">
        <f t="shared" si="267"/>
        <v>0.25046081003456955</v>
      </c>
      <c r="W423" s="31" t="str">
        <f t="shared" si="258"/>
        <v>1-4.44260058572649i</v>
      </c>
      <c r="X423" s="17">
        <f t="shared" si="268"/>
        <v>4.5537566869890345</v>
      </c>
      <c r="Y423" s="17">
        <f t="shared" si="269"/>
        <v>-1.3493930019039597</v>
      </c>
      <c r="Z423" s="31" t="str">
        <f t="shared" si="259"/>
        <v>-3.16173689849314+21.2563609322877i</v>
      </c>
      <c r="AA423" s="17">
        <f t="shared" si="270"/>
        <v>21.490217781562379</v>
      </c>
      <c r="AB423" s="17">
        <f t="shared" si="271"/>
        <v>1.7184568006901453</v>
      </c>
      <c r="AC423" s="66" t="str">
        <f t="shared" si="272"/>
        <v>-0.00282045854324207+0.00839063683811156i</v>
      </c>
      <c r="AD423" s="64">
        <f t="shared" si="273"/>
        <v>-41.059179158653329</v>
      </c>
      <c r="AE423" s="61">
        <f t="shared" si="274"/>
        <v>108.57973919673326</v>
      </c>
      <c r="AF423" s="31" t="str">
        <f t="shared" si="260"/>
        <v>-0.000106860158311346</v>
      </c>
      <c r="AG423" s="31" t="str">
        <f t="shared" si="261"/>
        <v>0.00325703063830196i</v>
      </c>
      <c r="AH423" s="31">
        <f t="shared" si="275"/>
        <v>3.2570306383019601E-3</v>
      </c>
      <c r="AI423" s="31">
        <f t="shared" si="276"/>
        <v>1.5707963267948966</v>
      </c>
      <c r="AJ423" s="31" t="str">
        <f t="shared" si="262"/>
        <v>1+51.4181257792315i</v>
      </c>
      <c r="AK423" s="31">
        <f t="shared" si="277"/>
        <v>51.427849057187593</v>
      </c>
      <c r="AL423" s="31">
        <f t="shared" si="278"/>
        <v>1.5513503836875795</v>
      </c>
      <c r="AM423" s="31" t="str">
        <f t="shared" si="263"/>
        <v>1+329.932973750068i</v>
      </c>
      <c r="AN423" s="31">
        <f t="shared" si="279"/>
        <v>329.93448920590748</v>
      </c>
      <c r="AO423" s="31">
        <f t="shared" si="280"/>
        <v>1.567765417436263</v>
      </c>
      <c r="AP423" s="58" t="str">
        <f t="shared" si="281"/>
        <v>-0.00345498050448026+0.210457695861395i</v>
      </c>
      <c r="AQ423" s="49">
        <f t="shared" si="282"/>
        <v>-13.535533499808984</v>
      </c>
      <c r="AR423" s="61">
        <f t="shared" si="283"/>
        <v>90.940512154364356</v>
      </c>
      <c r="AS423" s="58" t="str">
        <f t="shared" si="284"/>
        <v>-0.0017561294664781-0.000622576692979162i</v>
      </c>
      <c r="AT423" s="64">
        <f t="shared" si="285"/>
        <v>-54.594712658462328</v>
      </c>
      <c r="AU423" s="61">
        <f t="shared" si="286"/>
        <v>-160.47974864890233</v>
      </c>
    </row>
    <row r="424" spans="14:47" x14ac:dyDescent="0.35">
      <c r="N424" s="10">
        <v>6</v>
      </c>
      <c r="O424" s="50">
        <f t="shared" si="287"/>
        <v>114815.36214968823</v>
      </c>
      <c r="P424" s="48" t="str">
        <f t="shared" si="255"/>
        <v>547.187404092767</v>
      </c>
      <c r="Q424" s="17" t="str">
        <f t="shared" si="256"/>
        <v>1+13835.3668789321i</v>
      </c>
      <c r="R424" s="17">
        <f t="shared" si="264"/>
        <v>13835.366915071365</v>
      </c>
      <c r="S424" s="17">
        <f t="shared" si="265"/>
        <v>1.5707240482635783</v>
      </c>
      <c r="T424" s="17" t="str">
        <f t="shared" si="257"/>
        <v>1+0.261791945854508i</v>
      </c>
      <c r="U424" s="17">
        <f t="shared" si="266"/>
        <v>1.0336996773310367</v>
      </c>
      <c r="V424" s="17">
        <f t="shared" si="267"/>
        <v>0.25604580536947658</v>
      </c>
      <c r="W424" s="31" t="str">
        <f t="shared" si="258"/>
        <v>1-4.54608204687628i</v>
      </c>
      <c r="X424" s="17">
        <f t="shared" si="268"/>
        <v>4.6547676608968178</v>
      </c>
      <c r="Y424" s="17">
        <f t="shared" si="269"/>
        <v>-1.3542749869753836</v>
      </c>
      <c r="Z424" s="31" t="str">
        <f t="shared" si="259"/>
        <v>-3.35787351588895+21.7514851834004i</v>
      </c>
      <c r="AA424" s="17">
        <f t="shared" si="270"/>
        <v>22.009144059512984</v>
      </c>
      <c r="AB424" s="17">
        <f t="shared" si="271"/>
        <v>1.7239616933213762</v>
      </c>
      <c r="AC424" s="66" t="str">
        <f t="shared" si="272"/>
        <v>-0.00271554704441643+0.00820888569197427i</v>
      </c>
      <c r="AD424" s="64">
        <f t="shared" si="273"/>
        <v>-41.263307069775415</v>
      </c>
      <c r="AE424" s="61">
        <f t="shared" si="274"/>
        <v>108.30451514112742</v>
      </c>
      <c r="AF424" s="31" t="str">
        <f t="shared" si="260"/>
        <v>-0.000106860158311346</v>
      </c>
      <c r="AG424" s="31" t="str">
        <f t="shared" si="261"/>
        <v>0.0033328966278181i</v>
      </c>
      <c r="AH424" s="31">
        <f t="shared" si="275"/>
        <v>3.3328966278181001E-3</v>
      </c>
      <c r="AI424" s="31">
        <f t="shared" si="276"/>
        <v>1.5707963267948966</v>
      </c>
      <c r="AJ424" s="31" t="str">
        <f t="shared" si="262"/>
        <v>1+52.6158077860979i</v>
      </c>
      <c r="AK424" s="31">
        <f t="shared" si="277"/>
        <v>52.625309775654536</v>
      </c>
      <c r="AL424" s="31">
        <f t="shared" si="278"/>
        <v>1.5517929195931754</v>
      </c>
      <c r="AM424" s="31" t="str">
        <f t="shared" si="263"/>
        <v>1+337.618099960794i</v>
      </c>
      <c r="AN424" s="31">
        <f t="shared" si="279"/>
        <v>337.61958092080005</v>
      </c>
      <c r="AO424" s="31">
        <f t="shared" si="280"/>
        <v>1.5678344089480889</v>
      </c>
      <c r="AP424" s="58" t="str">
        <f t="shared" si="281"/>
        <v>-0.00329953691540808+0.205670048145812i</v>
      </c>
      <c r="AQ424" s="49">
        <f t="shared" si="282"/>
        <v>-13.735461390163767</v>
      </c>
      <c r="AR424" s="61">
        <f t="shared" si="283"/>
        <v>90.919109637140579</v>
      </c>
      <c r="AS424" s="58" t="str">
        <f t="shared" si="284"/>
        <v>-0.00167936186777324-0.000585592212742379i</v>
      </c>
      <c r="AT424" s="64">
        <f t="shared" si="285"/>
        <v>-54.998768459939171</v>
      </c>
      <c r="AU424" s="61">
        <f t="shared" si="286"/>
        <v>-160.77637522173202</v>
      </c>
    </row>
    <row r="425" spans="14:47" x14ac:dyDescent="0.35">
      <c r="N425" s="10">
        <v>7</v>
      </c>
      <c r="O425" s="50">
        <f t="shared" si="287"/>
        <v>117489.75549395311</v>
      </c>
      <c r="P425" s="48" t="str">
        <f t="shared" si="255"/>
        <v>547.187404092767</v>
      </c>
      <c r="Q425" s="17" t="str">
        <f t="shared" si="256"/>
        <v>1+14157.6339728445i</v>
      </c>
      <c r="R425" s="17">
        <f t="shared" si="264"/>
        <v>14157.634008161136</v>
      </c>
      <c r="S425" s="17">
        <f t="shared" si="265"/>
        <v>1.5707256935238108</v>
      </c>
      <c r="T425" s="17" t="str">
        <f t="shared" si="257"/>
        <v>1+0.267889863628461i</v>
      </c>
      <c r="U425" s="17">
        <f t="shared" si="266"/>
        <v>1.0352608265721617</v>
      </c>
      <c r="V425" s="17">
        <f t="shared" si="267"/>
        <v>0.26174403245169292</v>
      </c>
      <c r="W425" s="31" t="str">
        <f t="shared" si="258"/>
        <v>1-4.65197390090185i</v>
      </c>
      <c r="X425" s="17">
        <f t="shared" si="268"/>
        <v>4.7582413951660731</v>
      </c>
      <c r="Y425" s="17">
        <f t="shared" si="269"/>
        <v>-1.3590559978061201</v>
      </c>
      <c r="Z425" s="31" t="str">
        <f t="shared" si="259"/>
        <v>-3.56325376728228+22.2581423598723i</v>
      </c>
      <c r="AA425" s="17">
        <f t="shared" si="270"/>
        <v>22.54155448770987</v>
      </c>
      <c r="AB425" s="17">
        <f t="shared" si="271"/>
        <v>1.7295370527636784</v>
      </c>
      <c r="AC425" s="66" t="str">
        <f t="shared" si="272"/>
        <v>-0.00261525885553414+0.00803103640803853i</v>
      </c>
      <c r="AD425" s="64">
        <f t="shared" si="273"/>
        <v>-41.46684399422773</v>
      </c>
      <c r="AE425" s="61">
        <f t="shared" si="274"/>
        <v>108.03752892945818</v>
      </c>
      <c r="AF425" s="31" t="str">
        <f t="shared" si="260"/>
        <v>-0.000106860158311346</v>
      </c>
      <c r="AG425" s="31" t="str">
        <f t="shared" si="261"/>
        <v>0.00341052976324242i</v>
      </c>
      <c r="AH425" s="31">
        <f t="shared" si="275"/>
        <v>3.41052976324242E-3</v>
      </c>
      <c r="AI425" s="31">
        <f t="shared" si="276"/>
        <v>1.5707963267948966</v>
      </c>
      <c r="AJ425" s="31" t="str">
        <f t="shared" si="262"/>
        <v>1+53.8413873907052i</v>
      </c>
      <c r="AK425" s="31">
        <f t="shared" si="277"/>
        <v>53.850673126303526</v>
      </c>
      <c r="AL425" s="31">
        <f t="shared" si="278"/>
        <v>1.5522253893449556</v>
      </c>
      <c r="AM425" s="31" t="str">
        <f t="shared" si="263"/>
        <v>1+345.482235757024i</v>
      </c>
      <c r="AN425" s="31">
        <f t="shared" si="279"/>
        <v>345.48368300640755</v>
      </c>
      <c r="AO425" s="31">
        <f t="shared" si="280"/>
        <v>1.5679018300486214</v>
      </c>
      <c r="AP425" s="58" t="str">
        <f t="shared" si="281"/>
        <v>-0.00315108450151914+0.200991183501331i</v>
      </c>
      <c r="AQ425" s="49">
        <f t="shared" si="282"/>
        <v>-13.935392524813848</v>
      </c>
      <c r="AR425" s="61">
        <f t="shared" si="283"/>
        <v>90.898193890107137</v>
      </c>
      <c r="AS425" s="58" t="str">
        <f t="shared" si="284"/>
        <v>-0.00160592661074681-0.000550950446892649i</v>
      </c>
      <c r="AT425" s="64">
        <f t="shared" si="285"/>
        <v>-55.402236519041566</v>
      </c>
      <c r="AU425" s="61">
        <f t="shared" si="286"/>
        <v>-161.06427718043471</v>
      </c>
    </row>
    <row r="426" spans="14:47" x14ac:dyDescent="0.35">
      <c r="N426" s="10">
        <v>8</v>
      </c>
      <c r="O426" s="50">
        <f t="shared" si="287"/>
        <v>120226.44346174144</v>
      </c>
      <c r="P426" s="48" t="str">
        <f t="shared" si="255"/>
        <v>547.187404092767</v>
      </c>
      <c r="Q426" s="17" t="str">
        <f t="shared" si="256"/>
        <v>1+14487.4076316877i</v>
      </c>
      <c r="R426" s="17">
        <f t="shared" si="264"/>
        <v>14487.407666200428</v>
      </c>
      <c r="S426" s="17">
        <f t="shared" si="265"/>
        <v>1.5707273013333485</v>
      </c>
      <c r="T426" s="17" t="str">
        <f t="shared" si="257"/>
        <v>1+0.274129820154051i</v>
      </c>
      <c r="U426" s="17">
        <f t="shared" si="266"/>
        <v>1.0368930312706766</v>
      </c>
      <c r="V426" s="17">
        <f t="shared" si="267"/>
        <v>0.26755703178479029</v>
      </c>
      <c r="W426" s="31" t="str">
        <f t="shared" si="258"/>
        <v>1-4.76033229306583i</v>
      </c>
      <c r="X426" s="17">
        <f t="shared" si="268"/>
        <v>4.8642330886179161</v>
      </c>
      <c r="Y426" s="17">
        <f t="shared" si="269"/>
        <v>-1.3637376946718893</v>
      </c>
      <c r="Z426" s="31" t="str">
        <f t="shared" si="259"/>
        <v>-3.77831329172209+22.7766010980447i</v>
      </c>
      <c r="AA426" s="17">
        <f t="shared" si="270"/>
        <v>23.087858473878754</v>
      </c>
      <c r="AB426" s="17">
        <f t="shared" si="271"/>
        <v>1.7351850860388442</v>
      </c>
      <c r="AC426" s="66" t="str">
        <f t="shared" si="272"/>
        <v>-0.0025193843646979+0.00785702248837925i</v>
      </c>
      <c r="AD426" s="64">
        <f t="shared" si="273"/>
        <v>-41.669798152613573</v>
      </c>
      <c r="AE426" s="61">
        <f t="shared" si="274"/>
        <v>107.77864719627148</v>
      </c>
      <c r="AF426" s="31" t="str">
        <f t="shared" si="260"/>
        <v>-0.000106860158311346</v>
      </c>
      <c r="AG426" s="31" t="str">
        <f t="shared" si="261"/>
        <v>0.00348997120669091i</v>
      </c>
      <c r="AH426" s="31">
        <f t="shared" si="275"/>
        <v>3.4899712066909102E-3</v>
      </c>
      <c r="AI426" s="31">
        <f t="shared" si="276"/>
        <v>1.5707963267948966</v>
      </c>
      <c r="AJ426" s="31" t="str">
        <f t="shared" si="262"/>
        <v>1+55.095514411582i</v>
      </c>
      <c r="AK426" s="31">
        <f t="shared" si="277"/>
        <v>55.104588813245307</v>
      </c>
      <c r="AL426" s="31">
        <f t="shared" si="278"/>
        <v>1.5526480215966565</v>
      </c>
      <c r="AM426" s="31" t="str">
        <f t="shared" si="263"/>
        <v>1+353.52955080765i</v>
      </c>
      <c r="AN426" s="31">
        <f t="shared" si="279"/>
        <v>353.53096511374901</v>
      </c>
      <c r="AO426" s="31">
        <f t="shared" si="280"/>
        <v>1.5679677164829666</v>
      </c>
      <c r="AP426" s="58" t="str">
        <f t="shared" si="281"/>
        <v>-0.00300930904243719+0.196418638868278i</v>
      </c>
      <c r="AQ426" s="49">
        <f t="shared" si="282"/>
        <v>-14.13532675784513</v>
      </c>
      <c r="AR426" s="61">
        <f t="shared" si="283"/>
        <v>90.877753860413733</v>
      </c>
      <c r="AS426" s="58" t="str">
        <f t="shared" si="284"/>
        <v>-0.00153568405657484-0.000518498256520895i</v>
      </c>
      <c r="AT426" s="64">
        <f t="shared" si="285"/>
        <v>-55.805124910458723</v>
      </c>
      <c r="AU426" s="61">
        <f t="shared" si="286"/>
        <v>-161.34359894331476</v>
      </c>
    </row>
    <row r="427" spans="14:47" x14ac:dyDescent="0.35">
      <c r="N427" s="10">
        <v>9</v>
      </c>
      <c r="O427" s="50">
        <f t="shared" si="287"/>
        <v>123026.87708123829</v>
      </c>
      <c r="P427" s="48" t="str">
        <f t="shared" si="255"/>
        <v>547.187404092767</v>
      </c>
      <c r="Q427" s="17" t="str">
        <f t="shared" si="256"/>
        <v>1+14824.8627058208i</v>
      </c>
      <c r="R427" s="17">
        <f t="shared" si="264"/>
        <v>14824.862739547925</v>
      </c>
      <c r="S427" s="17">
        <f t="shared" si="265"/>
        <v>1.5707288725446733</v>
      </c>
      <c r="T427" s="17" t="str">
        <f t="shared" si="257"/>
        <v>1+0.280515123938824i</v>
      </c>
      <c r="U427" s="17">
        <f t="shared" si="266"/>
        <v>1.0385994101473455</v>
      </c>
      <c r="V427" s="17">
        <f t="shared" si="267"/>
        <v>0.27348631344619423</v>
      </c>
      <c r="W427" s="31" t="str">
        <f t="shared" si="258"/>
        <v>1-4.87121467642203i</v>
      </c>
      <c r="X427" s="17">
        <f t="shared" si="268"/>
        <v>4.9727992543223962</v>
      </c>
      <c r="Y427" s="17">
        <f t="shared" si="269"/>
        <v>-1.368321738570609</v>
      </c>
      <c r="Z427" s="31" t="str">
        <f t="shared" si="259"/>
        <v>-4.00350825929327+23.3071362916033i</v>
      </c>
      <c r="AA427" s="17">
        <f t="shared" si="270"/>
        <v>23.648481568540525</v>
      </c>
      <c r="AB427" s="17">
        <f t="shared" si="271"/>
        <v>1.7409079909081213</v>
      </c>
      <c r="AC427" s="66" t="str">
        <f t="shared" si="272"/>
        <v>-0.0024277231295834+0.00768677748898544i</v>
      </c>
      <c r="AD427" s="64">
        <f t="shared" si="273"/>
        <v>-41.872177014070175</v>
      </c>
      <c r="AE427" s="61">
        <f t="shared" si="274"/>
        <v>107.52773532317305</v>
      </c>
      <c r="AF427" s="31" t="str">
        <f t="shared" si="260"/>
        <v>-0.000106860158311346</v>
      </c>
      <c r="AG427" s="31" t="str">
        <f t="shared" si="261"/>
        <v>0.00357126307906842i</v>
      </c>
      <c r="AH427" s="31">
        <f t="shared" si="275"/>
        <v>3.5712630790684201E-3</v>
      </c>
      <c r="AI427" s="31">
        <f t="shared" si="276"/>
        <v>1.5707963267948966</v>
      </c>
      <c r="AJ427" s="31" t="str">
        <f t="shared" si="262"/>
        <v>1+56.3788538034751i</v>
      </c>
      <c r="AK427" s="31">
        <f t="shared" si="277"/>
        <v>56.38772167940126</v>
      </c>
      <c r="AL427" s="31">
        <f t="shared" si="278"/>
        <v>1.5530610398292279</v>
      </c>
      <c r="AM427" s="31" t="str">
        <f t="shared" si="263"/>
        <v>1+361.764311905631i</v>
      </c>
      <c r="AN427" s="31">
        <f t="shared" si="279"/>
        <v>361.76569401831716</v>
      </c>
      <c r="AO427" s="31">
        <f t="shared" si="280"/>
        <v>1.5680321031826954</v>
      </c>
      <c r="AP427" s="58" t="str">
        <f t="shared" si="281"/>
        <v>-0.00287391042184365+0.191950006376753i</v>
      </c>
      <c r="AQ427" s="49">
        <f t="shared" si="282"/>
        <v>-14.335263949901588</v>
      </c>
      <c r="AR427" s="61">
        <f t="shared" si="283"/>
        <v>90.857778744976642</v>
      </c>
      <c r="AS427" s="58" t="str">
        <f t="shared" si="284"/>
        <v>-0.00146849992922398-0.000488092580140513i</v>
      </c>
      <c r="AT427" s="64">
        <f t="shared" si="285"/>
        <v>-56.207440963971735</v>
      </c>
      <c r="AU427" s="61">
        <f t="shared" si="286"/>
        <v>-161.61448593185034</v>
      </c>
    </row>
    <row r="428" spans="14:47" x14ac:dyDescent="0.35">
      <c r="N428" s="10">
        <v>10</v>
      </c>
      <c r="O428" s="50">
        <f t="shared" si="287"/>
        <v>125892.54117941685</v>
      </c>
      <c r="P428" s="48" t="str">
        <f t="shared" si="255"/>
        <v>547.187404092767</v>
      </c>
      <c r="Q428" s="17" t="str">
        <f t="shared" si="256"/>
        <v>1+15170.1781183907i</v>
      </c>
      <c r="R428" s="17">
        <f t="shared" si="264"/>
        <v>15170.178151350101</v>
      </c>
      <c r="S428" s="17">
        <f t="shared" si="265"/>
        <v>1.5707304079908624</v>
      </c>
      <c r="T428" s="17" t="str">
        <f t="shared" si="257"/>
        <v>1+0.287049160555366i</v>
      </c>
      <c r="U428" s="17">
        <f t="shared" si="266"/>
        <v>1.0403832085224849</v>
      </c>
      <c r="V428" s="17">
        <f t="shared" si="267"/>
        <v>0.27953335293814752</v>
      </c>
      <c r="W428" s="31" t="str">
        <f t="shared" si="258"/>
        <v>1-4.98467984227783i</v>
      </c>
      <c r="X428" s="17">
        <f t="shared" si="268"/>
        <v>5.0839977507873595</v>
      </c>
      <c r="Y428" s="17">
        <f t="shared" si="269"/>
        <v>-1.3728097890484177</v>
      </c>
      <c r="Z428" s="31" t="str">
        <f t="shared" si="259"/>
        <v>-4.23931633871445+23.8500292373301i</v>
      </c>
      <c r="AA428" s="17">
        <f t="shared" si="270"/>
        <v>24.223866281855006</v>
      </c>
      <c r="AB428" s="17">
        <f t="shared" si="271"/>
        <v>1.7467079540422923</v>
      </c>
      <c r="AC428" s="66" t="str">
        <f t="shared" si="272"/>
        <v>-0.00234008347600775+0.00752023510743371i</v>
      </c>
      <c r="AD428" s="64">
        <f t="shared" si="273"/>
        <v>-42.07398731714764</v>
      </c>
      <c r="AE428" s="61">
        <f t="shared" si="274"/>
        <v>107.28465743048504</v>
      </c>
      <c r="AF428" s="31" t="str">
        <f t="shared" si="260"/>
        <v>-0.000106860158311346</v>
      </c>
      <c r="AG428" s="31" t="str">
        <f t="shared" si="261"/>
        <v>0.0036544484824017i</v>
      </c>
      <c r="AH428" s="31">
        <f t="shared" si="275"/>
        <v>3.6544484824017E-3</v>
      </c>
      <c r="AI428" s="31">
        <f t="shared" si="276"/>
        <v>1.5707963267948966</v>
      </c>
      <c r="AJ428" s="31" t="str">
        <f t="shared" si="262"/>
        <v>1+57.6920860099173i</v>
      </c>
      <c r="AK428" s="31">
        <f t="shared" si="277"/>
        <v>57.70075205901302</v>
      </c>
      <c r="AL428" s="31">
        <f t="shared" si="278"/>
        <v>1.5534646624664461</v>
      </c>
      <c r="AM428" s="31" t="str">
        <f t="shared" si="263"/>
        <v>1+370.190885230302i</v>
      </c>
      <c r="AN428" s="31">
        <f t="shared" si="279"/>
        <v>370.19223588237855</v>
      </c>
      <c r="AO428" s="31">
        <f t="shared" si="280"/>
        <v>1.568095024284351</v>
      </c>
      <c r="AP428" s="58" t="str">
        <f t="shared" si="281"/>
        <v>-0.00274460199604713+0.187582932148728i</v>
      </c>
      <c r="AQ428" s="49">
        <f t="shared" si="282"/>
        <v>-14.535203967890951</v>
      </c>
      <c r="AR428" s="61">
        <f t="shared" si="283"/>
        <v>90.838257984915302</v>
      </c>
      <c r="AS428" s="58" t="str">
        <f t="shared" si="284"/>
        <v>-0.00140424515412105-0.000459599772188928i</v>
      </c>
      <c r="AT428" s="64">
        <f t="shared" si="285"/>
        <v>-56.609191285038598</v>
      </c>
      <c r="AU428" s="61">
        <f t="shared" si="286"/>
        <v>-161.87708458459963</v>
      </c>
    </row>
    <row r="429" spans="14:47" x14ac:dyDescent="0.35">
      <c r="N429" s="10">
        <v>11</v>
      </c>
      <c r="O429" s="50">
        <f t="shared" si="287"/>
        <v>128824.95516931375</v>
      </c>
      <c r="P429" s="48" t="str">
        <f t="shared" si="255"/>
        <v>547.187404092767</v>
      </c>
      <c r="Q429" s="17" t="str">
        <f t="shared" si="256"/>
        <v>1+15523.5369602001i</v>
      </c>
      <c r="R429" s="17">
        <f t="shared" si="264"/>
        <v>15523.536992409252</v>
      </c>
      <c r="S429" s="17">
        <f t="shared" si="265"/>
        <v>1.5707319084860292</v>
      </c>
      <c r="T429" s="17" t="str">
        <f t="shared" si="257"/>
        <v>1+0.293735394436379i</v>
      </c>
      <c r="U429" s="17">
        <f t="shared" si="266"/>
        <v>1.0422478025617012</v>
      </c>
      <c r="V429" s="17">
        <f t="shared" si="267"/>
        <v>0.28569958682683649</v>
      </c>
      <c r="W429" s="31" t="str">
        <f t="shared" si="258"/>
        <v>1-5.10078795136605i</v>
      </c>
      <c r="X429" s="17">
        <f t="shared" si="268"/>
        <v>5.1978878137952416</v>
      </c>
      <c r="Y429" s="17">
        <f t="shared" si="269"/>
        <v>-1.3772035021785565</v>
      </c>
      <c r="Z429" s="31" t="str">
        <f t="shared" si="259"/>
        <v>-4.48623771053743+24.405567784251i</v>
      </c>
      <c r="AA429" s="17">
        <f t="shared" si="270"/>
        <v>24.814472947598915</v>
      </c>
      <c r="AB429" s="17">
        <f t="shared" si="271"/>
        <v>1.7525871490330887</v>
      </c>
      <c r="AC429" s="66" t="str">
        <f t="shared" si="272"/>
        <v>-0.00225628211357594+0.00735732926222649i</v>
      </c>
      <c r="AD429" s="64">
        <f t="shared" si="273"/>
        <v>-42.275235091940495</v>
      </c>
      <c r="AE429" s="61">
        <f t="shared" si="274"/>
        <v>107.04927635710175</v>
      </c>
      <c r="AF429" s="31" t="str">
        <f t="shared" si="260"/>
        <v>-0.000106860158311346</v>
      </c>
      <c r="AG429" s="31" t="str">
        <f t="shared" si="261"/>
        <v>0.0037395715226927i</v>
      </c>
      <c r="AH429" s="31">
        <f t="shared" si="275"/>
        <v>3.7395715226927E-3</v>
      </c>
      <c r="AI429" s="31">
        <f t="shared" si="276"/>
        <v>1.5707963267948966</v>
      </c>
      <c r="AJ429" s="31" t="str">
        <f t="shared" si="262"/>
        <v>1+59.0359073240069i</v>
      </c>
      <c r="AK429" s="31">
        <f t="shared" si="277"/>
        <v>59.044376138365045</v>
      </c>
      <c r="AL429" s="31">
        <f t="shared" si="278"/>
        <v>1.5538591029880364</v>
      </c>
      <c r="AM429" s="31" t="str">
        <f t="shared" si="263"/>
        <v>1+378.813738662377i</v>
      </c>
      <c r="AN429" s="31">
        <f t="shared" si="279"/>
        <v>378.81505856996722</v>
      </c>
      <c r="AO429" s="31">
        <f t="shared" si="280"/>
        <v>1.5681565131475406</v>
      </c>
      <c r="AP429" s="58" t="str">
        <f t="shared" si="281"/>
        <v>-0.00262110999067691+0.183315115123528i</v>
      </c>
      <c r="AQ429" s="49">
        <f t="shared" si="282"/>
        <v>-14.735146684703649</v>
      </c>
      <c r="AR429" s="61">
        <f t="shared" si="283"/>
        <v>90.819181260107058</v>
      </c>
      <c r="AS429" s="58" t="str">
        <f t="shared" si="284"/>
        <v>-0.00134279569711707-0.000432894984635252i</v>
      </c>
      <c r="AT429" s="64">
        <f t="shared" si="285"/>
        <v>-57.010381776644145</v>
      </c>
      <c r="AU429" s="61">
        <f t="shared" si="286"/>
        <v>-162.13154238279117</v>
      </c>
    </row>
    <row r="430" spans="14:47" x14ac:dyDescent="0.35">
      <c r="N430" s="10">
        <v>12</v>
      </c>
      <c r="O430" s="50">
        <f t="shared" si="287"/>
        <v>131825.67385564081</v>
      </c>
      <c r="P430" s="48" t="str">
        <f t="shared" si="255"/>
        <v>547.187404092767</v>
      </c>
      <c r="Q430" s="17" t="str">
        <f t="shared" si="256"/>
        <v>1+15885.126586784i</v>
      </c>
      <c r="R430" s="17">
        <f t="shared" si="264"/>
        <v>15885.126618259983</v>
      </c>
      <c r="S430" s="17">
        <f t="shared" si="265"/>
        <v>1.5707333748257564</v>
      </c>
      <c r="T430" s="17" t="str">
        <f t="shared" si="257"/>
        <v>1+0.300577370711569i</v>
      </c>
      <c r="U430" s="17">
        <f t="shared" si="266"/>
        <v>1.0441967035879207</v>
      </c>
      <c r="V430" s="17">
        <f t="shared" si="267"/>
        <v>0.29198640816828603</v>
      </c>
      <c r="W430" s="31" t="str">
        <f t="shared" si="258"/>
        <v>1-5.21960056574297i</v>
      </c>
      <c r="X430" s="17">
        <f t="shared" si="268"/>
        <v>5.3145300889076097</v>
      </c>
      <c r="Y430" s="17">
        <f t="shared" si="269"/>
        <v>-1.3815045286865633</v>
      </c>
      <c r="Z430" s="31" t="str">
        <f t="shared" si="259"/>
        <v>-4.74479612809712+24.9740464862569i</v>
      </c>
      <c r="AA430" s="17">
        <f t="shared" si="270"/>
        <v>25.420780637008885</v>
      </c>
      <c r="AB430" s="17">
        <f t="shared" si="271"/>
        <v>1.7585477342393687</v>
      </c>
      <c r="AC430" s="66" t="str">
        <f t="shared" si="272"/>
        <v>-0.00217614376776053+0.00719799416438015i</v>
      </c>
      <c r="AD430" s="64">
        <f t="shared" si="273"/>
        <v>-42.475925683495312</v>
      </c>
      <c r="AE430" s="61">
        <f t="shared" si="274"/>
        <v>106.82145362921129</v>
      </c>
      <c r="AF430" s="31" t="str">
        <f t="shared" si="260"/>
        <v>-0.000106860158311346</v>
      </c>
      <c r="AG430" s="31" t="str">
        <f t="shared" si="261"/>
        <v>0.0038266773333041i</v>
      </c>
      <c r="AH430" s="31">
        <f t="shared" si="275"/>
        <v>3.8266773333041001E-3</v>
      </c>
      <c r="AI430" s="31">
        <f t="shared" si="276"/>
        <v>1.5707963267948966</v>
      </c>
      <c r="AJ430" s="31" t="str">
        <f t="shared" si="262"/>
        <v>1+60.4110302575922i</v>
      </c>
      <c r="AK430" s="31">
        <f t="shared" si="277"/>
        <v>60.4193063249134</v>
      </c>
      <c r="AL430" s="31">
        <f t="shared" si="278"/>
        <v>1.554244570040356</v>
      </c>
      <c r="AM430" s="31" t="str">
        <f t="shared" si="263"/>
        <v>1+387.637444152882i</v>
      </c>
      <c r="AN430" s="31">
        <f t="shared" si="279"/>
        <v>387.63873401580844</v>
      </c>
      <c r="AO430" s="31">
        <f t="shared" si="280"/>
        <v>1.5682166023726125</v>
      </c>
      <c r="AP430" s="58" t="str">
        <f t="shared" si="281"/>
        <v>-0.00250317292426079+0.17914430590643i</v>
      </c>
      <c r="AQ430" s="49">
        <f t="shared" si="282"/>
        <v>-14.935091978943976</v>
      </c>
      <c r="AR430" s="61">
        <f t="shared" si="283"/>
        <v>90.800538483858631</v>
      </c>
      <c r="AS430" s="58" t="str">
        <f t="shared" si="284"/>
        <v>-0.00128403240433766-0.000407861588929327i</v>
      </c>
      <c r="AT430" s="64">
        <f t="shared" si="285"/>
        <v>-57.411017662439278</v>
      </c>
      <c r="AU430" s="61">
        <f t="shared" si="286"/>
        <v>-162.37800788693013</v>
      </c>
    </row>
    <row r="431" spans="14:47" x14ac:dyDescent="0.35">
      <c r="N431" s="10">
        <v>13</v>
      </c>
      <c r="O431" s="50">
        <f t="shared" si="287"/>
        <v>134896.28825916545</v>
      </c>
      <c r="P431" s="48" t="str">
        <f t="shared" si="255"/>
        <v>547.187404092767</v>
      </c>
      <c r="Q431" s="17" t="str">
        <f t="shared" si="256"/>
        <v>1+16255.1387177487i</v>
      </c>
      <c r="R431" s="17">
        <f t="shared" si="264"/>
        <v>16255.138748508203</v>
      </c>
      <c r="S431" s="17">
        <f t="shared" si="265"/>
        <v>1.5707348077875167</v>
      </c>
      <c r="T431" s="17" t="str">
        <f t="shared" si="257"/>
        <v>1+0.307578717087323i</v>
      </c>
      <c r="U431" s="17">
        <f t="shared" si="266"/>
        <v>1.0462335624539501</v>
      </c>
      <c r="V431" s="17">
        <f t="shared" si="267"/>
        <v>0.29839516172070812</v>
      </c>
      <c r="W431" s="31" t="str">
        <f t="shared" si="258"/>
        <v>1-5.34118068142944i</v>
      </c>
      <c r="X431" s="17">
        <f t="shared" si="268"/>
        <v>5.4339866646574544</v>
      </c>
      <c r="Y431" s="17">
        <f t="shared" si="269"/>
        <v>-1.3857145122152377</v>
      </c>
      <c r="Z431" s="31" t="str">
        <f t="shared" si="259"/>
        <v>-5.01554002846277+25.5557667582805i</v>
      </c>
      <c r="AA431" s="17">
        <f t="shared" si="270"/>
        <v>26.043288125364413</v>
      </c>
      <c r="AB431" s="17">
        <f t="shared" si="271"/>
        <v>1.7645918504615872</v>
      </c>
      <c r="AC431" s="66" t="str">
        <f t="shared" si="272"/>
        <v>-0.0020995008277911+0.00704216438180597i</v>
      </c>
      <c r="AD431" s="64">
        <f t="shared" si="273"/>
        <v>-42.676063776531954</v>
      </c>
      <c r="AE431" s="61">
        <f t="shared" si="274"/>
        <v>106.60104941861117</v>
      </c>
      <c r="AF431" s="31" t="str">
        <f t="shared" si="260"/>
        <v>-0.000106860158311346</v>
      </c>
      <c r="AG431" s="31" t="str">
        <f t="shared" si="261"/>
        <v>0.00391581209888969i</v>
      </c>
      <c r="AH431" s="31">
        <f t="shared" si="275"/>
        <v>3.9158120988896901E-3</v>
      </c>
      <c r="AI431" s="31">
        <f t="shared" si="276"/>
        <v>1.5707963267948966</v>
      </c>
      <c r="AJ431" s="31" t="str">
        <f t="shared" si="262"/>
        <v>1+61.8181839190547i</v>
      </c>
      <c r="AK431" s="31">
        <f t="shared" si="277"/>
        <v>61.826271625014492</v>
      </c>
      <c r="AL431" s="31">
        <f t="shared" si="278"/>
        <v>1.5546212675446789</v>
      </c>
      <c r="AM431" s="31" t="str">
        <f t="shared" si="263"/>
        <v>1+396.666680147267i</v>
      </c>
      <c r="AN431" s="31">
        <f t="shared" si="279"/>
        <v>396.66794064942314</v>
      </c>
      <c r="AO431" s="31">
        <f t="shared" si="280"/>
        <v>1.5682753238179323</v>
      </c>
      <c r="AP431" s="58" t="str">
        <f t="shared" si="281"/>
        <v>-0.0023905410575009+0.175068305640076i</v>
      </c>
      <c r="AQ431" s="49">
        <f t="shared" si="282"/>
        <v>-15.135039734673757</v>
      </c>
      <c r="AR431" s="61">
        <f t="shared" si="283"/>
        <v>90.782319797691542</v>
      </c>
      <c r="AS431" s="58" t="str">
        <f t="shared" si="284"/>
        <v>-0.00122784084343257-0.000384390635699702i</v>
      </c>
      <c r="AT431" s="64">
        <f t="shared" si="285"/>
        <v>-57.811103511205729</v>
      </c>
      <c r="AU431" s="61">
        <f t="shared" si="286"/>
        <v>-162.61663078369725</v>
      </c>
    </row>
    <row r="432" spans="14:47" x14ac:dyDescent="0.35">
      <c r="N432" s="10">
        <v>14</v>
      </c>
      <c r="O432" s="50">
        <f t="shared" si="287"/>
        <v>138038.42646028858</v>
      </c>
      <c r="P432" s="48" t="str">
        <f t="shared" si="255"/>
        <v>547.187404092767</v>
      </c>
      <c r="Q432" s="17" t="str">
        <f t="shared" si="256"/>
        <v>1+16633.7695384238i</v>
      </c>
      <c r="R432" s="17">
        <f t="shared" si="264"/>
        <v>16633.769568483131</v>
      </c>
      <c r="S432" s="17">
        <f t="shared" si="265"/>
        <v>1.5707362081310854</v>
      </c>
      <c r="T432" s="17" t="str">
        <f t="shared" si="257"/>
        <v>1+0.314743145770163i</v>
      </c>
      <c r="U432" s="17">
        <f t="shared" si="266"/>
        <v>1.0483621739691384</v>
      </c>
      <c r="V432" s="17">
        <f t="shared" si="267"/>
        <v>0.304927138944178</v>
      </c>
      <c r="W432" s="31" t="str">
        <f t="shared" si="258"/>
        <v>1-5.46559276181209i</v>
      </c>
      <c r="X432" s="17">
        <f t="shared" si="268"/>
        <v>5.5563211064491869</v>
      </c>
      <c r="Y432" s="17">
        <f t="shared" si="269"/>
        <v>-1.3898350877228924</v>
      </c>
      <c r="Z432" s="31" t="str">
        <f t="shared" si="259"/>
        <v>-5.29904369574629+26.1510370361099i</v>
      </c>
      <c r="AA432" s="17">
        <f t="shared" si="270"/>
        <v>26.682514914329577</v>
      </c>
      <c r="AB432" s="17">
        <f t="shared" si="271"/>
        <v>1.7707216184382144</v>
      </c>
      <c r="AC432" s="66" t="str">
        <f t="shared" si="272"/>
        <v>-0.00202619300975317+0.00688977489699573i</v>
      </c>
      <c r="AD432" s="64">
        <f t="shared" si="273"/>
        <v>-42.875653421518166</v>
      </c>
      <c r="AE432" s="61">
        <f t="shared" si="274"/>
        <v>106.38792249140641</v>
      </c>
      <c r="AF432" s="31" t="str">
        <f t="shared" si="260"/>
        <v>-0.000106860158311346</v>
      </c>
      <c r="AG432" s="31" t="str">
        <f t="shared" si="261"/>
        <v>0.00400702307988202i</v>
      </c>
      <c r="AH432" s="31">
        <f t="shared" si="275"/>
        <v>4.0070230798820196E-3</v>
      </c>
      <c r="AI432" s="31">
        <f t="shared" si="276"/>
        <v>1.5707963267948966</v>
      </c>
      <c r="AJ432" s="31" t="str">
        <f t="shared" si="262"/>
        <v>1+63.2581143998915i</v>
      </c>
      <c r="AK432" s="31">
        <f t="shared" si="277"/>
        <v>63.266018030454227</v>
      </c>
      <c r="AL432" s="31">
        <f t="shared" si="278"/>
        <v>1.5549893948031326</v>
      </c>
      <c r="AM432" s="31" t="str">
        <f t="shared" si="263"/>
        <v>1+405.90623406597i</v>
      </c>
      <c r="AN432" s="31">
        <f t="shared" si="279"/>
        <v>405.90746587568213</v>
      </c>
      <c r="AO432" s="31">
        <f t="shared" si="280"/>
        <v>1.5683327086167671</v>
      </c>
      <c r="AP432" s="58" t="str">
        <f t="shared" si="281"/>
        <v>-0.00228297586711221+0.171084964898423i</v>
      </c>
      <c r="AQ432" s="49">
        <f t="shared" si="282"/>
        <v>-15.334989841167177</v>
      </c>
      <c r="AR432" s="61">
        <f t="shared" si="283"/>
        <v>90.764515566239865</v>
      </c>
      <c r="AS432" s="58" t="str">
        <f t="shared" si="284"/>
        <v>-0.00117411114666717-0.000362380349770728i</v>
      </c>
      <c r="AT432" s="64">
        <f t="shared" si="285"/>
        <v>-58.210643262685366</v>
      </c>
      <c r="AU432" s="61">
        <f t="shared" si="286"/>
        <v>-162.84756194235368</v>
      </c>
    </row>
    <row r="433" spans="14:47" x14ac:dyDescent="0.35">
      <c r="N433" s="10">
        <v>15</v>
      </c>
      <c r="O433" s="50">
        <f t="shared" si="287"/>
        <v>141253.75446227577</v>
      </c>
      <c r="P433" s="48" t="str">
        <f t="shared" si="255"/>
        <v>547.187404092767</v>
      </c>
      <c r="Q433" s="17" t="str">
        <f t="shared" si="256"/>
        <v>1+17021.2198038822i</v>
      </c>
      <c r="R433" s="17">
        <f t="shared" si="264"/>
        <v>17021.219833257295</v>
      </c>
      <c r="S433" s="17">
        <f t="shared" si="265"/>
        <v>1.5707375765989429</v>
      </c>
      <c r="T433" s="17" t="str">
        <f t="shared" si="257"/>
        <v>1+0.322074455435008i</v>
      </c>
      <c r="U433" s="17">
        <f t="shared" si="266"/>
        <v>1.0505864813730268</v>
      </c>
      <c r="V433" s="17">
        <f t="shared" si="267"/>
        <v>0.31158357278987286</v>
      </c>
      <c r="W433" s="31" t="str">
        <f t="shared" si="258"/>
        <v>1-5.59290277182273i</v>
      </c>
      <c r="X433" s="17">
        <f t="shared" si="268"/>
        <v>5.6815984911873505</v>
      </c>
      <c r="Y433" s="17">
        <f t="shared" si="269"/>
        <v>-1.3938678800084958</v>
      </c>
      <c r="Z433" s="31" t="str">
        <f t="shared" si="259"/>
        <v>-5.59590847923601+26.7601729399258i</v>
      </c>
      <c r="AA433" s="17">
        <f t="shared" si="270"/>
        <v>27.339002313228665</v>
      </c>
      <c r="AB433" s="17">
        <f t="shared" si="271"/>
        <v>1.7769391361579885</v>
      </c>
      <c r="AC433" s="66" t="str">
        <f t="shared" si="272"/>
        <v>-0.00195606703431641+0.00674076115849058i</v>
      </c>
      <c r="AD433" s="64">
        <f t="shared" si="273"/>
        <v>-43.074698062144662</v>
      </c>
      <c r="AE433" s="61">
        <f t="shared" si="274"/>
        <v>106.18193014793144</v>
      </c>
      <c r="AF433" s="31" t="str">
        <f t="shared" si="260"/>
        <v>-0.000106860158311346</v>
      </c>
      <c r="AG433" s="31" t="str">
        <f t="shared" si="261"/>
        <v>0.00410035863755052i</v>
      </c>
      <c r="AH433" s="31">
        <f t="shared" si="275"/>
        <v>4.1003586375505203E-3</v>
      </c>
      <c r="AI433" s="31">
        <f t="shared" si="276"/>
        <v>1.5707963267948966</v>
      </c>
      <c r="AJ433" s="31" t="str">
        <f t="shared" si="262"/>
        <v>1+64.7315851703034i</v>
      </c>
      <c r="AK433" s="31">
        <f t="shared" si="277"/>
        <v>64.739308913983962</v>
      </c>
      <c r="AL433" s="31">
        <f t="shared" si="278"/>
        <v>1.5553491466023313</v>
      </c>
      <c r="AM433" s="31" t="str">
        <f t="shared" si="263"/>
        <v>1+415.361004842779i</v>
      </c>
      <c r="AN433" s="31">
        <f t="shared" si="279"/>
        <v>415.36220861316099</v>
      </c>
      <c r="AO433" s="31">
        <f t="shared" si="280"/>
        <v>1.5683887871937841</v>
      </c>
      <c r="AP433" s="58" t="str">
        <f t="shared" si="281"/>
        <v>-0.00218024954313825+0.167192182602919i</v>
      </c>
      <c r="AQ433" s="49">
        <f t="shared" si="282"/>
        <v>-15.534942192676628</v>
      </c>
      <c r="AR433" s="61">
        <f t="shared" si="283"/>
        <v>90.747116372257707</v>
      </c>
      <c r="AS433" s="58" t="str">
        <f t="shared" si="284"/>
        <v>-0.0011227378562351-0.000341735658221183i</v>
      </c>
      <c r="AT433" s="64">
        <f t="shared" si="285"/>
        <v>-58.609640254821322</v>
      </c>
      <c r="AU433" s="61">
        <f t="shared" si="286"/>
        <v>-163.07095347981075</v>
      </c>
    </row>
    <row r="434" spans="14:47" x14ac:dyDescent="0.35">
      <c r="N434" s="10">
        <v>16</v>
      </c>
      <c r="O434" s="50">
        <f t="shared" si="287"/>
        <v>144543.97707459307</v>
      </c>
      <c r="P434" s="48" t="str">
        <f t="shared" si="255"/>
        <v>547.187404092767</v>
      </c>
      <c r="Q434" s="17" t="str">
        <f t="shared" si="256"/>
        <v>1+17417.6949453831i</v>
      </c>
      <c r="R434" s="17">
        <f t="shared" si="264"/>
        <v>17417.694974089536</v>
      </c>
      <c r="S434" s="17">
        <f t="shared" si="265"/>
        <v>1.5707389139166692</v>
      </c>
      <c r="T434" s="17" t="str">
        <f t="shared" si="257"/>
        <v>1+0.329576533239284i</v>
      </c>
      <c r="U434" s="17">
        <f t="shared" si="266"/>
        <v>1.0529105808481671</v>
      </c>
      <c r="V434" s="17">
        <f t="shared" si="267"/>
        <v>0.31836563228257664</v>
      </c>
      <c r="W434" s="31" t="str">
        <f t="shared" si="258"/>
        <v>1-5.72317821291381i</v>
      </c>
      <c r="X434" s="17">
        <f t="shared" si="268"/>
        <v>5.8098854426547275</v>
      </c>
      <c r="Y434" s="17">
        <f t="shared" si="269"/>
        <v>-1.39781450235741</v>
      </c>
      <c r="Z434" s="31" t="str">
        <f t="shared" si="259"/>
        <v>-5.90676406893901+27.3834974416471i</v>
      </c>
      <c r="AA434" s="17">
        <f t="shared" si="270"/>
        <v>28.013314582583799</v>
      </c>
      <c r="AB434" s="17">
        <f t="shared" si="271"/>
        <v>1.7832464759821292</v>
      </c>
      <c r="AC434" s="66" t="str">
        <f t="shared" si="272"/>
        <v>-0.00188897631853356+0.00659505912658154i</v>
      </c>
      <c r="AD434" s="64">
        <f t="shared" si="273"/>
        <v>-43.273200564252711</v>
      </c>
      <c r="AE434" s="61">
        <f t="shared" si="274"/>
        <v>105.98292815480545</v>
      </c>
      <c r="AF434" s="31" t="str">
        <f t="shared" si="260"/>
        <v>-0.000106860158311346</v>
      </c>
      <c r="AG434" s="31" t="str">
        <f t="shared" si="261"/>
        <v>0.0041958682596433i</v>
      </c>
      <c r="AH434" s="31">
        <f t="shared" si="275"/>
        <v>4.1958682596433001E-3</v>
      </c>
      <c r="AI434" s="31">
        <f t="shared" si="276"/>
        <v>1.5707963267948966</v>
      </c>
      <c r="AJ434" s="31" t="str">
        <f t="shared" si="262"/>
        <v>1+66.2393774839962i</v>
      </c>
      <c r="AK434" s="31">
        <f t="shared" si="277"/>
        <v>66.246925434070846</v>
      </c>
      <c r="AL434" s="31">
        <f t="shared" si="278"/>
        <v>1.5557007133147505</v>
      </c>
      <c r="AM434" s="31" t="str">
        <f t="shared" si="263"/>
        <v>1+425.036005522308i</v>
      </c>
      <c r="AN434" s="31">
        <f t="shared" si="279"/>
        <v>425.03718189160753</v>
      </c>
      <c r="AO434" s="31">
        <f t="shared" si="280"/>
        <v>1.568443589281175</v>
      </c>
      <c r="AP434" s="58" t="str">
        <f t="shared" si="281"/>
        <v>-0.0020821445087049+0.163387904960597i</v>
      </c>
      <c r="AQ434" s="49">
        <f t="shared" si="282"/>
        <v>-15.734896688208959</v>
      </c>
      <c r="AR434" s="61">
        <f t="shared" si="283"/>
        <v>90.730113011734815</v>
      </c>
      <c r="AS434" s="58" t="str">
        <f t="shared" si="284"/>
        <v>-0.00107361977211471-0.000322367749350376i</v>
      </c>
      <c r="AT434" s="64">
        <f t="shared" si="285"/>
        <v>-59.008097252461695</v>
      </c>
      <c r="AU434" s="61">
        <f t="shared" si="286"/>
        <v>-163.28695883345964</v>
      </c>
    </row>
    <row r="435" spans="14:47" x14ac:dyDescent="0.35">
      <c r="N435" s="10">
        <v>17</v>
      </c>
      <c r="O435" s="50">
        <f t="shared" si="287"/>
        <v>147910.83881682079</v>
      </c>
      <c r="P435" s="48" t="str">
        <f t="shared" si="255"/>
        <v>547.187404092767</v>
      </c>
      <c r="Q435" s="17" t="str">
        <f t="shared" si="256"/>
        <v>1+17823.4051792944i</v>
      </c>
      <c r="R435" s="17">
        <f t="shared" si="264"/>
        <v>17823.405207347401</v>
      </c>
      <c r="S435" s="17">
        <f t="shared" si="265"/>
        <v>1.5707402207933279</v>
      </c>
      <c r="T435" s="17" t="str">
        <f t="shared" si="257"/>
        <v>1+0.337253356883943i</v>
      </c>
      <c r="U435" s="17">
        <f t="shared" si="266"/>
        <v>1.0553387260635745</v>
      </c>
      <c r="V435" s="17">
        <f t="shared" si="267"/>
        <v>0.32527441690178249</v>
      </c>
      <c r="W435" s="31" t="str">
        <f t="shared" si="258"/>
        <v>1-5.85648815884858i</v>
      </c>
      <c r="X435" s="17">
        <f t="shared" si="268"/>
        <v>5.9412501676611482</v>
      </c>
      <c r="Y435" s="17">
        <f t="shared" si="269"/>
        <v>-1.4016765553015633</v>
      </c>
      <c r="Z435" s="31" t="str">
        <f t="shared" si="259"/>
        <v>-6.2322698312382+28.0213410361754i</v>
      </c>
      <c r="AA435" s="17">
        <f t="shared" si="270"/>
        <v>28.706040143409005</v>
      </c>
      <c r="AB435" s="17">
        <f t="shared" si="271"/>
        <v>1.7896456815709911</v>
      </c>
      <c r="AC435" s="66" t="str">
        <f t="shared" si="272"/>
        <v>-0.00182478068117266+0.00645260531366288i</v>
      </c>
      <c r="AD435" s="64">
        <f t="shared" si="273"/>
        <v>-43.471163246268858</v>
      </c>
      <c r="AE435" s="61">
        <f t="shared" si="274"/>
        <v>105.79077067009955</v>
      </c>
      <c r="AF435" s="31" t="str">
        <f t="shared" si="260"/>
        <v>-0.000106860158311346</v>
      </c>
      <c r="AG435" s="31" t="str">
        <f t="shared" si="261"/>
        <v>0.00429360258662623i</v>
      </c>
      <c r="AH435" s="31">
        <f t="shared" si="275"/>
        <v>4.2936025866262299E-3</v>
      </c>
      <c r="AI435" s="31">
        <f t="shared" si="276"/>
        <v>1.5707963267948966</v>
      </c>
      <c r="AJ435" s="31" t="str">
        <f t="shared" si="262"/>
        <v>1+67.7822907924127i</v>
      </c>
      <c r="AK435" s="31">
        <f t="shared" si="277"/>
        <v>67.789666949080043</v>
      </c>
      <c r="AL435" s="31">
        <f t="shared" si="278"/>
        <v>1.5560442809978883</v>
      </c>
      <c r="AM435" s="31" t="str">
        <f t="shared" si="263"/>
        <v>1+434.936365917981i</v>
      </c>
      <c r="AN435" s="31">
        <f t="shared" si="279"/>
        <v>434.93751550991772</v>
      </c>
      <c r="AO435" s="31">
        <f t="shared" si="280"/>
        <v>1.5684971439344151</v>
      </c>
      <c r="AP435" s="58" t="str">
        <f t="shared" si="281"/>
        <v>-0.00198845296121902+0.159670124423756i</v>
      </c>
      <c r="AQ435" s="49">
        <f t="shared" si="282"/>
        <v>-15.934853231312516</v>
      </c>
      <c r="AR435" s="61">
        <f t="shared" si="283"/>
        <v>90.713496489117873</v>
      </c>
      <c r="AS435" s="58" t="str">
        <f t="shared" si="284"/>
        <v>-0.00102665980274089-0.000304193660552435i</v>
      </c>
      <c r="AT435" s="64">
        <f t="shared" si="285"/>
        <v>-59.40601647758136</v>
      </c>
      <c r="AU435" s="61">
        <f t="shared" si="286"/>
        <v>-163.49573284078261</v>
      </c>
    </row>
    <row r="436" spans="14:47" x14ac:dyDescent="0.35">
      <c r="N436" s="10">
        <v>18</v>
      </c>
      <c r="O436" s="50">
        <f t="shared" si="287"/>
        <v>151356.12484362084</v>
      </c>
      <c r="P436" s="48" t="str">
        <f t="shared" si="255"/>
        <v>547.187404092767</v>
      </c>
      <c r="Q436" s="17" t="str">
        <f t="shared" si="256"/>
        <v>1+18238.5656185524i</v>
      </c>
      <c r="R436" s="17">
        <f t="shared" si="264"/>
        <v>18238.565645966832</v>
      </c>
      <c r="S436" s="17">
        <f t="shared" si="265"/>
        <v>1.5707414979218419</v>
      </c>
      <c r="T436" s="17" t="str">
        <f t="shared" si="257"/>
        <v>1+0.3451089967225i</v>
      </c>
      <c r="U436" s="17">
        <f t="shared" si="266"/>
        <v>1.0578753327395485</v>
      </c>
      <c r="V436" s="17">
        <f t="shared" si="267"/>
        <v>0.33231095076852446</v>
      </c>
      <c r="W436" s="31" t="str">
        <f t="shared" si="258"/>
        <v>1-5.99290329232497i</v>
      </c>
      <c r="X436" s="17">
        <f t="shared" si="268"/>
        <v>6.0757624929846834</v>
      </c>
      <c r="Y436" s="17">
        <f t="shared" si="269"/>
        <v>-1.4054556254880433</v>
      </c>
      <c r="Z436" s="31" t="str">
        <f t="shared" si="259"/>
        <v>-6.57311620749679+28.6740419166274i</v>
      </c>
      <c r="AA436" s="17">
        <f t="shared" si="270"/>
        <v>29.41779285591905</v>
      </c>
      <c r="AB436" s="17">
        <f t="shared" si="271"/>
        <v>1.7961387646100491</v>
      </c>
      <c r="AC436" s="66" t="str">
        <f t="shared" si="272"/>
        <v>-0.00176334606106435+0.00631333681963383i</v>
      </c>
      <c r="AD436" s="64">
        <f t="shared" si="273"/>
        <v>-43.668587911203652</v>
      </c>
      <c r="AE436" s="61">
        <f t="shared" si="274"/>
        <v>105.60531016265608</v>
      </c>
      <c r="AF436" s="31" t="str">
        <f t="shared" si="260"/>
        <v>-0.000106860158311346</v>
      </c>
      <c r="AG436" s="31" t="str">
        <f t="shared" si="261"/>
        <v>0.00439361343853314i</v>
      </c>
      <c r="AH436" s="31">
        <f t="shared" si="275"/>
        <v>4.3936134385331397E-3</v>
      </c>
      <c r="AI436" s="31">
        <f t="shared" si="276"/>
        <v>1.5707963267948966</v>
      </c>
      <c r="AJ436" s="31" t="str">
        <f t="shared" si="262"/>
        <v>1+69.3611431686123i</v>
      </c>
      <c r="AK436" s="31">
        <f t="shared" si="277"/>
        <v>69.36835144110556</v>
      </c>
      <c r="AL436" s="31">
        <f t="shared" si="278"/>
        <v>1.5563800314912575</v>
      </c>
      <c r="AM436" s="31" t="str">
        <f t="shared" si="263"/>
        <v>1+445.067335331928i</v>
      </c>
      <c r="AN436" s="31">
        <f t="shared" si="279"/>
        <v>445.06845875602426</v>
      </c>
      <c r="AO436" s="31">
        <f t="shared" si="280"/>
        <v>1.5685494795476604</v>
      </c>
      <c r="AP436" s="58" t="str">
        <f t="shared" si="281"/>
        <v>-0.00189897643406152+0.156036878670947i</v>
      </c>
      <c r="AQ436" s="49">
        <f t="shared" si="282"/>
        <v>-16.134811729872442</v>
      </c>
      <c r="AR436" s="61">
        <f t="shared" si="283"/>
        <v>90.697258012635572</v>
      </c>
      <c r="AS436" s="58" t="str">
        <f t="shared" si="284"/>
        <v>-0.00098176481871897-0.000287135893225968i</v>
      </c>
      <c r="AT436" s="64">
        <f t="shared" si="285"/>
        <v>-59.803399641076098</v>
      </c>
      <c r="AU436" s="61">
        <f t="shared" si="286"/>
        <v>-163.69743182470833</v>
      </c>
    </row>
    <row r="437" spans="14:47" x14ac:dyDescent="0.35">
      <c r="N437" s="10">
        <v>19</v>
      </c>
      <c r="O437" s="50">
        <f t="shared" si="287"/>
        <v>154881.66189124843</v>
      </c>
      <c r="P437" s="48" t="str">
        <f t="shared" si="255"/>
        <v>547.187404092767</v>
      </c>
      <c r="Q437" s="17" t="str">
        <f t="shared" si="256"/>
        <v>1+18663.3963867174i</v>
      </c>
      <c r="R437" s="17">
        <f t="shared" si="264"/>
        <v>18663.396413507802</v>
      </c>
      <c r="S437" s="17">
        <f t="shared" si="265"/>
        <v>1.5707427459793621</v>
      </c>
      <c r="T437" s="17" t="str">
        <f t="shared" si="257"/>
        <v>1+0.353147617919176i</v>
      </c>
      <c r="U437" s="17">
        <f t="shared" si="266"/>
        <v>1.0605249832238695</v>
      </c>
      <c r="V437" s="17">
        <f t="shared" si="267"/>
        <v>0.33947617664696028</v>
      </c>
      <c r="W437" s="31" t="str">
        <f t="shared" si="258"/>
        <v>1-6.13249594245241i</v>
      </c>
      <c r="X437" s="17">
        <f t="shared" si="268"/>
        <v>6.2134939031269099</v>
      </c>
      <c r="Y437" s="17">
        <f t="shared" si="269"/>
        <v>-1.4091532846502519</v>
      </c>
      <c r="Z437" s="31" t="str">
        <f t="shared" si="259"/>
        <v>-6.93002617857688+29.3419461536495i</v>
      </c>
      <c r="AA437" s="17">
        <f t="shared" si="270"/>
        <v>30.149213371486621</v>
      </c>
      <c r="AB437" s="17">
        <f t="shared" si="271"/>
        <v>1.8027277013306029</v>
      </c>
      <c r="AC437" s="66" t="str">
        <f t="shared" si="272"/>
        <v>-0.00170454424796678+0.00617719136272033i</v>
      </c>
      <c r="AD437" s="64">
        <f t="shared" si="273"/>
        <v>-43.865475880271759</v>
      </c>
      <c r="AE437" s="61">
        <f t="shared" si="274"/>
        <v>105.42639732668096</v>
      </c>
      <c r="AF437" s="31" t="str">
        <f t="shared" si="260"/>
        <v>-0.000106860158311346</v>
      </c>
      <c r="AG437" s="31" t="str">
        <f t="shared" si="261"/>
        <v>0.00449595384244152i</v>
      </c>
      <c r="AH437" s="31">
        <f t="shared" si="275"/>
        <v>4.4959538424415198E-3</v>
      </c>
      <c r="AI437" s="31">
        <f t="shared" si="276"/>
        <v>1.5707963267948966</v>
      </c>
      <c r="AJ437" s="31" t="str">
        <f t="shared" si="262"/>
        <v>1+70.9767717410232i</v>
      </c>
      <c r="AK437" s="31">
        <f t="shared" si="277"/>
        <v>70.98381594967482</v>
      </c>
      <c r="AL437" s="31">
        <f t="shared" si="278"/>
        <v>1.556708142511251</v>
      </c>
      <c r="AM437" s="31" t="str">
        <f t="shared" si="263"/>
        <v>1+455.434285338231i</v>
      </c>
      <c r="AN437" s="31">
        <f t="shared" si="279"/>
        <v>455.4353831901351</v>
      </c>
      <c r="AO437" s="31">
        <f t="shared" si="280"/>
        <v>1.5686006238687988</v>
      </c>
      <c r="AP437" s="58" t="str">
        <f t="shared" si="281"/>
        <v>-0.00181352537786639+0.152486249608893i</v>
      </c>
      <c r="AQ437" s="49">
        <f t="shared" si="282"/>
        <v>-16.334772095916282</v>
      </c>
      <c r="AR437" s="61">
        <f t="shared" si="283"/>
        <v>90.681388989725505</v>
      </c>
      <c r="AS437" s="58" t="str">
        <f t="shared" si="284"/>
        <v>-0.000938845509766286-0.000271122052965096i</v>
      </c>
      <c r="AT437" s="64">
        <f t="shared" si="285"/>
        <v>-60.200247976188038</v>
      </c>
      <c r="AU437" s="61">
        <f t="shared" si="286"/>
        <v>-163.89221368359352</v>
      </c>
    </row>
    <row r="438" spans="14:47" x14ac:dyDescent="0.35">
      <c r="N438" s="10">
        <v>20</v>
      </c>
      <c r="O438" s="50">
        <f t="shared" si="287"/>
        <v>158489.31924611164</v>
      </c>
      <c r="P438" s="48" t="str">
        <f t="shared" si="255"/>
        <v>547.187404092767</v>
      </c>
      <c r="Q438" s="17" t="str">
        <f t="shared" si="256"/>
        <v>1+19098.1227346859i</v>
      </c>
      <c r="R438" s="17">
        <f t="shared" si="264"/>
        <v>19098.122760866485</v>
      </c>
      <c r="S438" s="17">
        <f t="shared" si="265"/>
        <v>1.570743965627625</v>
      </c>
      <c r="T438" s="17" t="str">
        <f t="shared" si="257"/>
        <v>1+0.361373482657334i</v>
      </c>
      <c r="U438" s="17">
        <f t="shared" si="266"/>
        <v>1.0632924310686551</v>
      </c>
      <c r="V438" s="17">
        <f t="shared" si="267"/>
        <v>0.34677094977187223</v>
      </c>
      <c r="W438" s="31" t="str">
        <f t="shared" si="258"/>
        <v>1-6.2753401231017i</v>
      </c>
      <c r="X438" s="17">
        <f t="shared" si="268"/>
        <v>6.3545175789047956</v>
      </c>
      <c r="Y438" s="17">
        <f t="shared" si="269"/>
        <v>-1.412771088675953</v>
      </c>
      <c r="Z438" s="31" t="str">
        <f t="shared" si="259"/>
        <v>-7.30375679837881+30.0254078789087i</v>
      </c>
      <c r="AA438" s="17">
        <f t="shared" si="270"/>
        <v>30.900970561856099</v>
      </c>
      <c r="AB438" s="17">
        <f t="shared" si="271"/>
        <v>1.8094144288212066</v>
      </c>
      <c r="AC438" s="66" t="str">
        <f t="shared" si="272"/>
        <v>-0.00164825262546935+0.00604410730606657i</v>
      </c>
      <c r="AD438" s="64">
        <f t="shared" si="273"/>
        <v>-44.06182802818968</v>
      </c>
      <c r="AE438" s="61">
        <f t="shared" si="274"/>
        <v>105.2538809928021</v>
      </c>
      <c r="AF438" s="31" t="str">
        <f t="shared" si="260"/>
        <v>-0.000106860158311346</v>
      </c>
      <c r="AG438" s="31" t="str">
        <f t="shared" si="261"/>
        <v>0.00460067806058813i</v>
      </c>
      <c r="AH438" s="31">
        <f t="shared" si="275"/>
        <v>4.6006780605881304E-3</v>
      </c>
      <c r="AI438" s="31">
        <f t="shared" si="276"/>
        <v>1.5707963267948966</v>
      </c>
      <c r="AJ438" s="31" t="str">
        <f t="shared" si="262"/>
        <v>1+72.6300331372996i</v>
      </c>
      <c r="AK438" s="31">
        <f t="shared" si="277"/>
        <v>72.636917015559234</v>
      </c>
      <c r="AL438" s="31">
        <f t="shared" si="278"/>
        <v>1.5570287877439255</v>
      </c>
      <c r="AM438" s="31" t="str">
        <f t="shared" si="263"/>
        <v>1+466.042712631005i</v>
      </c>
      <c r="AN438" s="31">
        <f t="shared" si="279"/>
        <v>466.04378549280699</v>
      </c>
      <c r="AO438" s="31">
        <f t="shared" si="280"/>
        <v>1.5686506040141555</v>
      </c>
      <c r="AP438" s="58" t="str">
        <f t="shared" si="281"/>
        <v>-0.00173191876051597+0.149016362395051i</v>
      </c>
      <c r="AQ438" s="49">
        <f t="shared" si="282"/>
        <v>-16.534734245427494</v>
      </c>
      <c r="AR438" s="61">
        <f t="shared" si="283"/>
        <v>90.66588102256064</v>
      </c>
      <c r="AS438" s="58" t="str">
        <f t="shared" si="284"/>
        <v>-0.000897816245031271-0.000256084513389483i</v>
      </c>
      <c r="AT438" s="64">
        <f t="shared" si="285"/>
        <v>-60.596562273617174</v>
      </c>
      <c r="AU438" s="61">
        <f t="shared" si="286"/>
        <v>-164.08023798463728</v>
      </c>
    </row>
    <row r="439" spans="14:47" x14ac:dyDescent="0.35">
      <c r="N439" s="10">
        <v>21</v>
      </c>
      <c r="O439" s="50">
        <f t="shared" si="287"/>
        <v>162181.00973589328</v>
      </c>
      <c r="P439" s="48" t="str">
        <f t="shared" si="255"/>
        <v>547.187404092767</v>
      </c>
      <c r="Q439" s="17" t="str">
        <f t="shared" si="256"/>
        <v>1+19542.9751601217i</v>
      </c>
      <c r="R439" s="17">
        <f t="shared" si="264"/>
        <v>19542.975185706338</v>
      </c>
      <c r="S439" s="17">
        <f t="shared" si="265"/>
        <v>1.570745157513304</v>
      </c>
      <c r="T439" s="17" t="str">
        <f t="shared" si="257"/>
        <v>1+0.369790952399339i</v>
      </c>
      <c r="U439" s="17">
        <f t="shared" si="266"/>
        <v>1.0661826055964383</v>
      </c>
      <c r="V439" s="17">
        <f t="shared" si="267"/>
        <v>0.35419603151540535</v>
      </c>
      <c r="W439" s="31" t="str">
        <f t="shared" si="258"/>
        <v>1-6.4215115721482i</v>
      </c>
      <c r="X439" s="17">
        <f t="shared" si="268"/>
        <v>6.4989084369017887</v>
      </c>
      <c r="Y439" s="17">
        <f t="shared" si="269"/>
        <v>-1.4163105767667152</v>
      </c>
      <c r="Z439" s="31" t="str">
        <f t="shared" si="259"/>
        <v>-7.69510079965413+30.7247894728585i</v>
      </c>
      <c r="AA439" s="17">
        <f t="shared" si="270"/>
        <v>31.673763029806135</v>
      </c>
      <c r="AB439" s="17">
        <f t="shared" si="271"/>
        <v>1.816200841126504</v>
      </c>
      <c r="AC439" s="66" t="str">
        <f t="shared" si="272"/>
        <v>-0.00159435392547458+0.00591402368042546i</v>
      </c>
      <c r="AD439" s="64">
        <f t="shared" si="273"/>
        <v>-44.257644820205641</v>
      </c>
      <c r="AE439" s="61">
        <f t="shared" si="274"/>
        <v>105.08760803686044</v>
      </c>
      <c r="AF439" s="31" t="str">
        <f t="shared" si="260"/>
        <v>-0.000106860158311346</v>
      </c>
      <c r="AG439" s="31" t="str">
        <f t="shared" si="261"/>
        <v>0.00470784161913965i</v>
      </c>
      <c r="AH439" s="31">
        <f t="shared" si="275"/>
        <v>4.7078416191396501E-3</v>
      </c>
      <c r="AI439" s="31">
        <f t="shared" si="276"/>
        <v>1.5707963267948966</v>
      </c>
      <c r="AJ439" s="31" t="str">
        <f t="shared" si="262"/>
        <v>1+74.3218039385174i</v>
      </c>
      <c r="AK439" s="31">
        <f t="shared" si="277"/>
        <v>74.328531134924376</v>
      </c>
      <c r="AL439" s="31">
        <f t="shared" si="278"/>
        <v>1.5573421369357432</v>
      </c>
      <c r="AM439" s="31" t="str">
        <f t="shared" si="263"/>
        <v>1+476.898241938819i</v>
      </c>
      <c r="AN439" s="31">
        <f t="shared" si="279"/>
        <v>476.89929037935917</v>
      </c>
      <c r="AO439" s="31">
        <f t="shared" si="280"/>
        <v>1.5686994464828652</v>
      </c>
      <c r="AP439" s="58" t="str">
        <f t="shared" si="281"/>
        <v>-0.00165398368502202+0.145625384480459i</v>
      </c>
      <c r="AQ439" s="49">
        <f t="shared" si="282"/>
        <v>-16.734698098168003</v>
      </c>
      <c r="AR439" s="61">
        <f t="shared" si="283"/>
        <v>90.650725903673731</v>
      </c>
      <c r="AS439" s="58" t="str">
        <f t="shared" si="284"/>
        <v>-0.000858594936907611-0.000241960102075422i</v>
      </c>
      <c r="AT439" s="64">
        <f t="shared" si="285"/>
        <v>-60.992342918373637</v>
      </c>
      <c r="AU439" s="61">
        <f t="shared" si="286"/>
        <v>-164.26166605946585</v>
      </c>
    </row>
    <row r="440" spans="14:47" x14ac:dyDescent="0.35">
      <c r="N440" s="10">
        <v>22</v>
      </c>
      <c r="O440" s="50">
        <f t="shared" si="287"/>
        <v>165958.69074375604</v>
      </c>
      <c r="P440" s="48" t="str">
        <f t="shared" si="255"/>
        <v>547.187404092767</v>
      </c>
      <c r="Q440" s="17" t="str">
        <f t="shared" si="256"/>
        <v>1+19998.1895296695i</v>
      </c>
      <c r="R440" s="17">
        <f t="shared" si="264"/>
        <v>19998.189554671764</v>
      </c>
      <c r="S440" s="17">
        <f t="shared" si="265"/>
        <v>1.5707463222683526</v>
      </c>
      <c r="T440" s="17" t="str">
        <f t="shared" si="257"/>
        <v>1+0.378404490199071i</v>
      </c>
      <c r="U440" s="17">
        <f t="shared" si="266"/>
        <v>1.0692006164433403</v>
      </c>
      <c r="V440" s="17">
        <f t="shared" si="267"/>
        <v>0.36175208290879557</v>
      </c>
      <c r="W440" s="31" t="str">
        <f t="shared" si="258"/>
        <v>1-6.57108779162904i</v>
      </c>
      <c r="X440" s="17">
        <f t="shared" si="268"/>
        <v>6.6467431698009971</v>
      </c>
      <c r="Y440" s="17">
        <f t="shared" si="269"/>
        <v>-1.4197732706834432</v>
      </c>
      <c r="Z440" s="31" t="str">
        <f t="shared" si="259"/>
        <v>-8.10488827549809+31.4404617568777i</v>
      </c>
      <c r="AA440" s="17">
        <f t="shared" si="270"/>
        <v>32.468320705635442</v>
      </c>
      <c r="AB440" s="17">
        <f t="shared" si="271"/>
        <v>1.8230887851309683</v>
      </c>
      <c r="AC440" s="66" t="str">
        <f t="shared" si="272"/>
        <v>-0.00154273599381611+0.00578688020325909i</v>
      </c>
      <c r="AD440" s="64">
        <f t="shared" si="273"/>
        <v>-44.452926350910495</v>
      </c>
      <c r="AE440" s="61">
        <f t="shared" si="274"/>
        <v>104.92742328778476</v>
      </c>
      <c r="AF440" s="31" t="str">
        <f t="shared" si="260"/>
        <v>-0.000106860158311346</v>
      </c>
      <c r="AG440" s="31" t="str">
        <f t="shared" si="261"/>
        <v>0.00481750133763327i</v>
      </c>
      <c r="AH440" s="31">
        <f t="shared" si="275"/>
        <v>4.8175013376332704E-3</v>
      </c>
      <c r="AI440" s="31">
        <f t="shared" si="276"/>
        <v>1.5707963267948966</v>
      </c>
      <c r="AJ440" s="31" t="str">
        <f t="shared" si="262"/>
        <v>1+76.0529811439492i</v>
      </c>
      <c r="AK440" s="31">
        <f t="shared" si="277"/>
        <v>76.059555224060389</v>
      </c>
      <c r="AL440" s="31">
        <f t="shared" si="278"/>
        <v>1.5576483559823158</v>
      </c>
      <c r="AM440" s="31" t="str">
        <f t="shared" si="263"/>
        <v>1+488.006629007007i</v>
      </c>
      <c r="AN440" s="31">
        <f t="shared" si="279"/>
        <v>488.00765358217745</v>
      </c>
      <c r="AO440" s="31">
        <f t="shared" si="280"/>
        <v>1.5687471771709192</v>
      </c>
      <c r="AP440" s="58" t="str">
        <f t="shared" si="281"/>
        <v>-0.00157955502449766+0.142311524672555i</v>
      </c>
      <c r="AQ440" s="49">
        <f t="shared" si="282"/>
        <v>-16.934663577508321</v>
      </c>
      <c r="AR440" s="61">
        <f t="shared" si="283"/>
        <v>90.635915611677348</v>
      </c>
      <c r="AS440" s="58" t="str">
        <f t="shared" si="284"/>
        <v>-0.00082110290843272-0.000228689807148424i</v>
      </c>
      <c r="AT440" s="64">
        <f t="shared" si="285"/>
        <v>-61.387589928418819</v>
      </c>
      <c r="AU440" s="61">
        <f t="shared" si="286"/>
        <v>-164.43666110053786</v>
      </c>
    </row>
    <row r="441" spans="14:47" x14ac:dyDescent="0.35">
      <c r="N441" s="10">
        <v>23</v>
      </c>
      <c r="O441" s="50">
        <f t="shared" si="287"/>
        <v>169824.36524617471</v>
      </c>
      <c r="P441" s="48" t="str">
        <f t="shared" si="255"/>
        <v>547.187404092767</v>
      </c>
      <c r="Q441" s="17" t="str">
        <f t="shared" si="256"/>
        <v>1+20464.0072040131i</v>
      </c>
      <c r="R441" s="17">
        <f t="shared" si="264"/>
        <v>20464.007228446244</v>
      </c>
      <c r="S441" s="17">
        <f t="shared" si="265"/>
        <v>1.5707474605103398</v>
      </c>
      <c r="T441" s="17" t="str">
        <f t="shared" si="257"/>
        <v>1+0.387218663068279i</v>
      </c>
      <c r="U441" s="17">
        <f t="shared" si="266"/>
        <v>1.0723517580665336</v>
      </c>
      <c r="V441" s="17">
        <f t="shared" si="267"/>
        <v>0.36943965803728063</v>
      </c>
      <c r="W441" s="31" t="str">
        <f t="shared" si="258"/>
        <v>1-6.72414808883559i</v>
      </c>
      <c r="X441" s="17">
        <f t="shared" si="268"/>
        <v>6.7981002876238383</v>
      </c>
      <c r="Y441" s="17">
        <f t="shared" si="269"/>
        <v>-1.4231606740728913</v>
      </c>
      <c r="Z441" s="31" t="str">
        <f t="shared" si="259"/>
        <v>-8.5339884400879+32.1728041898839i</v>
      </c>
      <c r="AA441" s="17">
        <f t="shared" si="270"/>
        <v>33.285406534037776</v>
      </c>
      <c r="AB441" s="17">
        <f t="shared" si="271"/>
        <v>1.8300800562259585</v>
      </c>
      <c r="AC441" s="66" t="str">
        <f t="shared" si="272"/>
        <v>-0.00149329156658779+0.00566261729454397i</v>
      </c>
      <c r="AD441" s="64">
        <f t="shared" si="273"/>
        <v>-44.647672384871207</v>
      </c>
      <c r="AE441" s="61">
        <f t="shared" si="274"/>
        <v>104.77316943597631</v>
      </c>
      <c r="AF441" s="31" t="str">
        <f t="shared" si="260"/>
        <v>-0.000106860158311346</v>
      </c>
      <c r="AG441" s="31" t="str">
        <f t="shared" si="261"/>
        <v>0.00492971535910329i</v>
      </c>
      <c r="AH441" s="31">
        <f t="shared" si="275"/>
        <v>4.92971535910329E-3</v>
      </c>
      <c r="AI441" s="31">
        <f t="shared" si="276"/>
        <v>1.5707963267948966</v>
      </c>
      <c r="AJ441" s="31" t="str">
        <f t="shared" si="262"/>
        <v>1+77.8244826466633i</v>
      </c>
      <c r="AK441" s="31">
        <f t="shared" si="277"/>
        <v>77.83090709493753</v>
      </c>
      <c r="AL441" s="31">
        <f t="shared" si="278"/>
        <v>1.5579476070151892</v>
      </c>
      <c r="AM441" s="31" t="str">
        <f t="shared" si="263"/>
        <v>1+499.373763649422i</v>
      </c>
      <c r="AN441" s="31">
        <f t="shared" si="279"/>
        <v>499.37476490246161</v>
      </c>
      <c r="AO441" s="31">
        <f t="shared" si="280"/>
        <v>1.5687938213848893</v>
      </c>
      <c r="AP441" s="58" t="str">
        <f t="shared" si="281"/>
        <v>-0.00150847507346048+0.139073032217626i</v>
      </c>
      <c r="AQ441" s="49">
        <f t="shared" si="282"/>
        <v>-17.134630610265404</v>
      </c>
      <c r="AR441" s="61">
        <f t="shared" si="283"/>
        <v>90.621442307077956</v>
      </c>
      <c r="AS441" s="58" t="str">
        <f t="shared" si="284"/>
        <v>-0.000785264764334593-0.000216218503189739i</v>
      </c>
      <c r="AT441" s="64">
        <f t="shared" si="285"/>
        <v>-61.782302995136611</v>
      </c>
      <c r="AU441" s="61">
        <f t="shared" si="286"/>
        <v>-164.6053882569457</v>
      </c>
    </row>
    <row r="442" spans="14:47" x14ac:dyDescent="0.35">
      <c r="N442" s="10">
        <v>24</v>
      </c>
      <c r="O442" s="50">
        <f t="shared" si="287"/>
        <v>173780.0828749378</v>
      </c>
      <c r="P442" s="48" t="str">
        <f t="shared" si="255"/>
        <v>547.187404092767</v>
      </c>
      <c r="Q442" s="17" t="str">
        <f t="shared" si="256"/>
        <v>1+20940.6751658495i</v>
      </c>
      <c r="R442" s="17">
        <f t="shared" si="264"/>
        <v>20940.675189726477</v>
      </c>
      <c r="S442" s="17">
        <f t="shared" si="265"/>
        <v>1.5707485728427761</v>
      </c>
      <c r="T442" s="17" t="str">
        <f t="shared" si="257"/>
        <v>1+0.396238144398094i</v>
      </c>
      <c r="U442" s="17">
        <f t="shared" si="266"/>
        <v>1.0756415142025919</v>
      </c>
      <c r="V442" s="17">
        <f t="shared" si="267"/>
        <v>0.37725919732909757</v>
      </c>
      <c r="W442" s="31" t="str">
        <f t="shared" si="258"/>
        <v>1-6.88077361836351i</v>
      </c>
      <c r="X442" s="17">
        <f t="shared" si="268"/>
        <v>6.953060159898464</v>
      </c>
      <c r="Y442" s="17">
        <f t="shared" si="269"/>
        <v>-1.4264742718702621</v>
      </c>
      <c r="Z442" s="31" t="str">
        <f t="shared" si="259"/>
        <v>-8.98331147240342+32.9222050695292i</v>
      </c>
      <c r="AA442" s="17">
        <f t="shared" si="270"/>
        <v>34.125818256129023</v>
      </c>
      <c r="AB442" s="17">
        <f t="shared" si="271"/>
        <v>1.8371763937595924</v>
      </c>
      <c r="AC442" s="66" t="str">
        <f t="shared" si="272"/>
        <v>-0.00144591805677465+0.00554117608955752i</v>
      </c>
      <c r="AD442" s="64">
        <f t="shared" si="273"/>
        <v>-44.841882399123904</v>
      </c>
      <c r="AE442" s="61">
        <f t="shared" si="274"/>
        <v>104.62468694370945</v>
      </c>
      <c r="AF442" s="31" t="str">
        <f t="shared" si="260"/>
        <v>-0.000106860158311346</v>
      </c>
      <c r="AG442" s="31" t="str">
        <f t="shared" si="261"/>
        <v>0.0050445431809092i</v>
      </c>
      <c r="AH442" s="31">
        <f t="shared" si="275"/>
        <v>5.0445431809092002E-3</v>
      </c>
      <c r="AI442" s="31">
        <f t="shared" si="276"/>
        <v>1.5707963267948966</v>
      </c>
      <c r="AJ442" s="31" t="str">
        <f t="shared" si="262"/>
        <v>1+79.637247720206i</v>
      </c>
      <c r="AK442" s="31">
        <f t="shared" si="277"/>
        <v>79.643525941845752</v>
      </c>
      <c r="AL442" s="31">
        <f t="shared" si="278"/>
        <v>1.5582400484867134</v>
      </c>
      <c r="AM442" s="31" t="str">
        <f t="shared" si="263"/>
        <v>1+511.005672871321i</v>
      </c>
      <c r="AN442" s="31">
        <f t="shared" si="279"/>
        <v>511.00665133310298</v>
      </c>
      <c r="AO442" s="31">
        <f t="shared" si="280"/>
        <v>1.568839403855343</v>
      </c>
      <c r="AP442" s="58" t="str">
        <f t="shared" si="281"/>
        <v>-0.0014405932147402+0.135908195902557i</v>
      </c>
      <c r="AQ442" s="49">
        <f t="shared" si="282"/>
        <v>-17.334599126547602</v>
      </c>
      <c r="AR442" s="61">
        <f t="shared" si="283"/>
        <v>90.607298328181813</v>
      </c>
      <c r="AS442" s="58" t="str">
        <f t="shared" si="284"/>
        <v>-0.000751008265768488-0.000204494695195471i</v>
      </c>
      <c r="AT442" s="64">
        <f t="shared" si="285"/>
        <v>-62.176481525671505</v>
      </c>
      <c r="AU442" s="61">
        <f t="shared" si="286"/>
        <v>-164.76801472810871</v>
      </c>
    </row>
    <row r="443" spans="14:47" x14ac:dyDescent="0.35">
      <c r="N443" s="10">
        <v>25</v>
      </c>
      <c r="O443" s="50">
        <f t="shared" si="287"/>
        <v>177827.94100389251</v>
      </c>
      <c r="P443" s="48" t="str">
        <f t="shared" si="255"/>
        <v>547.187404092767</v>
      </c>
      <c r="Q443" s="17" t="str">
        <f t="shared" si="256"/>
        <v>1+21428.4461508415i</v>
      </c>
      <c r="R443" s="17">
        <f t="shared" si="264"/>
        <v>21428.446174174969</v>
      </c>
      <c r="S443" s="17">
        <f t="shared" si="265"/>
        <v>1.5707496598554351</v>
      </c>
      <c r="T443" s="17" t="str">
        <f t="shared" si="257"/>
        <v>1+0.405467716436901i</v>
      </c>
      <c r="U443" s="17">
        <f t="shared" si="266"/>
        <v>1.0790755622626969</v>
      </c>
      <c r="V443" s="17">
        <f t="shared" si="267"/>
        <v>0.38521102076207381</v>
      </c>
      <c r="W443" s="31" t="str">
        <f t="shared" si="258"/>
        <v>1-7.04104742514169i</v>
      </c>
      <c r="X443" s="17">
        <f t="shared" si="268"/>
        <v>7.1117050587812214</v>
      </c>
      <c r="Y443" s="17">
        <f t="shared" si="269"/>
        <v>-1.4297155297731587</v>
      </c>
      <c r="Z443" s="31" t="str">
        <f t="shared" si="259"/>
        <v>-9.4538104468378+33.6890617380793i</v>
      </c>
      <c r="AA443" s="17">
        <f t="shared" si="270"/>
        <v>34.99039029157661</v>
      </c>
      <c r="AB443" s="17">
        <f t="shared" si="271"/>
        <v>1.8443794762700241</v>
      </c>
      <c r="AC443" s="66" t="str">
        <f t="shared" si="272"/>
        <v>-0.00140051735079333+0.00542249844891139i</v>
      </c>
      <c r="AD443" s="64">
        <f t="shared" si="273"/>
        <v>-45.035555627547865</v>
      </c>
      <c r="AE443" s="61">
        <f t="shared" si="274"/>
        <v>104.48181395913298</v>
      </c>
      <c r="AF443" s="31" t="str">
        <f t="shared" si="260"/>
        <v>-0.000106860158311346</v>
      </c>
      <c r="AG443" s="31" t="str">
        <f t="shared" si="261"/>
        <v>0.00516204568628205i</v>
      </c>
      <c r="AH443" s="31">
        <f t="shared" si="275"/>
        <v>5.1620456862820499E-3</v>
      </c>
      <c r="AI443" s="31">
        <f t="shared" si="276"/>
        <v>1.5707963267948966</v>
      </c>
      <c r="AJ443" s="31" t="str">
        <f t="shared" si="262"/>
        <v>1+81.4922375166136i</v>
      </c>
      <c r="AK443" s="31">
        <f t="shared" si="277"/>
        <v>81.498372839365103</v>
      </c>
      <c r="AL443" s="31">
        <f t="shared" si="278"/>
        <v>1.5585258352530309</v>
      </c>
      <c r="AM443" s="31" t="str">
        <f t="shared" si="263"/>
        <v>1+522.908524064936i</v>
      </c>
      <c r="AN443" s="31">
        <f t="shared" si="279"/>
        <v>522.90948025424996</v>
      </c>
      <c r="AO443" s="31">
        <f t="shared" si="280"/>
        <v>1.5688839487499515</v>
      </c>
      <c r="AP443" s="58" t="str">
        <f t="shared" si="281"/>
        <v>-0.00137576560129671+0.132815343175541i</v>
      </c>
      <c r="AQ443" s="49">
        <f t="shared" si="282"/>
        <v>-17.53456905960681</v>
      </c>
      <c r="AR443" s="61">
        <f t="shared" si="283"/>
        <v>90.593476187091042</v>
      </c>
      <c r="AS443" s="58" t="str">
        <f t="shared" si="284"/>
        <v>-0.000718264208765764-0.000193470279408013i</v>
      </c>
      <c r="AT443" s="64">
        <f t="shared" si="285"/>
        <v>-62.570124687154674</v>
      </c>
      <c r="AU443" s="61">
        <f t="shared" si="286"/>
        <v>-164.92470985377597</v>
      </c>
    </row>
    <row r="444" spans="14:47" x14ac:dyDescent="0.35">
      <c r="N444" s="10">
        <v>26</v>
      </c>
      <c r="O444" s="50">
        <f t="shared" si="287"/>
        <v>181970.08586099857</v>
      </c>
      <c r="P444" s="48" t="str">
        <f t="shared" si="255"/>
        <v>547.187404092767</v>
      </c>
      <c r="Q444" s="17" t="str">
        <f t="shared" si="256"/>
        <v>1+21927.5787816215i</v>
      </c>
      <c r="R444" s="17">
        <f t="shared" si="264"/>
        <v>21927.578804423832</v>
      </c>
      <c r="S444" s="17">
        <f t="shared" si="265"/>
        <v>1.5707507221246653</v>
      </c>
      <c r="T444" s="17" t="str">
        <f t="shared" si="257"/>
        <v>1+0.414912272825957i</v>
      </c>
      <c r="U444" s="17">
        <f t="shared" si="266"/>
        <v>1.0826597776502096</v>
      </c>
      <c r="V444" s="17">
        <f t="shared" si="267"/>
        <v>0.39329532101427289</v>
      </c>
      <c r="W444" s="31" t="str">
        <f t="shared" si="258"/>
        <v>1-7.20505448846389i</v>
      </c>
      <c r="X444" s="17">
        <f t="shared" si="268"/>
        <v>7.2741192031567401</v>
      </c>
      <c r="Y444" s="17">
        <f t="shared" si="269"/>
        <v>-1.4328858937824083</v>
      </c>
      <c r="Z444" s="31" t="str">
        <f t="shared" si="259"/>
        <v>-9.9464833547964+34.4737807930899i</v>
      </c>
      <c r="AA444" s="17">
        <f t="shared" si="270"/>
        <v>35.879995725992728</v>
      </c>
      <c r="AB444" s="17">
        <f t="shared" si="271"/>
        <v>1.8516909165041482</v>
      </c>
      <c r="AC444" s="66" t="str">
        <f t="shared" si="272"/>
        <v>-0.00135699561456368+0.00530652696608202i</v>
      </c>
      <c r="AD444" s="64">
        <f t="shared" si="273"/>
        <v>-45.228691107132235</v>
      </c>
      <c r="AE444" s="61">
        <f t="shared" si="274"/>
        <v>104.34438623552934</v>
      </c>
      <c r="AF444" s="31" t="str">
        <f t="shared" si="260"/>
        <v>-0.000106860158311346</v>
      </c>
      <c r="AG444" s="31" t="str">
        <f t="shared" si="261"/>
        <v>0.00528228517660552i</v>
      </c>
      <c r="AH444" s="31">
        <f t="shared" si="275"/>
        <v>5.2822851766055204E-3</v>
      </c>
      <c r="AI444" s="31">
        <f t="shared" si="276"/>
        <v>1.5707963267948966</v>
      </c>
      <c r="AJ444" s="31" t="str">
        <f t="shared" si="262"/>
        <v>1+83.3904355760288i</v>
      </c>
      <c r="AK444" s="31">
        <f t="shared" si="277"/>
        <v>83.396431251941536</v>
      </c>
      <c r="AL444" s="31">
        <f t="shared" si="278"/>
        <v>1.5588051186552296</v>
      </c>
      <c r="AM444" s="31" t="str">
        <f t="shared" si="263"/>
        <v>1+535.088628279517i</v>
      </c>
      <c r="AN444" s="31">
        <f t="shared" si="279"/>
        <v>535.08956270334329</v>
      </c>
      <c r="AO444" s="31">
        <f t="shared" si="280"/>
        <v>1.5689274796862998</v>
      </c>
      <c r="AP444" s="58" t="str">
        <f t="shared" si="281"/>
        <v>-0.00131385485228429+0.129792839285419i</v>
      </c>
      <c r="AQ444" s="49">
        <f t="shared" si="282"/>
        <v>-17.734540345697351</v>
      </c>
      <c r="AR444" s="61">
        <f t="shared" si="283"/>
        <v>90.579968565788008</v>
      </c>
      <c r="AS444" s="58" t="str">
        <f t="shared" si="284"/>
        <v>-0.000686966306399703-0.000183100319915246i</v>
      </c>
      <c r="AT444" s="64">
        <f t="shared" si="285"/>
        <v>-62.963231452829582</v>
      </c>
      <c r="AU444" s="61">
        <f t="shared" si="286"/>
        <v>-165.07564519868268</v>
      </c>
    </row>
    <row r="445" spans="14:47" x14ac:dyDescent="0.35">
      <c r="N445" s="10">
        <v>27</v>
      </c>
      <c r="O445" s="50">
        <f t="shared" si="287"/>
        <v>186208.71366628664</v>
      </c>
      <c r="P445" s="48" t="str">
        <f t="shared" si="255"/>
        <v>547.187404092767</v>
      </c>
      <c r="Q445" s="17" t="str">
        <f t="shared" si="256"/>
        <v>1+22438.3377049174i</v>
      </c>
      <c r="R445" s="17">
        <f t="shared" si="264"/>
        <v>22438.337727200691</v>
      </c>
      <c r="S445" s="17">
        <f t="shared" si="265"/>
        <v>1.5707517602136958</v>
      </c>
      <c r="T445" s="17" t="str">
        <f t="shared" si="257"/>
        <v>1+0.424576821194082i</v>
      </c>
      <c r="U445" s="17">
        <f t="shared" si="266"/>
        <v>1.0864002379856474</v>
      </c>
      <c r="V445" s="17">
        <f t="shared" si="267"/>
        <v>0.40151215658796291</v>
      </c>
      <c r="W445" s="31" t="str">
        <f t="shared" si="258"/>
        <v>1-7.37288176704609i</v>
      </c>
      <c r="X445" s="17">
        <f t="shared" si="268"/>
        <v>7.4403888037414188</v>
      </c>
      <c r="Y445" s="17">
        <f t="shared" si="269"/>
        <v>-1.4359867898054384</v>
      </c>
      <c r="Z445" s="31" t="str">
        <f t="shared" si="259"/>
        <v>-10.4623752215713+35.2767783029918i</v>
      </c>
      <c r="AA445" s="17">
        <f t="shared" si="270"/>
        <v>36.79554840894999</v>
      </c>
      <c r="AB445" s="17">
        <f t="shared" si="271"/>
        <v>1.8591122562251183</v>
      </c>
      <c r="AC445" s="66" t="str">
        <f t="shared" si="272"/>
        <v>-0.00131526310874749+0.0051932049726769i</v>
      </c>
      <c r="AD445" s="64">
        <f t="shared" si="273"/>
        <v>-45.421287726132363</v>
      </c>
      <c r="AE445" s="61">
        <f t="shared" si="274"/>
        <v>104.21223705756152</v>
      </c>
      <c r="AF445" s="31" t="str">
        <f t="shared" si="260"/>
        <v>-0.000106860158311346</v>
      </c>
      <c r="AG445" s="31" t="str">
        <f t="shared" si="261"/>
        <v>0.00540532540444892i</v>
      </c>
      <c r="AH445" s="31">
        <f t="shared" si="275"/>
        <v>5.4053254044489204E-3</v>
      </c>
      <c r="AI445" s="31">
        <f t="shared" si="276"/>
        <v>1.5707963267948966</v>
      </c>
      <c r="AJ445" s="31" t="str">
        <f t="shared" si="262"/>
        <v>1+85.33284834819i</v>
      </c>
      <c r="AK445" s="31">
        <f t="shared" si="277"/>
        <v>85.338707555336171</v>
      </c>
      <c r="AL445" s="31">
        <f t="shared" si="278"/>
        <v>1.5590780465986953</v>
      </c>
      <c r="AM445" s="31" t="str">
        <f t="shared" si="263"/>
        <v>1+547.552443567551i</v>
      </c>
      <c r="AN445" s="31">
        <f t="shared" si="279"/>
        <v>547.55335672133003</v>
      </c>
      <c r="AO445" s="31">
        <f t="shared" si="280"/>
        <v>1.5689700197444063</v>
      </c>
      <c r="AP445" s="58" t="str">
        <f t="shared" si="281"/>
        <v>-0.00125472976272752+0.126839086439329i</v>
      </c>
      <c r="AQ445" s="49">
        <f t="shared" si="282"/>
        <v>-17.934512923940545</v>
      </c>
      <c r="AR445" s="61">
        <f t="shared" si="283"/>
        <v>90.566768312305982</v>
      </c>
      <c r="AS445" s="58" t="str">
        <f t="shared" si="284"/>
        <v>-0.000657051074658156-0.000173342839984046i</v>
      </c>
      <c r="AT445" s="64">
        <f t="shared" si="285"/>
        <v>-63.355800650072908</v>
      </c>
      <c r="AU445" s="61">
        <f t="shared" si="286"/>
        <v>-165.22099463013248</v>
      </c>
    </row>
    <row r="446" spans="14:47" x14ac:dyDescent="0.35">
      <c r="N446" s="10">
        <v>28</v>
      </c>
      <c r="O446" s="50">
        <f t="shared" si="287"/>
        <v>190546.07179632492</v>
      </c>
      <c r="P446" s="48" t="str">
        <f t="shared" si="255"/>
        <v>547.187404092767</v>
      </c>
      <c r="Q446" s="17" t="str">
        <f t="shared" si="256"/>
        <v>1+22960.9937318712i</v>
      </c>
      <c r="R446" s="17">
        <f t="shared" si="264"/>
        <v>22960.993753647261</v>
      </c>
      <c r="S446" s="17">
        <f t="shared" si="265"/>
        <v>1.5707527746729351</v>
      </c>
      <c r="T446" s="17" t="str">
        <f t="shared" si="257"/>
        <v>1+0.434466485812747i</v>
      </c>
      <c r="U446" s="17">
        <f t="shared" si="266"/>
        <v>1.0903032272237287</v>
      </c>
      <c r="V446" s="17">
        <f t="shared" si="267"/>
        <v>0.4098614449390694</v>
      </c>
      <c r="W446" s="31" t="str">
        <f t="shared" si="258"/>
        <v>1-7.54461824513286i</v>
      </c>
      <c r="X446" s="17">
        <f t="shared" si="268"/>
        <v>7.610602109215252</v>
      </c>
      <c r="Y446" s="17">
        <f t="shared" si="269"/>
        <v>-1.4390196233180865</v>
      </c>
      <c r="Z446" s="31" t="str">
        <f t="shared" si="259"/>
        <v>-11.0025803229787+36.0984800276935i</v>
      </c>
      <c r="AA446" s="17">
        <f t="shared" si="270"/>
        <v>37.738005168177402</v>
      </c>
      <c r="AB446" s="17">
        <f t="shared" si="271"/>
        <v>1.8666449608136653</v>
      </c>
      <c r="AC446" s="66" t="str">
        <f t="shared" si="272"/>
        <v>-0.00127523401280415+0.00508247654166629i</v>
      </c>
      <c r="AD446" s="64">
        <f t="shared" si="273"/>
        <v>-45.613344274091745</v>
      </c>
      <c r="AE446" s="61">
        <f t="shared" si="274"/>
        <v>104.08519717630165</v>
      </c>
      <c r="AF446" s="31" t="str">
        <f t="shared" si="260"/>
        <v>-0.000106860158311346</v>
      </c>
      <c r="AG446" s="31" t="str">
        <f t="shared" si="261"/>
        <v>0.00553123160736972i</v>
      </c>
      <c r="AH446" s="31">
        <f t="shared" si="275"/>
        <v>5.5312316073697198E-3</v>
      </c>
      <c r="AI446" s="31">
        <f t="shared" si="276"/>
        <v>1.5707963267948966</v>
      </c>
      <c r="AJ446" s="31" t="str">
        <f t="shared" si="262"/>
        <v>1+87.3205057260598i</v>
      </c>
      <c r="AK446" s="31">
        <f t="shared" si="277"/>
        <v>87.326231570215157</v>
      </c>
      <c r="AL446" s="31">
        <f t="shared" si="278"/>
        <v>1.5593447636307003</v>
      </c>
      <c r="AM446" s="31" t="str">
        <f t="shared" si="263"/>
        <v>1+560.306578408883i</v>
      </c>
      <c r="AN446" s="31">
        <f t="shared" si="279"/>
        <v>560.30747077677779</v>
      </c>
      <c r="AO446" s="31">
        <f t="shared" si="280"/>
        <v>1.5690115914789569</v>
      </c>
      <c r="AP446" s="58" t="str">
        <f t="shared" si="281"/>
        <v>-0.00119826502620211+0.123952522978306i</v>
      </c>
      <c r="AQ446" s="49">
        <f t="shared" si="282"/>
        <v>-18.134486736196564</v>
      </c>
      <c r="AR446" s="61">
        <f t="shared" si="283"/>
        <v>90.553868436984615</v>
      </c>
      <c r="AS446" s="58" t="str">
        <f t="shared" si="284"/>
        <v>-0.000628457721999825-0.000164158627161195i</v>
      </c>
      <c r="AT446" s="64">
        <f t="shared" si="285"/>
        <v>-63.747831010288309</v>
      </c>
      <c r="AU446" s="61">
        <f t="shared" si="286"/>
        <v>-165.36093438671372</v>
      </c>
    </row>
    <row r="447" spans="14:47" x14ac:dyDescent="0.35">
      <c r="N447" s="10">
        <v>29</v>
      </c>
      <c r="O447" s="50">
        <f t="shared" si="287"/>
        <v>194984.45997580473</v>
      </c>
      <c r="P447" s="48" t="str">
        <f t="shared" si="255"/>
        <v>547.187404092767</v>
      </c>
      <c r="Q447" s="17" t="str">
        <f t="shared" si="256"/>
        <v>1+23495.8239816259i</v>
      </c>
      <c r="R447" s="17">
        <f t="shared" si="264"/>
        <v>23495.824002906276</v>
      </c>
      <c r="S447" s="17">
        <f t="shared" si="265"/>
        <v>1.5707537660402631</v>
      </c>
      <c r="T447" s="17" t="str">
        <f t="shared" si="257"/>
        <v>1+0.444586510313027i</v>
      </c>
      <c r="U447" s="17">
        <f t="shared" si="266"/>
        <v>1.0943752396469482</v>
      </c>
      <c r="V447" s="17">
        <f t="shared" si="267"/>
        <v>0.41834295564730595</v>
      </c>
      <c r="W447" s="31" t="str">
        <f t="shared" si="258"/>
        <v>1-7.72035497967793i</v>
      </c>
      <c r="X447" s="17">
        <f t="shared" si="268"/>
        <v>7.7848494534087056</v>
      </c>
      <c r="Y447" s="17">
        <f t="shared" si="269"/>
        <v>-1.4419857790809432</v>
      </c>
      <c r="Z447" s="31" t="str">
        <f t="shared" si="259"/>
        <v>-11.5682445064648+36.9393216443253i</v>
      </c>
      <c r="AA447" s="17">
        <f t="shared" si="270"/>
        <v>38.708368145715887</v>
      </c>
      <c r="AB447" s="17">
        <f t="shared" si="271"/>
        <v>1.8742904136700296</v>
      </c>
      <c r="AC447" s="66" t="str">
        <f t="shared" si="272"/>
        <v>-0.0012368262575243+0.00497428648879779i</v>
      </c>
      <c r="AD447" s="64">
        <f t="shared" si="273"/>
        <v>-45.804859493690103</v>
      </c>
      <c r="AE447" s="61">
        <f t="shared" si="274"/>
        <v>103.9630947548887</v>
      </c>
      <c r="AF447" s="31" t="str">
        <f t="shared" si="260"/>
        <v>-0.000106860158311346</v>
      </c>
      <c r="AG447" s="31" t="str">
        <f t="shared" si="261"/>
        <v>0.00566007054250325i</v>
      </c>
      <c r="AH447" s="31">
        <f t="shared" si="275"/>
        <v>5.6600705425032503E-3</v>
      </c>
      <c r="AI447" s="31">
        <f t="shared" si="276"/>
        <v>1.5707963267948966</v>
      </c>
      <c r="AJ447" s="31" t="str">
        <f t="shared" si="262"/>
        <v>1+89.3544615918879i</v>
      </c>
      <c r="AK447" s="31">
        <f t="shared" si="277"/>
        <v>89.360057108174274</v>
      </c>
      <c r="AL447" s="31">
        <f t="shared" si="278"/>
        <v>1.5596054110162687</v>
      </c>
      <c r="AM447" s="31" t="str">
        <f t="shared" si="263"/>
        <v>1+573.357795214613i</v>
      </c>
      <c r="AN447" s="31">
        <f t="shared" si="279"/>
        <v>573.35866726976599</v>
      </c>
      <c r="AO447" s="31">
        <f t="shared" si="280"/>
        <v>1.56905221693126</v>
      </c>
      <c r="AP447" s="58" t="str">
        <f t="shared" si="281"/>
        <v>-0.00114434096994092+0.121131622570546i</v>
      </c>
      <c r="AQ447" s="49">
        <f t="shared" si="282"/>
        <v>-18.33446172694039</v>
      </c>
      <c r="AR447" s="61">
        <f t="shared" si="283"/>
        <v>90.541262108808226</v>
      </c>
      <c r="AS447" s="58" t="str">
        <f t="shared" si="284"/>
        <v>-0.000601128042559637-0.000155511051237129i</v>
      </c>
      <c r="AT447" s="64">
        <f t="shared" si="285"/>
        <v>-64.139321220630492</v>
      </c>
      <c r="AU447" s="61">
        <f t="shared" si="286"/>
        <v>-165.49564313630307</v>
      </c>
    </row>
    <row r="448" spans="14:47" x14ac:dyDescent="0.35">
      <c r="N448" s="10">
        <v>30</v>
      </c>
      <c r="O448" s="50">
        <f t="shared" si="287"/>
        <v>199526.23149688813</v>
      </c>
      <c r="P448" s="48" t="str">
        <f t="shared" si="255"/>
        <v>547.187404092767</v>
      </c>
      <c r="Q448" s="17" t="str">
        <f t="shared" si="256"/>
        <v>1+24043.11202826i</v>
      </c>
      <c r="R448" s="17">
        <f t="shared" si="264"/>
        <v>24043.112049055973</v>
      </c>
      <c r="S448" s="17">
        <f t="shared" si="265"/>
        <v>1.5707547348413156</v>
      </c>
      <c r="T448" s="17" t="str">
        <f t="shared" si="257"/>
        <v>1+0.454942260465876i</v>
      </c>
      <c r="U448" s="17">
        <f t="shared" si="266"/>
        <v>1.0986229837199843</v>
      </c>
      <c r="V448" s="17">
        <f t="shared" si="267"/>
        <v>0.42695630366504317</v>
      </c>
      <c r="W448" s="31" t="str">
        <f t="shared" si="258"/>
        <v>1-7.90018514862427i</v>
      </c>
      <c r="X448" s="17">
        <f t="shared" si="268"/>
        <v>7.9632233035714552</v>
      </c>
      <c r="Y448" s="17">
        <f t="shared" si="269"/>
        <v>-1.444886620906505</v>
      </c>
      <c r="Z448" s="31" t="str">
        <f t="shared" si="259"/>
        <v>-12.1605676216032+37.7997489782429i</v>
      </c>
      <c r="AA448" s="17">
        <f t="shared" si="270"/>
        <v>39.707687262012122</v>
      </c>
      <c r="AB448" s="17">
        <f t="shared" si="271"/>
        <v>1.8820499104251764</v>
      </c>
      <c r="AC448" s="66" t="str">
        <f t="shared" si="272"/>
        <v>-0.00119996136571495+0.00486858037240322i</v>
      </c>
      <c r="AD448" s="64">
        <f t="shared" si="273"/>
        <v>-45.995832134354153</v>
      </c>
      <c r="AE448" s="61">
        <f t="shared" si="274"/>
        <v>103.84575532671579</v>
      </c>
      <c r="AF448" s="31" t="str">
        <f t="shared" si="260"/>
        <v>-0.000106860158311346</v>
      </c>
      <c r="AG448" s="31" t="str">
        <f t="shared" si="261"/>
        <v>0.0057919105219583i</v>
      </c>
      <c r="AH448" s="31">
        <f t="shared" si="275"/>
        <v>5.7919105219583003E-3</v>
      </c>
      <c r="AI448" s="31">
        <f t="shared" si="276"/>
        <v>1.5707963267948966</v>
      </c>
      <c r="AJ448" s="31" t="str">
        <f t="shared" si="262"/>
        <v>1+91.4357943759989i</v>
      </c>
      <c r="AK448" s="31">
        <f t="shared" si="277"/>
        <v>91.441262530489766</v>
      </c>
      <c r="AL448" s="31">
        <f t="shared" si="278"/>
        <v>1.5598601268123518</v>
      </c>
      <c r="AM448" s="31" t="str">
        <f t="shared" si="263"/>
        <v>1+586.713013912658i</v>
      </c>
      <c r="AN448" s="31">
        <f t="shared" si="279"/>
        <v>586.71386611744128</v>
      </c>
      <c r="AO448" s="31">
        <f t="shared" si="280"/>
        <v>1.5690919176409319</v>
      </c>
      <c r="AP448" s="58" t="str">
        <f t="shared" si="281"/>
        <v>-0.0010928433018106+0.11837489342196i</v>
      </c>
      <c r="AQ448" s="49">
        <f t="shared" si="282"/>
        <v>-18.534437843144978</v>
      </c>
      <c r="AR448" s="61">
        <f t="shared" si="283"/>
        <v>90.528942651825218</v>
      </c>
      <c r="AS448" s="58" t="str">
        <f t="shared" si="284"/>
        <v>-0.000575006312958524-0.000147365894226284i</v>
      </c>
      <c r="AT448" s="64">
        <f t="shared" si="285"/>
        <v>-64.530269977499145</v>
      </c>
      <c r="AU448" s="61">
        <f t="shared" si="286"/>
        <v>-165.62530202145899</v>
      </c>
    </row>
    <row r="449" spans="14:47" x14ac:dyDescent="0.35">
      <c r="N449" s="10">
        <v>31</v>
      </c>
      <c r="O449" s="50">
        <f t="shared" si="287"/>
        <v>204173.79446695308</v>
      </c>
      <c r="P449" s="48" t="str">
        <f t="shared" si="255"/>
        <v>547.187404092767</v>
      </c>
      <c r="Q449" s="17" t="str">
        <f t="shared" si="256"/>
        <v>1+24603.1480511394i</v>
      </c>
      <c r="R449" s="17">
        <f t="shared" si="264"/>
        <v>24603.148071462005</v>
      </c>
      <c r="S449" s="17">
        <f t="shared" si="265"/>
        <v>1.5707556815897639</v>
      </c>
      <c r="T449" s="17" t="str">
        <f t="shared" si="257"/>
        <v>1+0.465539227027095i</v>
      </c>
      <c r="U449" s="17">
        <f t="shared" si="266"/>
        <v>1.1030533857891853</v>
      </c>
      <c r="V449" s="17">
        <f t="shared" si="267"/>
        <v>0.43570094268571952</v>
      </c>
      <c r="W449" s="31" t="str">
        <f t="shared" si="258"/>
        <v>1-8.08420410030767i</v>
      </c>
      <c r="X449" s="17">
        <f t="shared" si="268"/>
        <v>8.145818309748341</v>
      </c>
      <c r="Y449" s="17">
        <f t="shared" si="269"/>
        <v>-1.4477234914735735</v>
      </c>
      <c r="Z449" s="31" t="str">
        <f t="shared" si="259"/>
        <v>-12.780806065135+38.6802182394075i</v>
      </c>
      <c r="AA449" s="17">
        <f t="shared" si="270"/>
        <v>40.737062814135044</v>
      </c>
      <c r="AB449" s="17">
        <f t="shared" si="271"/>
        <v>1.8899246529719453</v>
      </c>
      <c r="AC449" s="66" t="str">
        <f t="shared" si="272"/>
        <v>-0.00116456430071984+0.00476530449180096i</v>
      </c>
      <c r="AD449" s="64">
        <f t="shared" si="273"/>
        <v>-46.18626100753989</v>
      </c>
      <c r="AE449" s="61">
        <f t="shared" si="274"/>
        <v>103.73300176807589</v>
      </c>
      <c r="AF449" s="31" t="str">
        <f t="shared" si="260"/>
        <v>-0.000106860158311346</v>
      </c>
      <c r="AG449" s="31" t="str">
        <f t="shared" si="261"/>
        <v>0.00592682144903709i</v>
      </c>
      <c r="AH449" s="31">
        <f t="shared" si="275"/>
        <v>5.9268214490370901E-3</v>
      </c>
      <c r="AI449" s="31">
        <f t="shared" si="276"/>
        <v>1.5707963267948966</v>
      </c>
      <c r="AJ449" s="31" t="str">
        <f t="shared" si="262"/>
        <v>1+93.5656076285833i</v>
      </c>
      <c r="AK449" s="31">
        <f t="shared" si="277"/>
        <v>93.57095131987279</v>
      </c>
      <c r="AL449" s="31">
        <f t="shared" si="278"/>
        <v>1.5601090459403526</v>
      </c>
      <c r="AM449" s="31" t="str">
        <f t="shared" si="263"/>
        <v>1+600.379315616742i</v>
      </c>
      <c r="AN449" s="31">
        <f t="shared" si="279"/>
        <v>600.38014842300333</v>
      </c>
      <c r="AO449" s="31">
        <f t="shared" si="280"/>
        <v>1.5691307146573132</v>
      </c>
      <c r="AP449" s="58" t="str">
        <f t="shared" si="281"/>
        <v>-0.00104366286862942+0.115680877503731i</v>
      </c>
      <c r="AQ449" s="49">
        <f t="shared" si="282"/>
        <v>-18.734415034168723</v>
      </c>
      <c r="AR449" s="61">
        <f t="shared" si="283"/>
        <v>90.516903541647054</v>
      </c>
      <c r="AS449" s="58" t="str">
        <f t="shared" si="284"/>
        <v>-0.000550039192665213-0.000139691191572596i</v>
      </c>
      <c r="AT449" s="64">
        <f t="shared" si="285"/>
        <v>-64.920676041708617</v>
      </c>
      <c r="AU449" s="61">
        <f t="shared" si="286"/>
        <v>-165.750094690277</v>
      </c>
    </row>
    <row r="450" spans="14:47" x14ac:dyDescent="0.35">
      <c r="N450" s="10">
        <v>32</v>
      </c>
      <c r="O450" s="50">
        <f t="shared" si="287"/>
        <v>208929.61308540447</v>
      </c>
      <c r="P450" s="48" t="str">
        <f t="shared" si="255"/>
        <v>547.187404092767</v>
      </c>
      <c r="Q450" s="17" t="str">
        <f t="shared" si="256"/>
        <v>1+25176.228988777i</v>
      </c>
      <c r="R450" s="17">
        <f t="shared" si="264"/>
        <v>25176.229008637001</v>
      </c>
      <c r="S450" s="17">
        <f t="shared" si="265"/>
        <v>1.5707566067875867</v>
      </c>
      <c r="T450" s="17" t="str">
        <f t="shared" si="257"/>
        <v>1+0.476383028648628i</v>
      </c>
      <c r="U450" s="17">
        <f t="shared" si="266"/>
        <v>1.1076735936116016</v>
      </c>
      <c r="V450" s="17">
        <f t="shared" si="267"/>
        <v>0.44457615867552502</v>
      </c>
      <c r="W450" s="31" t="str">
        <f t="shared" si="258"/>
        <v>1-8.27250940401223i</v>
      </c>
      <c r="X450" s="17">
        <f t="shared" si="268"/>
        <v>8.3327313552922604</v>
      </c>
      <c r="Y450" s="17">
        <f t="shared" si="269"/>
        <v>-1.4504977121855802</v>
      </c>
      <c r="Z450" s="31" t="str">
        <f t="shared" si="259"/>
        <v>-13.430275445956+39.5811962642761i</v>
      </c>
      <c r="AA450" s="17">
        <f t="shared" si="270"/>
        <v>41.797648214527484</v>
      </c>
      <c r="AB450" s="17">
        <f t="shared" si="271"/>
        <v>1.8979157433291398</v>
      </c>
      <c r="AC450" s="66" t="str">
        <f t="shared" si="272"/>
        <v>-0.00113056332246754+0.00466440588448541i</v>
      </c>
      <c r="AD450" s="64">
        <f t="shared" si="273"/>
        <v>-46.376145043575974</v>
      </c>
      <c r="AE450" s="61">
        <f t="shared" si="274"/>
        <v>103.62465428721758</v>
      </c>
      <c r="AF450" s="31" t="str">
        <f t="shared" si="260"/>
        <v>-0.000106860158311346</v>
      </c>
      <c r="AG450" s="31" t="str">
        <f t="shared" si="261"/>
        <v>0.00606487485529893i</v>
      </c>
      <c r="AH450" s="31">
        <f t="shared" si="275"/>
        <v>6.0648748552989303E-3</v>
      </c>
      <c r="AI450" s="31">
        <f t="shared" si="276"/>
        <v>1.5707963267948966</v>
      </c>
      <c r="AJ450" s="31" t="str">
        <f t="shared" si="262"/>
        <v>1+95.7450306048205i</v>
      </c>
      <c r="AK450" s="31">
        <f t="shared" si="277"/>
        <v>95.750252665557042</v>
      </c>
      <c r="AL450" s="31">
        <f t="shared" si="278"/>
        <v>1.5603523002570312</v>
      </c>
      <c r="AM450" s="31" t="str">
        <f t="shared" si="263"/>
        <v>1+614.36394638093i</v>
      </c>
      <c r="AN450" s="31">
        <f t="shared" si="279"/>
        <v>614.3647602302317</v>
      </c>
      <c r="AO450" s="31">
        <f t="shared" si="280"/>
        <v>1.5691686285506283</v>
      </c>
      <c r="AP450" s="58" t="str">
        <f t="shared" si="281"/>
        <v>-0.000996695425319753+0.113048149796536i</v>
      </c>
      <c r="AQ450" s="49">
        <f t="shared" si="282"/>
        <v>-18.934393251648139</v>
      </c>
      <c r="AR450" s="61">
        <f t="shared" si="283"/>
        <v>90.505138402024883</v>
      </c>
      <c r="AS450" s="58" t="str">
        <f t="shared" si="284"/>
        <v>-0.000526175627849613-0.000132457083839681i</v>
      </c>
      <c r="AT450" s="64">
        <f t="shared" si="285"/>
        <v>-65.31053829522412</v>
      </c>
      <c r="AU450" s="61">
        <f t="shared" si="286"/>
        <v>-165.87020731075751</v>
      </c>
    </row>
    <row r="451" spans="14:47" x14ac:dyDescent="0.35">
      <c r="N451" s="10">
        <v>33</v>
      </c>
      <c r="O451" s="50">
        <f t="shared" si="287"/>
        <v>213796.20895022334</v>
      </c>
      <c r="P451" s="48" t="str">
        <f t="shared" si="255"/>
        <v>547.187404092767</v>
      </c>
      <c r="Q451" s="17" t="str">
        <f t="shared" si="256"/>
        <v>1+25762.658696271i</v>
      </c>
      <c r="R451" s="17">
        <f t="shared" si="264"/>
        <v>25762.658715678932</v>
      </c>
      <c r="S451" s="17">
        <f t="shared" si="265"/>
        <v>1.5707575109253358</v>
      </c>
      <c r="T451" s="17" t="str">
        <f t="shared" si="257"/>
        <v>1+0.487479414857622i</v>
      </c>
      <c r="U451" s="17">
        <f t="shared" si="266"/>
        <v>1.112490979698231</v>
      </c>
      <c r="V451" s="17">
        <f t="shared" si="267"/>
        <v>0.45358106361447043</v>
      </c>
      <c r="W451" s="31" t="str">
        <f t="shared" si="258"/>
        <v>1-8.46520090170233i</v>
      </c>
      <c r="X451" s="17">
        <f t="shared" si="268"/>
        <v>8.5240616085397889</v>
      </c>
      <c r="Y451" s="17">
        <f t="shared" si="269"/>
        <v>-1.4532105830696225</v>
      </c>
      <c r="Z451" s="31" t="str">
        <f t="shared" si="259"/>
        <v>-14.1103533756984+40.5031607633228i</v>
      </c>
      <c r="AA451" s="17">
        <f t="shared" si="270"/>
        <v>42.890652876899118</v>
      </c>
      <c r="AB451" s="17">
        <f t="shared" si="271"/>
        <v>1.9060241773537365</v>
      </c>
      <c r="AC451" s="66" t="str">
        <f t="shared" si="272"/>
        <v>-0.00109788985074989+0.00456583232229291i</v>
      </c>
      <c r="AD451" s="64">
        <f t="shared" si="273"/>
        <v>-46.565483349920129</v>
      </c>
      <c r="AE451" s="61">
        <f t="shared" si="274"/>
        <v>103.52053043176946</v>
      </c>
      <c r="AF451" s="31" t="str">
        <f t="shared" si="260"/>
        <v>-0.000106860158311346</v>
      </c>
      <c r="AG451" s="31" t="str">
        <f t="shared" si="261"/>
        <v>0.00620614393848714i</v>
      </c>
      <c r="AH451" s="31">
        <f t="shared" si="275"/>
        <v>6.2061439384871403E-3</v>
      </c>
      <c r="AI451" s="31">
        <f t="shared" si="276"/>
        <v>1.5707963267948966</v>
      </c>
      <c r="AJ451" s="31" t="str">
        <f t="shared" si="262"/>
        <v>1+97.9752188636189i</v>
      </c>
      <c r="AK451" s="31">
        <f t="shared" si="277"/>
        <v>97.980322062003992</v>
      </c>
      <c r="AL451" s="31">
        <f t="shared" si="278"/>
        <v>1.5605900186238275</v>
      </c>
      <c r="AM451" s="31" t="str">
        <f t="shared" si="263"/>
        <v>1+628.674321041553i</v>
      </c>
      <c r="AN451" s="31">
        <f t="shared" si="279"/>
        <v>628.67511636540667</v>
      </c>
      <c r="AO451" s="31">
        <f t="shared" si="280"/>
        <v>1.5692056794228888</v>
      </c>
      <c r="AP451" s="58" t="str">
        <f t="shared" si="281"/>
        <v>-0.00095184141441154+0.110475317551117i</v>
      </c>
      <c r="AQ451" s="49">
        <f t="shared" si="282"/>
        <v>-19.134372449395467</v>
      </c>
      <c r="AR451" s="61">
        <f t="shared" si="283"/>
        <v>90.493641001502525</v>
      </c>
      <c r="AS451" s="58" t="str">
        <f t="shared" si="284"/>
        <v>-0.000503366758662057-0.00012563567819336i</v>
      </c>
      <c r="AT451" s="64">
        <f t="shared" si="285"/>
        <v>-65.6998557993156</v>
      </c>
      <c r="AU451" s="61">
        <f t="shared" si="286"/>
        <v>-165.98582856672797</v>
      </c>
    </row>
    <row r="452" spans="14:47" x14ac:dyDescent="0.35">
      <c r="N452" s="10">
        <v>34</v>
      </c>
      <c r="O452" s="50">
        <f t="shared" si="287"/>
        <v>218776.16239495538</v>
      </c>
      <c r="P452" s="48" t="str">
        <f t="shared" si="255"/>
        <v>547.187404092767</v>
      </c>
      <c r="Q452" s="17" t="str">
        <f t="shared" si="256"/>
        <v>1+26362.748106415i</v>
      </c>
      <c r="R452" s="17">
        <f t="shared" si="264"/>
        <v>26362.748125381157</v>
      </c>
      <c r="S452" s="17">
        <f t="shared" si="265"/>
        <v>1.5707583944823971</v>
      </c>
      <c r="T452" s="17" t="str">
        <f t="shared" si="257"/>
        <v>1+0.498834269104927i</v>
      </c>
      <c r="U452" s="17">
        <f t="shared" si="266"/>
        <v>1.1175131444566757</v>
      </c>
      <c r="V452" s="17">
        <f t="shared" si="267"/>
        <v>0.46271458949549543</v>
      </c>
      <c r="W452" s="31" t="str">
        <f t="shared" si="258"/>
        <v>1-8.66238076096072i</v>
      </c>
      <c r="X452" s="17">
        <f t="shared" si="268"/>
        <v>8.719910575680375</v>
      </c>
      <c r="Y452" s="17">
        <f t="shared" si="269"/>
        <v>-1.4558633827132315</v>
      </c>
      <c r="Z452" s="31" t="str">
        <f t="shared" si="259"/>
        <v>-14.8224823908311+41.4466005743291i</v>
      </c>
      <c r="AA452" s="17">
        <f t="shared" si="270"/>
        <v>44.017345256097343</v>
      </c>
      <c r="AB452" s="17">
        <f t="shared" si="271"/>
        <v>1.9142508383190109</v>
      </c>
      <c r="AC452" s="66" t="str">
        <f t="shared" si="272"/>
        <v>-0.00106647833543907+0.00446953230672314i</v>
      </c>
      <c r="AD452" s="64">
        <f t="shared" si="273"/>
        <v>-46.754275270657629</v>
      </c>
      <c r="AE452" s="61">
        <f t="shared" si="274"/>
        <v>103.42044511646705</v>
      </c>
      <c r="AF452" s="31" t="str">
        <f t="shared" si="260"/>
        <v>-0.000106860158311346</v>
      </c>
      <c r="AG452" s="31" t="str">
        <f t="shared" si="261"/>
        <v>0.00635070360133957i</v>
      </c>
      <c r="AH452" s="31">
        <f t="shared" si="275"/>
        <v>6.3507036013395702E-3</v>
      </c>
      <c r="AI452" s="31">
        <f t="shared" si="276"/>
        <v>1.5707963267948966</v>
      </c>
      <c r="AJ452" s="31" t="str">
        <f t="shared" si="262"/>
        <v>1+100.257354880314i</v>
      </c>
      <c r="AK452" s="31">
        <f t="shared" si="277"/>
        <v>100.26234192156704</v>
      </c>
      <c r="AL452" s="31">
        <f t="shared" si="278"/>
        <v>1.5608223269746371</v>
      </c>
      <c r="AM452" s="31" t="str">
        <f t="shared" si="263"/>
        <v>1+643.318027148683i</v>
      </c>
      <c r="AN452" s="31">
        <f t="shared" si="279"/>
        <v>643.31880436877759</v>
      </c>
      <c r="AO452" s="31">
        <f t="shared" si="280"/>
        <v>1.5692418869185507</v>
      </c>
      <c r="AP452" s="58" t="str">
        <f t="shared" si="281"/>
        <v>-0.000909005755433975+0.107961019564888i</v>
      </c>
      <c r="AQ452" s="49">
        <f t="shared" si="282"/>
        <v>-19.334352583300635</v>
      </c>
      <c r="AR452" s="61">
        <f t="shared" si="283"/>
        <v>90.482405250143643</v>
      </c>
      <c r="AS452" s="58" t="str">
        <f t="shared" si="284"/>
        <v>-0.000481565829867076-0.000119200919028776i</v>
      </c>
      <c r="AT452" s="64">
        <f t="shared" si="285"/>
        <v>-66.088627853958272</v>
      </c>
      <c r="AU452" s="61">
        <f t="shared" si="286"/>
        <v>-166.09714963338931</v>
      </c>
    </row>
    <row r="453" spans="14:47" x14ac:dyDescent="0.35">
      <c r="N453" s="10">
        <v>35</v>
      </c>
      <c r="O453" s="50">
        <f t="shared" si="287"/>
        <v>223872.11385683404</v>
      </c>
      <c r="P453" s="48" t="str">
        <f t="shared" si="255"/>
        <v>547.187404092767</v>
      </c>
      <c r="Q453" s="17" t="str">
        <f t="shared" si="256"/>
        <v>1+26976.8153945573i</v>
      </c>
      <c r="R453" s="17">
        <f t="shared" si="264"/>
        <v>26976.815413091732</v>
      </c>
      <c r="S453" s="17">
        <f t="shared" si="265"/>
        <v>1.5707592579272442</v>
      </c>
      <c r="T453" s="17" t="str">
        <f t="shared" si="257"/>
        <v>1+0.510453611884565i</v>
      </c>
      <c r="U453" s="17">
        <f t="shared" si="266"/>
        <v>1.1227479191189793</v>
      </c>
      <c r="V453" s="17">
        <f t="shared" si="267"/>
        <v>0.47197548263222966</v>
      </c>
      <c r="W453" s="31" t="str">
        <f t="shared" si="258"/>
        <v>1-8.86415352915876i</v>
      </c>
      <c r="X453" s="17">
        <f t="shared" si="268"/>
        <v>8.9203821548461519</v>
      </c>
      <c r="Y453" s="17">
        <f t="shared" si="269"/>
        <v>-1.4584573682359998</v>
      </c>
      <c r="Z453" s="31" t="str">
        <f t="shared" si="259"/>
        <v>-15.568173012472+42.4120159215705i</v>
      </c>
      <c r="AA453" s="17">
        <f t="shared" si="270"/>
        <v>45.179056048990347</v>
      </c>
      <c r="AB453" s="17">
        <f t="shared" si="271"/>
        <v>1.9225964903788539</v>
      </c>
      <c r="AC453" s="66" t="str">
        <f t="shared" si="272"/>
        <v>-0.00103626613336006+0.00437545506359179i</v>
      </c>
      <c r="AD453" s="64">
        <f t="shared" si="273"/>
        <v>-46.942520447032706</v>
      </c>
      <c r="AE453" s="61">
        <f t="shared" si="274"/>
        <v>103.32421067309168</v>
      </c>
      <c r="AF453" s="31" t="str">
        <f t="shared" si="260"/>
        <v>-0.000106860158311346</v>
      </c>
      <c r="AG453" s="31" t="str">
        <f t="shared" si="261"/>
        <v>0.00649863049130293i</v>
      </c>
      <c r="AH453" s="31">
        <f t="shared" si="275"/>
        <v>6.4986304913029298E-3</v>
      </c>
      <c r="AI453" s="31">
        <f t="shared" si="276"/>
        <v>1.5707963267948966</v>
      </c>
      <c r="AJ453" s="31" t="str">
        <f t="shared" si="262"/>
        <v>1+102.592648673631i</v>
      </c>
      <c r="AK453" s="31">
        <f t="shared" si="277"/>
        <v>102.59752220142103</v>
      </c>
      <c r="AL453" s="31">
        <f t="shared" si="278"/>
        <v>1.5610493483820689</v>
      </c>
      <c r="AM453" s="31" t="str">
        <f t="shared" si="263"/>
        <v>1+658.302828989129i</v>
      </c>
      <c r="AN453" s="31">
        <f t="shared" si="279"/>
        <v>658.30358851755511</v>
      </c>
      <c r="AO453" s="31">
        <f t="shared" si="280"/>
        <v>1.5692772702349274</v>
      </c>
      <c r="AP453" s="58" t="str">
        <f t="shared" si="281"/>
        <v>-0.000868097643753799+0.105503925474255i</v>
      </c>
      <c r="AQ453" s="49">
        <f t="shared" si="282"/>
        <v>-19.534333611238438</v>
      </c>
      <c r="AR453" s="61">
        <f t="shared" si="283"/>
        <v>90.471425196332248</v>
      </c>
      <c r="AS453" s="58" t="str">
        <f t="shared" si="284"/>
        <v>-0.000460728104756468-0.000113128467136569i</v>
      </c>
      <c r="AT453" s="64">
        <f t="shared" si="285"/>
        <v>-66.476854058271158</v>
      </c>
      <c r="AU453" s="61">
        <f t="shared" si="286"/>
        <v>-166.20436413057604</v>
      </c>
    </row>
    <row r="454" spans="14:47" x14ac:dyDescent="0.35">
      <c r="N454" s="10">
        <v>36</v>
      </c>
      <c r="O454" s="50">
        <f t="shared" si="287"/>
        <v>229086.76527677779</v>
      </c>
      <c r="P454" s="48" t="str">
        <f t="shared" si="255"/>
        <v>547.187404092767</v>
      </c>
      <c r="Q454" s="17" t="str">
        <f t="shared" si="256"/>
        <v>1+27605.186147302i</v>
      </c>
      <c r="R454" s="17">
        <f t="shared" si="264"/>
        <v>27605.186165414536</v>
      </c>
      <c r="S454" s="17">
        <f t="shared" si="265"/>
        <v>1.5707601017176873</v>
      </c>
      <c r="T454" s="17" t="str">
        <f t="shared" si="257"/>
        <v>1+0.522343603925875i</v>
      </c>
      <c r="U454" s="17">
        <f t="shared" si="266"/>
        <v>1.1282033684412891</v>
      </c>
      <c r="V454" s="17">
        <f t="shared" si="267"/>
        <v>0.48136229832793181</v>
      </c>
      <c r="W454" s="31" t="str">
        <f t="shared" si="258"/>
        <v>1-9.07062618888886i</v>
      </c>
      <c r="X454" s="17">
        <f t="shared" si="268"/>
        <v>9.1255826914535412</v>
      </c>
      <c r="Y454" s="17">
        <f t="shared" si="269"/>
        <v>-1.4609937752934015</v>
      </c>
      <c r="Z454" s="31" t="str">
        <f t="shared" si="259"/>
        <v>-16.3490069504059+43.3999186810428i</v>
      </c>
      <c r="AA454" s="17">
        <f t="shared" si="270"/>
        <v>46.377181563626181</v>
      </c>
      <c r="AB454" s="17">
        <f t="shared" si="271"/>
        <v>1.9310617719413514</v>
      </c>
      <c r="AC454" s="66" t="str">
        <f t="shared" si="272"/>
        <v>-0.00100719339153912+0.00428355053718272i</v>
      </c>
      <c r="AD454" s="64">
        <f t="shared" si="273"/>
        <v>-47.130218878773881</v>
      </c>
      <c r="AE454" s="61">
        <f t="shared" si="274"/>
        <v>103.23163692445426</v>
      </c>
      <c r="AF454" s="31" t="str">
        <f t="shared" si="260"/>
        <v>-0.000106860158311346</v>
      </c>
      <c r="AG454" s="31" t="str">
        <f t="shared" si="261"/>
        <v>0.00665000304117233i</v>
      </c>
      <c r="AH454" s="31">
        <f t="shared" si="275"/>
        <v>6.6500030411723301E-3</v>
      </c>
      <c r="AI454" s="31">
        <f t="shared" si="276"/>
        <v>1.5707963267948966</v>
      </c>
      <c r="AJ454" s="31" t="str">
        <f t="shared" si="262"/>
        <v>1+104.982338447248i</v>
      </c>
      <c r="AK454" s="31">
        <f t="shared" si="277"/>
        <v>104.9871010450928</v>
      </c>
      <c r="AL454" s="31">
        <f t="shared" si="278"/>
        <v>1.5612712031222209</v>
      </c>
      <c r="AM454" s="31" t="str">
        <f t="shared" si="263"/>
        <v>1+673.636671703171i</v>
      </c>
      <c r="AN454" s="31">
        <f t="shared" si="279"/>
        <v>673.63741394263855</v>
      </c>
      <c r="AO454" s="31">
        <f t="shared" si="280"/>
        <v>1.5693118481323669</v>
      </c>
      <c r="AP454" s="58" t="str">
        <f t="shared" si="281"/>
        <v>-0.000829030358437876+0.103102735062369i</v>
      </c>
      <c r="AQ454" s="49">
        <f t="shared" si="282"/>
        <v>-19.734315492978354</v>
      </c>
      <c r="AR454" s="61">
        <f t="shared" si="283"/>
        <v>90.460695023644291</v>
      </c>
      <c r="AS454" s="58" t="str">
        <f t="shared" si="284"/>
        <v>-0.000440810782263014-0.000107395586841654i</v>
      </c>
      <c r="AT454" s="64">
        <f t="shared" si="285"/>
        <v>-66.864534371752242</v>
      </c>
      <c r="AU454" s="61">
        <f t="shared" si="286"/>
        <v>-166.30766805190143</v>
      </c>
    </row>
    <row r="455" spans="14:47" x14ac:dyDescent="0.35">
      <c r="N455" s="10">
        <v>37</v>
      </c>
      <c r="O455" s="50">
        <f t="shared" si="287"/>
        <v>234422.88153199267</v>
      </c>
      <c r="P455" s="48" t="str">
        <f t="shared" si="255"/>
        <v>547.187404092767</v>
      </c>
      <c r="Q455" s="17" t="str">
        <f t="shared" si="256"/>
        <v>1+28248.1935351399i</v>
      </c>
      <c r="R455" s="17">
        <f t="shared" si="264"/>
        <v>28248.193552840148</v>
      </c>
      <c r="S455" s="17">
        <f t="shared" si="265"/>
        <v>1.5707609263011151</v>
      </c>
      <c r="T455" s="17" t="str">
        <f t="shared" si="257"/>
        <v>1+0.534510549460022i</v>
      </c>
      <c r="U455" s="17">
        <f t="shared" si="266"/>
        <v>1.1338877931629985</v>
      </c>
      <c r="V455" s="17">
        <f t="shared" si="267"/>
        <v>0.49087339595950236</v>
      </c>
      <c r="W455" s="31" t="str">
        <f t="shared" si="258"/>
        <v>1-9.28190821468826i</v>
      </c>
      <c r="X455" s="17">
        <f t="shared" si="268"/>
        <v>9.3356210348266284</v>
      </c>
      <c r="Y455" s="17">
        <f t="shared" si="269"/>
        <v>-1.4634738181102656</v>
      </c>
      <c r="Z455" s="31" t="str">
        <f t="shared" si="259"/>
        <v>-17.1666404581035+44.4108326518658i</v>
      </c>
      <c r="AA455" s="17">
        <f t="shared" si="270"/>
        <v>47.613187264137501</v>
      </c>
      <c r="AB455" s="17">
        <f t="shared" si="271"/>
        <v>1.9396471889774765</v>
      </c>
      <c r="AC455" s="66" t="str">
        <f t="shared" si="272"/>
        <v>-0.000979202936554806+0.00419376938406282i</v>
      </c>
      <c r="AD455" s="64">
        <f t="shared" si="273"/>
        <v>-47.317370985937487</v>
      </c>
      <c r="AE455" s="61">
        <f t="shared" si="274"/>
        <v>103.14253128418198</v>
      </c>
      <c r="AF455" s="31" t="str">
        <f t="shared" si="260"/>
        <v>-0.000106860158311346</v>
      </c>
      <c r="AG455" s="31" t="str">
        <f t="shared" si="261"/>
        <v>0.00680490151067735i</v>
      </c>
      <c r="AH455" s="31">
        <f t="shared" si="275"/>
        <v>6.8049015106773497E-3</v>
      </c>
      <c r="AI455" s="31">
        <f t="shared" si="276"/>
        <v>1.5707963267948966</v>
      </c>
      <c r="AJ455" s="31" t="str">
        <f t="shared" si="262"/>
        <v>1+107.427691246315i</v>
      </c>
      <c r="AK455" s="31">
        <f t="shared" si="277"/>
        <v>107.43234543894863</v>
      </c>
      <c r="AL455" s="31">
        <f t="shared" si="278"/>
        <v>1.5614880087380059</v>
      </c>
      <c r="AM455" s="31" t="str">
        <f t="shared" si="263"/>
        <v>1+689.327685497186i</v>
      </c>
      <c r="AN455" s="31">
        <f t="shared" si="279"/>
        <v>689.32841084123856</v>
      </c>
      <c r="AO455" s="31">
        <f t="shared" si="280"/>
        <v>1.5693456389441973</v>
      </c>
      <c r="AP455" s="58" t="str">
        <f t="shared" si="281"/>
        <v>-0.000791721078736127+0.100756177581965i</v>
      </c>
      <c r="AQ455" s="49">
        <f t="shared" si="282"/>
        <v>-19.934298190100289</v>
      </c>
      <c r="AR455" s="61">
        <f t="shared" si="283"/>
        <v>90.450209047789272</v>
      </c>
      <c r="AS455" s="58" t="str">
        <f t="shared" si="284"/>
        <v>-0.000421772917193211-0.000101981040585018i</v>
      </c>
      <c r="AT455" s="64">
        <f t="shared" si="285"/>
        <v>-67.25166917603778</v>
      </c>
      <c r="AU455" s="61">
        <f t="shared" si="286"/>
        <v>-166.40725966802881</v>
      </c>
    </row>
    <row r="456" spans="14:47" x14ac:dyDescent="0.35">
      <c r="N456" s="10">
        <v>38</v>
      </c>
      <c r="O456" s="50">
        <f t="shared" si="287"/>
        <v>239883.29190194907</v>
      </c>
      <c r="P456" s="48" t="str">
        <f t="shared" si="255"/>
        <v>547.187404092767</v>
      </c>
      <c r="Q456" s="17" t="str">
        <f t="shared" si="256"/>
        <v>1+28906.1784890991i</v>
      </c>
      <c r="R456" s="17">
        <f t="shared" si="264"/>
        <v>28906.178506396442</v>
      </c>
      <c r="S456" s="17">
        <f t="shared" si="265"/>
        <v>1.5707617321147325</v>
      </c>
      <c r="T456" s="17" t="str">
        <f t="shared" si="257"/>
        <v>1+0.546960899562575i</v>
      </c>
      <c r="U456" s="17">
        <f t="shared" si="266"/>
        <v>1.1398097322142415</v>
      </c>
      <c r="V456" s="17">
        <f t="shared" si="267"/>
        <v>0.50050693453144124</v>
      </c>
      <c r="W456" s="31" t="str">
        <f t="shared" si="258"/>
        <v>1-9.49811163108364i</v>
      </c>
      <c r="X456" s="17">
        <f t="shared" si="268"/>
        <v>9.5506085961328306</v>
      </c>
      <c r="Y456" s="17">
        <f t="shared" si="269"/>
        <v>-1.4658986895415138</v>
      </c>
      <c r="Z456" s="31" t="str">
        <f t="shared" si="259"/>
        <v>-18.0228078458565+45.4452938340074i</v>
      </c>
      <c r="AA456" s="17">
        <f t="shared" si="270"/>
        <v>48.888611499079595</v>
      </c>
      <c r="AB456" s="17">
        <f t="shared" si="271"/>
        <v>1.9483531082935877</v>
      </c>
      <c r="AC456" s="66" t="str">
        <f t="shared" si="272"/>
        <v>-0.000952240169721123+0.00410606296671653i</v>
      </c>
      <c r="AD456" s="64">
        <f t="shared" si="273"/>
        <v>-47.50397767096036</v>
      </c>
      <c r="AE456" s="61">
        <f t="shared" si="274"/>
        <v>103.05669888394431</v>
      </c>
      <c r="AF456" s="31" t="str">
        <f t="shared" si="260"/>
        <v>-0.000106860158311346</v>
      </c>
      <c r="AG456" s="31" t="str">
        <f t="shared" si="261"/>
        <v>0.00696340802903684i</v>
      </c>
      <c r="AH456" s="31">
        <f t="shared" si="275"/>
        <v>6.9634080290368397E-3</v>
      </c>
      <c r="AI456" s="31">
        <f t="shared" si="276"/>
        <v>1.5707963267948966</v>
      </c>
      <c r="AJ456" s="31" t="str">
        <f t="shared" si="262"/>
        <v>1+109.930003629254i</v>
      </c>
      <c r="AK456" s="31">
        <f t="shared" si="277"/>
        <v>109.93455188396321</v>
      </c>
      <c r="AL456" s="31">
        <f t="shared" si="278"/>
        <v>1.5616998801010578</v>
      </c>
      <c r="AM456" s="31" t="str">
        <f t="shared" si="263"/>
        <v>1+705.384189954381i</v>
      </c>
      <c r="AN456" s="31">
        <f t="shared" si="279"/>
        <v>705.38489878760402</v>
      </c>
      <c r="AO456" s="31">
        <f t="shared" si="280"/>
        <v>1.5693786605864453</v>
      </c>
      <c r="AP456" s="58" t="str">
        <f t="shared" si="281"/>
        <v>-0.000756090708799711+0.098463011093031i</v>
      </c>
      <c r="AQ456" s="49">
        <f t="shared" si="282"/>
        <v>-20.134281665912383</v>
      </c>
      <c r="AR456" s="61">
        <f t="shared" si="283"/>
        <v>90.439961713620136</v>
      </c>
      <c r="AS456" s="58" t="str">
        <f t="shared" si="284"/>
        <v>-0.000403575343495622-0.0000968649904533616i</v>
      </c>
      <c r="AT456" s="64">
        <f t="shared" si="285"/>
        <v>-67.638259336872736</v>
      </c>
      <c r="AU456" s="61">
        <f t="shared" si="286"/>
        <v>-166.50333940243559</v>
      </c>
    </row>
    <row r="457" spans="14:47" x14ac:dyDescent="0.35">
      <c r="N457" s="10">
        <v>39</v>
      </c>
      <c r="O457" s="50">
        <f t="shared" si="287"/>
        <v>245470.89156850305</v>
      </c>
      <c r="P457" s="48" t="str">
        <f t="shared" si="255"/>
        <v>547.187404092767</v>
      </c>
      <c r="Q457" s="17" t="str">
        <f t="shared" si="256"/>
        <v>1+29579.4898815117i</v>
      </c>
      <c r="R457" s="17">
        <f t="shared" si="264"/>
        <v>29579.489898415301</v>
      </c>
      <c r="S457" s="17">
        <f t="shared" si="265"/>
        <v>1.5707625195857924</v>
      </c>
      <c r="T457" s="17" t="str">
        <f t="shared" si="257"/>
        <v>1+0.559701255573959i</v>
      </c>
      <c r="U457" s="17">
        <f t="shared" si="266"/>
        <v>1.14597796466209</v>
      </c>
      <c r="V457" s="17">
        <f t="shared" si="267"/>
        <v>0.51026086875516408</v>
      </c>
      <c r="W457" s="31" t="str">
        <f t="shared" si="258"/>
        <v>1-9.71935107198819i</v>
      </c>
      <c r="X457" s="17">
        <f t="shared" si="268"/>
        <v>9.7706594076632278</v>
      </c>
      <c r="Y457" s="17">
        <f t="shared" si="269"/>
        <v>-1.4682695611579211</v>
      </c>
      <c r="Z457" s="31" t="str">
        <f t="shared" si="259"/>
        <v>-18.9193251594829+46.5038507124795i</v>
      </c>
      <c r="AA457" s="17">
        <f t="shared" si="270"/>
        <v>50.205069421113471</v>
      </c>
      <c r="AB457" s="17">
        <f t="shared" si="271"/>
        <v>1.9571797507993842</v>
      </c>
      <c r="AC457" s="66" t="str">
        <f t="shared" si="272"/>
        <v>-0.000926252967835052+0.00402038334715197i</v>
      </c>
      <c r="AD457" s="64">
        <f t="shared" si="273"/>
        <v>-47.690040380575155</v>
      </c>
      <c r="AE457" s="61">
        <f t="shared" si="274"/>
        <v>102.97394272960321</v>
      </c>
      <c r="AF457" s="31" t="str">
        <f t="shared" si="260"/>
        <v>-0.000106860158311346</v>
      </c>
      <c r="AG457" s="31" t="str">
        <f t="shared" si="261"/>
        <v>0.00712560663850493i</v>
      </c>
      <c r="AH457" s="31">
        <f t="shared" si="275"/>
        <v>7.12560663850493E-3</v>
      </c>
      <c r="AI457" s="31">
        <f t="shared" si="276"/>
        <v>1.5707963267948966</v>
      </c>
      <c r="AJ457" s="31" t="str">
        <f t="shared" si="262"/>
        <v>1+112.490602355214i</v>
      </c>
      <c r="AK457" s="31">
        <f t="shared" si="277"/>
        <v>112.4950470831444</v>
      </c>
      <c r="AL457" s="31">
        <f t="shared" si="278"/>
        <v>1.5619069294722474</v>
      </c>
      <c r="AM457" s="31" t="str">
        <f t="shared" si="263"/>
        <v>1+721.814698445952i</v>
      </c>
      <c r="AN457" s="31">
        <f t="shared" si="279"/>
        <v>721.81539114417649</v>
      </c>
      <c r="AO457" s="31">
        <f t="shared" si="280"/>
        <v>1.5694109305673347</v>
      </c>
      <c r="AP457" s="58" t="str">
        <f t="shared" si="281"/>
        <v>-0.000722063710265608+0.0962220218149714i</v>
      </c>
      <c r="AQ457" s="49">
        <f t="shared" si="282"/>
        <v>-20.334265885373959</v>
      </c>
      <c r="AR457" s="61">
        <f t="shared" si="283"/>
        <v>90.42994759221007</v>
      </c>
      <c r="AS457" s="58" t="str">
        <f t="shared" si="284"/>
        <v>-0.000386180600479605-0.000092028906193541i</v>
      </c>
      <c r="AT457" s="64">
        <f t="shared" si="285"/>
        <v>-68.024306265949107</v>
      </c>
      <c r="AU457" s="61">
        <f t="shared" si="286"/>
        <v>-166.59610967818674</v>
      </c>
    </row>
    <row r="458" spans="14:47" x14ac:dyDescent="0.35">
      <c r="N458" s="10">
        <v>40</v>
      </c>
      <c r="O458" s="50">
        <f t="shared" si="287"/>
        <v>251188.64315095844</v>
      </c>
      <c r="P458" s="48" t="str">
        <f t="shared" si="255"/>
        <v>547.187404092767</v>
      </c>
      <c r="Q458" s="17" t="str">
        <f t="shared" si="256"/>
        <v>1+30268.4847109905i</v>
      </c>
      <c r="R458" s="17">
        <f t="shared" si="264"/>
        <v>30268.484727509327</v>
      </c>
      <c r="S458" s="17">
        <f t="shared" si="265"/>
        <v>1.5707632891318228</v>
      </c>
      <c r="T458" s="17" t="str">
        <f t="shared" si="257"/>
        <v>1+0.572738372599574i</v>
      </c>
      <c r="U458" s="17">
        <f t="shared" si="266"/>
        <v>1.1524015113874193</v>
      </c>
      <c r="V458" s="17">
        <f t="shared" si="267"/>
        <v>0.52013294570900437</v>
      </c>
      <c r="W458" s="31" t="str">
        <f t="shared" si="258"/>
        <v>1-9.94574384148199i</v>
      </c>
      <c r="X458" s="17">
        <f t="shared" si="268"/>
        <v>9.9958901834892586</v>
      </c>
      <c r="Y458" s="17">
        <f t="shared" si="269"/>
        <v>-1.4705875833547848</v>
      </c>
      <c r="Z458" s="31" t="str">
        <f t="shared" si="259"/>
        <v>-19.8580940324032+47.5870645481508i</v>
      </c>
      <c r="AA458" s="17">
        <f t="shared" si="270"/>
        <v>51.56425710615482</v>
      </c>
      <c r="AB458" s="17">
        <f t="shared" si="271"/>
        <v>1.9661271848058839</v>
      </c>
      <c r="AC458" s="66" t="str">
        <f t="shared" si="272"/>
        <v>-0.000901191589223101+0.00393668328062314i</v>
      </c>
      <c r="AD458" s="64">
        <f t="shared" si="273"/>
        <v>-47.875561167210243</v>
      </c>
      <c r="AE458" s="61">
        <f t="shared" si="274"/>
        <v>102.89406388760464</v>
      </c>
      <c r="AF458" s="31" t="str">
        <f t="shared" si="260"/>
        <v>-0.000106860158311346</v>
      </c>
      <c r="AG458" s="31" t="str">
        <f t="shared" si="261"/>
        <v>0.00729158333893133i</v>
      </c>
      <c r="AH458" s="31">
        <f t="shared" si="275"/>
        <v>7.29158333893133E-3</v>
      </c>
      <c r="AI458" s="31">
        <f t="shared" si="276"/>
        <v>1.5707963267948966</v>
      </c>
      <c r="AJ458" s="31" t="str">
        <f t="shared" si="262"/>
        <v>1+115.110845087531i</v>
      </c>
      <c r="AK458" s="31">
        <f t="shared" si="277"/>
        <v>115.11518864496361</v>
      </c>
      <c r="AL458" s="31">
        <f t="shared" si="278"/>
        <v>1.5621092665608423</v>
      </c>
      <c r="AM458" s="31" t="str">
        <f t="shared" si="263"/>
        <v>1+738.627922644992i</v>
      </c>
      <c r="AN458" s="31">
        <f t="shared" si="279"/>
        <v>738.6285995754946</v>
      </c>
      <c r="AO458" s="31">
        <f t="shared" si="280"/>
        <v>1.5694424659965676</v>
      </c>
      <c r="AP458" s="58" t="str">
        <f t="shared" si="281"/>
        <v>-0.000689567942355803+0.0940320234930072i</v>
      </c>
      <c r="AQ458" s="49">
        <f t="shared" si="282"/>
        <v>-20.534250815020446</v>
      </c>
      <c r="AR458" s="61">
        <f t="shared" si="283"/>
        <v>90.420161377994773</v>
      </c>
      <c r="AS458" s="58" t="str">
        <f t="shared" si="284"/>
        <v>-0.000369552861898235-0.0000874554792790529i</v>
      </c>
      <c r="AT458" s="64">
        <f t="shared" si="285"/>
        <v>-68.409811982230678</v>
      </c>
      <c r="AU458" s="61">
        <f t="shared" si="286"/>
        <v>-166.68577473440058</v>
      </c>
    </row>
    <row r="459" spans="14:47" x14ac:dyDescent="0.35">
      <c r="N459" s="10">
        <v>41</v>
      </c>
      <c r="O459" s="50">
        <f t="shared" si="287"/>
        <v>257039.57827688678</v>
      </c>
      <c r="P459" s="48" t="str">
        <f t="shared" si="255"/>
        <v>547.187404092767</v>
      </c>
      <c r="Q459" s="17" t="str">
        <f t="shared" si="256"/>
        <v>1+30973.5282917137i</v>
      </c>
      <c r="R459" s="17">
        <f t="shared" si="264"/>
        <v>30973.528307856519</v>
      </c>
      <c r="S459" s="17">
        <f t="shared" si="265"/>
        <v>1.570764041160847</v>
      </c>
      <c r="T459" s="17" t="str">
        <f t="shared" si="257"/>
        <v>1+0.586079163091426i</v>
      </c>
      <c r="U459" s="17">
        <f t="shared" si="266"/>
        <v>1.1590896364863015</v>
      </c>
      <c r="V459" s="17">
        <f t="shared" si="267"/>
        <v>0.53012070213359253</v>
      </c>
      <c r="W459" s="31" t="str">
        <f t="shared" si="258"/>
        <v>1-10.177409976008i</v>
      </c>
      <c r="X459" s="17">
        <f t="shared" si="268"/>
        <v>10.226420381528776</v>
      </c>
      <c r="Y459" s="17">
        <f t="shared" si="269"/>
        <v>-1.4728538854815159</v>
      </c>
      <c r="Z459" s="31" t="str">
        <f t="shared" si="259"/>
        <v>-20.8411057192594+48.6955096753345i</v>
      </c>
      <c r="AA459" s="17">
        <f t="shared" si="270"/>
        <v>52.967955880342807</v>
      </c>
      <c r="AB459" s="17">
        <f t="shared" si="271"/>
        <v>1.9751953193909035</v>
      </c>
      <c r="AC459" s="66" t="str">
        <f t="shared" si="272"/>
        <v>-0.000877008584822174+0.00385491620960711i</v>
      </c>
      <c r="AD459" s="64">
        <f t="shared" si="273"/>
        <v>-48.06054274946068</v>
      </c>
      <c r="AE459" s="61">
        <f t="shared" si="274"/>
        <v>102.81686170270764</v>
      </c>
      <c r="AF459" s="31" t="str">
        <f t="shared" si="260"/>
        <v>-0.000106860158311346</v>
      </c>
      <c r="AG459" s="31" t="str">
        <f t="shared" si="261"/>
        <v>0.00746142613335953i</v>
      </c>
      <c r="AH459" s="31">
        <f t="shared" si="275"/>
        <v>7.4614261333595302E-3</v>
      </c>
      <c r="AI459" s="31">
        <f t="shared" si="276"/>
        <v>1.5707963267948966</v>
      </c>
      <c r="AJ459" s="31" t="str">
        <f t="shared" si="262"/>
        <v>1+117.792121113586i</v>
      </c>
      <c r="AK459" s="31">
        <f t="shared" si="277"/>
        <v>117.79636580318476</v>
      </c>
      <c r="AL459" s="31">
        <f t="shared" si="278"/>
        <v>1.5623069985823375</v>
      </c>
      <c r="AM459" s="31" t="str">
        <f t="shared" si="263"/>
        <v>1+755.832777145509i</v>
      </c>
      <c r="AN459" s="31">
        <f t="shared" si="279"/>
        <v>755.83343866720577</v>
      </c>
      <c r="AO459" s="31">
        <f t="shared" si="280"/>
        <v>1.5694732835943948</v>
      </c>
      <c r="AP459" s="58" t="str">
        <f t="shared" si="281"/>
        <v>-0.000658534509154291+0.0918918567784865i</v>
      </c>
      <c r="AQ459" s="49">
        <f t="shared" si="282"/>
        <v>-20.734236422893417</v>
      </c>
      <c r="AR459" s="61">
        <f t="shared" si="283"/>
        <v>90.410597885978731</v>
      </c>
      <c r="AS459" s="58" t="str">
        <f t="shared" si="284"/>
        <v>-0.000353657867808353-0.0000831285426239069i</v>
      </c>
      <c r="AT459" s="64">
        <f t="shared" si="285"/>
        <v>-68.794779172354083</v>
      </c>
      <c r="AU459" s="61">
        <f t="shared" si="286"/>
        <v>-166.77254041131363</v>
      </c>
    </row>
    <row r="460" spans="14:47" x14ac:dyDescent="0.35">
      <c r="N460" s="10">
        <v>42</v>
      </c>
      <c r="O460" s="50">
        <f t="shared" si="287"/>
        <v>263026.79918953858</v>
      </c>
      <c r="P460" s="48" t="str">
        <f t="shared" si="255"/>
        <v>547.187404092767</v>
      </c>
      <c r="Q460" s="17" t="str">
        <f t="shared" si="256"/>
        <v>1+31694.9944471202i</v>
      </c>
      <c r="R460" s="17">
        <f t="shared" si="264"/>
        <v>31694.994462895564</v>
      </c>
      <c r="S460" s="17">
        <f t="shared" si="265"/>
        <v>1.5707647760716006</v>
      </c>
      <c r="T460" s="17" t="str">
        <f t="shared" si="257"/>
        <v>1+0.599730700513224i</v>
      </c>
      <c r="U460" s="17">
        <f t="shared" si="266"/>
        <v>1.1660518483918638</v>
      </c>
      <c r="V460" s="17">
        <f t="shared" si="267"/>
        <v>0.54022146241606139</v>
      </c>
      <c r="W460" s="31" t="str">
        <f t="shared" si="258"/>
        <v>1-10.4144723080172i</v>
      </c>
      <c r="X460" s="17">
        <f t="shared" si="268"/>
        <v>10.462372267055741</v>
      </c>
      <c r="Y460" s="17">
        <f t="shared" si="269"/>
        <v>-1.4750695759903019</v>
      </c>
      <c r="Z460" s="31" t="str">
        <f t="shared" si="259"/>
        <v>-21.8704453196343+49.8297738063093i</v>
      </c>
      <c r="AA460" s="17">
        <f t="shared" si="270"/>
        <v>54.418036863406442</v>
      </c>
      <c r="AB460" s="17">
        <f t="shared" si="271"/>
        <v>1.9843838978724158</v>
      </c>
      <c r="AC460" s="66" t="str">
        <f t="shared" si="272"/>
        <v>-0.00085365871403062+0.00377503625816741i</v>
      </c>
      <c r="AD460" s="64">
        <f t="shared" si="273"/>
        <v>-48.244988571186823</v>
      </c>
      <c r="AE460" s="61">
        <f t="shared" si="274"/>
        <v>102.74213404790602</v>
      </c>
      <c r="AF460" s="31" t="str">
        <f t="shared" si="260"/>
        <v>-0.000106860158311346</v>
      </c>
      <c r="AG460" s="31" t="str">
        <f t="shared" si="261"/>
        <v>0.00763522507468729i</v>
      </c>
      <c r="AH460" s="31">
        <f t="shared" si="275"/>
        <v>7.63522507468729E-3</v>
      </c>
      <c r="AI460" s="31">
        <f t="shared" si="276"/>
        <v>1.5707963267948966</v>
      </c>
      <c r="AJ460" s="31" t="str">
        <f t="shared" si="262"/>
        <v>1+120.535852081418i</v>
      </c>
      <c r="AK460" s="31">
        <f t="shared" si="277"/>
        <v>120.540000153449</v>
      </c>
      <c r="AL460" s="31">
        <f t="shared" si="278"/>
        <v>1.5625002303149851</v>
      </c>
      <c r="AM460" s="31" t="str">
        <f t="shared" si="263"/>
        <v>1+773.438384189099i</v>
      </c>
      <c r="AN460" s="31">
        <f t="shared" si="279"/>
        <v>773.43903065273628</v>
      </c>
      <c r="AO460" s="31">
        <f t="shared" si="280"/>
        <v>1.5695033997004801</v>
      </c>
      <c r="AP460" s="58" t="str">
        <f t="shared" si="281"/>
        <v>-0.000628897613740965+0.0898003886228623i</v>
      </c>
      <c r="AQ460" s="49">
        <f t="shared" si="282"/>
        <v>-20.934222678472018</v>
      </c>
      <c r="AR460" s="61">
        <f t="shared" si="283"/>
        <v>90.401252049004086</v>
      </c>
      <c r="AS460" s="58" t="str">
        <f t="shared" si="284"/>
        <v>-0.000338462859120626-0.0000790329955657897i</v>
      </c>
      <c r="AT460" s="64">
        <f t="shared" si="285"/>
        <v>-69.179211249658849</v>
      </c>
      <c r="AU460" s="61">
        <f t="shared" si="286"/>
        <v>-166.85661390308985</v>
      </c>
    </row>
    <row r="461" spans="14:47" x14ac:dyDescent="0.35">
      <c r="N461" s="10">
        <v>43</v>
      </c>
      <c r="O461" s="50">
        <f t="shared" si="287"/>
        <v>269153.48039269145</v>
      </c>
      <c r="P461" s="48" t="str">
        <f t="shared" si="255"/>
        <v>547.187404092767</v>
      </c>
      <c r="Q461" s="17" t="str">
        <f t="shared" si="256"/>
        <v>1+32433.2657081156i</v>
      </c>
      <c r="R461" s="17">
        <f t="shared" si="264"/>
        <v>32433.265723531866</v>
      </c>
      <c r="S461" s="17">
        <f t="shared" si="265"/>
        <v>1.5707654942537432</v>
      </c>
      <c r="T461" s="17" t="str">
        <f t="shared" si="257"/>
        <v>1+0.613700223090812i</v>
      </c>
      <c r="U461" s="17">
        <f t="shared" si="266"/>
        <v>1.173297900714781</v>
      </c>
      <c r="V461" s="17">
        <f t="shared" si="267"/>
        <v>0.55043233731445429</v>
      </c>
      <c r="W461" s="31" t="str">
        <f t="shared" si="258"/>
        <v>1-10.657056531096i</v>
      </c>
      <c r="X461" s="17">
        <f t="shared" si="268"/>
        <v>10.703870977687274</v>
      </c>
      <c r="Y461" s="17">
        <f t="shared" si="269"/>
        <v>-1.477235742602085</v>
      </c>
      <c r="Z461" s="31" t="str">
        <f t="shared" si="259"/>
        <v>-22.9482962008262+50.9904583429315i</v>
      </c>
      <c r="AA461" s="17">
        <f t="shared" si="270"/>
        <v>55.916465737232414</v>
      </c>
      <c r="AB461" s="17">
        <f t="shared" si="271"/>
        <v>1.9936924914328389</v>
      </c>
      <c r="AC461" s="66" t="str">
        <f t="shared" si="272"/>
        <v>-0.000831098865065354+0.00369699822682738i</v>
      </c>
      <c r="AD461" s="64">
        <f t="shared" si="273"/>
        <v>-48.428902858767621</v>
      </c>
      <c r="AE461" s="61">
        <f t="shared" si="274"/>
        <v>102.66967760712205</v>
      </c>
      <c r="AF461" s="31" t="str">
        <f t="shared" si="260"/>
        <v>-0.000106860158311346</v>
      </c>
      <c r="AG461" s="31" t="str">
        <f t="shared" si="261"/>
        <v>0.00781307231341379i</v>
      </c>
      <c r="AH461" s="31">
        <f t="shared" si="275"/>
        <v>7.8130723134137905E-3</v>
      </c>
      <c r="AI461" s="31">
        <f t="shared" si="276"/>
        <v>1.5707963267948966</v>
      </c>
      <c r="AJ461" s="31" t="str">
        <f t="shared" si="262"/>
        <v>1+123.343492753505i</v>
      </c>
      <c r="AK461" s="31">
        <f t="shared" si="277"/>
        <v>123.34754640702805</v>
      </c>
      <c r="AL461" s="31">
        <f t="shared" si="278"/>
        <v>1.5626890641550542</v>
      </c>
      <c r="AM461" s="31" t="str">
        <f t="shared" si="263"/>
        <v>1+791.454078501656i</v>
      </c>
      <c r="AN461" s="31">
        <f t="shared" si="279"/>
        <v>791.45471024999608</v>
      </c>
      <c r="AO461" s="31">
        <f t="shared" si="280"/>
        <v>1.5695328302825633</v>
      </c>
      <c r="AP461" s="58" t="str">
        <f t="shared" si="281"/>
        <v>-0.000600594418874825+0.0877565116850196i</v>
      </c>
      <c r="AQ461" s="49">
        <f t="shared" si="282"/>
        <v>-21.134209552608858</v>
      </c>
      <c r="AR461" s="61">
        <f t="shared" si="283"/>
        <v>90.392118915080857</v>
      </c>
      <c r="AS461" s="58" t="str">
        <f t="shared" si="284"/>
        <v>-0.000323936514752182-0.0000751547337651369i</v>
      </c>
      <c r="AT461" s="64">
        <f t="shared" si="285"/>
        <v>-69.563112411376494</v>
      </c>
      <c r="AU461" s="61">
        <f t="shared" si="286"/>
        <v>-166.93820347779706</v>
      </c>
    </row>
    <row r="462" spans="14:47" x14ac:dyDescent="0.35">
      <c r="N462" s="10">
        <v>44</v>
      </c>
      <c r="O462" s="50">
        <f t="shared" si="287"/>
        <v>275422.87033381703</v>
      </c>
      <c r="P462" s="48" t="str">
        <f t="shared" si="255"/>
        <v>547.187404092767</v>
      </c>
      <c r="Q462" s="17" t="str">
        <f t="shared" si="256"/>
        <v>1+33188.7335158945i</v>
      </c>
      <c r="R462" s="17">
        <f t="shared" si="264"/>
        <v>33188.733530959857</v>
      </c>
      <c r="S462" s="17">
        <f t="shared" si="265"/>
        <v>1.5707661960880646</v>
      </c>
      <c r="T462" s="17" t="str">
        <f t="shared" si="257"/>
        <v>1+0.627995137649964i</v>
      </c>
      <c r="U462" s="17">
        <f t="shared" si="266"/>
        <v>1.1808377928030578</v>
      </c>
      <c r="V462" s="17">
        <f t="shared" si="267"/>
        <v>0.56075022347110126</v>
      </c>
      <c r="W462" s="31" t="str">
        <f t="shared" si="258"/>
        <v>1-10.9052912666104i</v>
      </c>
      <c r="X462" s="17">
        <f t="shared" si="268"/>
        <v>10.951044589883153</v>
      </c>
      <c r="Y462" s="17">
        <f t="shared" si="269"/>
        <v>-1.4793534524882255</v>
      </c>
      <c r="Z462" s="31" t="str">
        <f t="shared" si="259"/>
        <v>-24.0769446290641+52.1781786955057i</v>
      </c>
      <c r="AA462" s="17">
        <f t="shared" si="270"/>
        <v>57.465307748685582</v>
      </c>
      <c r="AB462" s="17">
        <f t="shared" si="271"/>
        <v>2.0031204929400381</v>
      </c>
      <c r="AC462" s="66" t="str">
        <f t="shared" si="272"/>
        <v>-0.000809287979559844+0.00362075758806832i</v>
      </c>
      <c r="AD462" s="64">
        <f t="shared" si="273"/>
        <v>-48.612290676011902</v>
      </c>
      <c r="AE462" s="61">
        <f t="shared" si="274"/>
        <v>102.5992881909354</v>
      </c>
      <c r="AF462" s="31" t="str">
        <f t="shared" si="260"/>
        <v>-0.000106860158311346</v>
      </c>
      <c r="AG462" s="31" t="str">
        <f t="shared" si="261"/>
        <v>0.00799506214649912i</v>
      </c>
      <c r="AH462" s="31">
        <f t="shared" si="275"/>
        <v>7.9950621464991208E-3</v>
      </c>
      <c r="AI462" s="31">
        <f t="shared" si="276"/>
        <v>1.5707963267948966</v>
      </c>
      <c r="AJ462" s="31" t="str">
        <f t="shared" si="262"/>
        <v>1+126.216531778094i</v>
      </c>
      <c r="AK462" s="31">
        <f t="shared" si="277"/>
        <v>126.22049316212726</v>
      </c>
      <c r="AL462" s="31">
        <f t="shared" si="278"/>
        <v>1.5628736001708479</v>
      </c>
      <c r="AM462" s="31" t="str">
        <f t="shared" si="263"/>
        <v>1+809.889412242768i</v>
      </c>
      <c r="AN462" s="31">
        <f t="shared" si="279"/>
        <v>809.89002961077153</v>
      </c>
      <c r="AO462" s="31">
        <f t="shared" si="280"/>
        <v>1.5695615909449243</v>
      </c>
      <c r="AP462" s="58" t="str">
        <f t="shared" si="281"/>
        <v>-0.000573564913933448+0.0857591437517039i</v>
      </c>
      <c r="AQ462" s="49">
        <f t="shared" si="282"/>
        <v>-21.334197017467989</v>
      </c>
      <c r="AR462" s="61">
        <f t="shared" si="283"/>
        <v>90.383193644777009</v>
      </c>
      <c r="AS462" s="58" t="str">
        <f t="shared" si="284"/>
        <v>-0.00031004889129488-0.000071480583689973i</v>
      </c>
      <c r="AT462" s="64">
        <f t="shared" si="285"/>
        <v>-69.946487693479881</v>
      </c>
      <c r="AU462" s="61">
        <f t="shared" si="286"/>
        <v>-167.01751816428759</v>
      </c>
    </row>
    <row r="463" spans="14:47" x14ac:dyDescent="0.35">
      <c r="N463" s="10">
        <v>45</v>
      </c>
      <c r="O463" s="50">
        <f t="shared" si="287"/>
        <v>281838.29312644573</v>
      </c>
      <c r="P463" s="48" t="str">
        <f t="shared" si="255"/>
        <v>547.187404092767</v>
      </c>
      <c r="Q463" s="17" t="str">
        <f t="shared" si="256"/>
        <v>1+33961.7984294882i</v>
      </c>
      <c r="R463" s="17">
        <f t="shared" si="264"/>
        <v>33961.798444210617</v>
      </c>
      <c r="S463" s="17">
        <f t="shared" si="265"/>
        <v>1.5707668819466862</v>
      </c>
      <c r="T463" s="17" t="str">
        <f t="shared" si="257"/>
        <v>1+0.642623023543596i</v>
      </c>
      <c r="U463" s="17">
        <f t="shared" si="266"/>
        <v>1.1886817700243884</v>
      </c>
      <c r="V463" s="17">
        <f t="shared" si="267"/>
        <v>0.57117180376027166</v>
      </c>
      <c r="W463" s="31" t="str">
        <f t="shared" si="258"/>
        <v>1-11.1593081319029i</v>
      </c>
      <c r="X463" s="17">
        <f t="shared" si="268"/>
        <v>11.204024186994342</v>
      </c>
      <c r="Y463" s="17">
        <f t="shared" si="269"/>
        <v>-1.4814237524663252</v>
      </c>
      <c r="Z463" s="31" t="str">
        <f t="shared" si="259"/>
        <v>-25.2587846189847+53.3935646090839i</v>
      </c>
      <c r="AA463" s="17">
        <f t="shared" si="270"/>
        <v>59.066732955976789</v>
      </c>
      <c r="AB463" s="17">
        <f t="shared" si="271"/>
        <v>2.0126671110131369</v>
      </c>
      <c r="AC463" s="66" t="str">
        <f t="shared" si="272"/>
        <v>-0.000788186981137209+0.0035462704825583i</v>
      </c>
      <c r="AD463" s="64">
        <f t="shared" si="273"/>
        <v>-48.795157976208621</v>
      </c>
      <c r="AE463" s="61">
        <f t="shared" si="274"/>
        <v>102.53076108527419</v>
      </c>
      <c r="AF463" s="31" t="str">
        <f t="shared" si="260"/>
        <v>-0.000106860158311346</v>
      </c>
      <c r="AG463" s="31" t="str">
        <f t="shared" si="261"/>
        <v>0.00818129106736168i</v>
      </c>
      <c r="AH463" s="31">
        <f t="shared" si="275"/>
        <v>8.1812910673616807E-3</v>
      </c>
      <c r="AI463" s="31">
        <f t="shared" si="276"/>
        <v>1.5707963267948966</v>
      </c>
      <c r="AJ463" s="31" t="str">
        <f t="shared" si="262"/>
        <v>1+129.156492478505i</v>
      </c>
      <c r="AK463" s="31">
        <f t="shared" si="277"/>
        <v>129.16036369316294</v>
      </c>
      <c r="AL463" s="31">
        <f t="shared" si="278"/>
        <v>1.5630539361555025</v>
      </c>
      <c r="AM463" s="31" t="str">
        <f t="shared" si="263"/>
        <v>1+828.754160070404i</v>
      </c>
      <c r="AN463" s="31">
        <f t="shared" si="279"/>
        <v>828.75476338540636</v>
      </c>
      <c r="AO463" s="31">
        <f t="shared" si="280"/>
        <v>1.5695896969366567</v>
      </c>
      <c r="AP463" s="58" t="str">
        <f t="shared" si="281"/>
        <v>-0.000547751787828148+0.083807227170764i</v>
      </c>
      <c r="AQ463" s="49">
        <f t="shared" si="282"/>
        <v>-21.534185046465982</v>
      </c>
      <c r="AR463" s="61">
        <f t="shared" si="283"/>
        <v>90.374471508667256</v>
      </c>
      <c r="AS463" s="58" t="str">
        <f t="shared" si="284"/>
        <v>-0.000296771365112678-0.0000679982413781482i</v>
      </c>
      <c r="AT463" s="64">
        <f t="shared" si="285"/>
        <v>-70.329343022674593</v>
      </c>
      <c r="AU463" s="61">
        <f t="shared" si="286"/>
        <v>-167.09476740605857</v>
      </c>
    </row>
    <row r="464" spans="14:47" x14ac:dyDescent="0.35">
      <c r="N464" s="10">
        <v>46</v>
      </c>
      <c r="O464" s="50">
        <f t="shared" si="287"/>
        <v>288403.1503126609</v>
      </c>
      <c r="P464" s="48" t="str">
        <f t="shared" si="255"/>
        <v>547.187404092767</v>
      </c>
      <c r="Q464" s="17" t="str">
        <f t="shared" si="256"/>
        <v>1+34752.8703381468i</v>
      </c>
      <c r="R464" s="17">
        <f t="shared" si="264"/>
        <v>34752.870352534104</v>
      </c>
      <c r="S464" s="17">
        <f t="shared" si="265"/>
        <v>1.5707675521932596</v>
      </c>
      <c r="T464" s="17" t="str">
        <f t="shared" si="257"/>
        <v>1+0.657591636670432i</v>
      </c>
      <c r="U464" s="17">
        <f t="shared" si="266"/>
        <v>1.1968403237771099</v>
      </c>
      <c r="V464" s="17">
        <f t="shared" si="267"/>
        <v>0.58169354851116772</v>
      </c>
      <c r="W464" s="31" t="str">
        <f t="shared" si="258"/>
        <v>1-11.4192418100779i</v>
      </c>
      <c r="X464" s="17">
        <f t="shared" si="268"/>
        <v>11.462943928896763</v>
      </c>
      <c r="Y464" s="17">
        <f t="shared" si="269"/>
        <v>-1.4834476692087788</v>
      </c>
      <c r="Z464" s="31" t="str">
        <f t="shared" si="259"/>
        <v>-26.4963230116588+54.6372604973652i</v>
      </c>
      <c r="AA464" s="17">
        <f t="shared" si="270"/>
        <v>60.723021728131279</v>
      </c>
      <c r="AB464" s="17">
        <f t="shared" si="271"/>
        <v>2.0223313643834695</v>
      </c>
      <c r="AC464" s="66" t="str">
        <f t="shared" si="272"/>
        <v>-0.000767758707691119+0.00347349371620681i</v>
      </c>
      <c r="AD464" s="64">
        <f t="shared" si="273"/>
        <v>-48.977511650782752</v>
      </c>
      <c r="AE464" s="61">
        <f t="shared" si="274"/>
        <v>102.46389143262095</v>
      </c>
      <c r="AF464" s="31" t="str">
        <f t="shared" si="260"/>
        <v>-0.000106860158311346</v>
      </c>
      <c r="AG464" s="31" t="str">
        <f t="shared" si="261"/>
        <v>0.00837185781704033i</v>
      </c>
      <c r="AH464" s="31">
        <f t="shared" si="275"/>
        <v>8.3718578170403294E-3</v>
      </c>
      <c r="AI464" s="31">
        <f t="shared" si="276"/>
        <v>1.5707963267948966</v>
      </c>
      <c r="AJ464" s="31" t="str">
        <f t="shared" si="262"/>
        <v>1+132.164933660816i</v>
      </c>
      <c r="AK464" s="31">
        <f t="shared" si="277"/>
        <v>132.16871675842165</v>
      </c>
      <c r="AL464" s="31">
        <f t="shared" si="278"/>
        <v>1.5632301676785996</v>
      </c>
      <c r="AM464" s="31" t="str">
        <f t="shared" si="263"/>
        <v>1+848.058324323567i</v>
      </c>
      <c r="AN464" s="31">
        <f t="shared" si="279"/>
        <v>848.05891390545298</v>
      </c>
      <c r="AO464" s="31">
        <f t="shared" si="280"/>
        <v>1.5696171631597517</v>
      </c>
      <c r="AP464" s="58" t="str">
        <f t="shared" si="281"/>
        <v>-0.000523100307627194+0.0818997282969507i</v>
      </c>
      <c r="AQ464" s="49">
        <f t="shared" si="282"/>
        <v>-21.734173614215429</v>
      </c>
      <c r="AR464" s="61">
        <f t="shared" si="283"/>
        <v>90.36594788483913</v>
      </c>
      <c r="AS464" s="58" t="str">
        <f t="shared" si="284"/>
        <v>-0.000284076576782327-0.0000646962151890096i</v>
      </c>
      <c r="AT464" s="64">
        <f t="shared" si="285"/>
        <v>-70.711685264998167</v>
      </c>
      <c r="AU464" s="61">
        <f t="shared" si="286"/>
        <v>-167.17016068253989</v>
      </c>
    </row>
    <row r="465" spans="14:47" x14ac:dyDescent="0.35">
      <c r="N465" s="10">
        <v>47</v>
      </c>
      <c r="O465" s="50">
        <f t="shared" si="287"/>
        <v>295120.92266663886</v>
      </c>
      <c r="P465" s="48" t="str">
        <f t="shared" si="255"/>
        <v>547.187404092767</v>
      </c>
      <c r="Q465" s="17" t="str">
        <f t="shared" si="256"/>
        <v>1+35562.3686786673i</v>
      </c>
      <c r="R465" s="17">
        <f t="shared" si="264"/>
        <v>35562.368692727105</v>
      </c>
      <c r="S465" s="17">
        <f t="shared" si="265"/>
        <v>1.5707682071831583</v>
      </c>
      <c r="T465" s="17" t="str">
        <f t="shared" si="257"/>
        <v>1+0.672908913587284i</v>
      </c>
      <c r="U465" s="17">
        <f t="shared" si="266"/>
        <v>1.2053241912386969</v>
      </c>
      <c r="V465" s="17">
        <f t="shared" si="267"/>
        <v>0.59231171764242707</v>
      </c>
      <c r="W465" s="31" t="str">
        <f t="shared" si="258"/>
        <v>1-11.6852301214121i</v>
      </c>
      <c r="X465" s="17">
        <f t="shared" si="268"/>
        <v>11.727941123247364</v>
      </c>
      <c r="Y465" s="17">
        <f t="shared" si="269"/>
        <v>-1.4854262094627155</v>
      </c>
      <c r="Z465" s="31" t="str">
        <f t="shared" si="259"/>
        <v>-27.7921847919367+55.9099257843719i</v>
      </c>
      <c r="AA465" s="17">
        <f t="shared" si="270"/>
        <v>62.436570507380786</v>
      </c>
      <c r="AB465" s="17">
        <f t="shared" si="271"/>
        <v>2.0321120766028509</v>
      </c>
      <c r="AC465" s="66" t="str">
        <f t="shared" si="272"/>
        <v>-0.000747967847106179+0.00340238475812923i</v>
      </c>
      <c r="AD465" s="64">
        <f t="shared" si="273"/>
        <v>-49.159359574012697</v>
      </c>
      <c r="AE465" s="61">
        <f t="shared" si="274"/>
        <v>102.39847464489144</v>
      </c>
      <c r="AF465" s="31" t="str">
        <f t="shared" si="260"/>
        <v>-0.000106860158311346</v>
      </c>
      <c r="AG465" s="31" t="str">
        <f t="shared" si="261"/>
        <v>0.00856686343654822i</v>
      </c>
      <c r="AH465" s="31">
        <f t="shared" si="275"/>
        <v>8.5668634365482204E-3</v>
      </c>
      <c r="AI465" s="31">
        <f t="shared" si="276"/>
        <v>1.5707963267948966</v>
      </c>
      <c r="AJ465" s="31" t="str">
        <f t="shared" si="262"/>
        <v>1+135.243450440363i</v>
      </c>
      <c r="AK465" s="31">
        <f t="shared" si="277"/>
        <v>135.24714742653509</v>
      </c>
      <c r="AL465" s="31">
        <f t="shared" si="278"/>
        <v>1.5634023881366133</v>
      </c>
      <c r="AM465" s="31" t="str">
        <f t="shared" si="263"/>
        <v>1+867.812140325664i</v>
      </c>
      <c r="AN465" s="31">
        <f t="shared" si="279"/>
        <v>867.8127164870366</v>
      </c>
      <c r="AO465" s="31">
        <f t="shared" si="280"/>
        <v>1.5696440041769981</v>
      </c>
      <c r="AP465" s="58" t="str">
        <f t="shared" si="281"/>
        <v>-0.000499558202631039+0.0800356369500007i</v>
      </c>
      <c r="AQ465" s="49">
        <f t="shared" si="282"/>
        <v>-21.934162696471411</v>
      </c>
      <c r="AR465" s="61">
        <f t="shared" si="283"/>
        <v>90.357618256455197</v>
      </c>
      <c r="AS465" s="58" t="str">
        <f t="shared" si="284"/>
        <v>-0.000271938377792521-0.0000615637722756941i</v>
      </c>
      <c r="AT465" s="64">
        <f t="shared" si="285"/>
        <v>-71.093522270484101</v>
      </c>
      <c r="AU465" s="61">
        <f t="shared" si="286"/>
        <v>-167.24390709865335</v>
      </c>
    </row>
    <row r="466" spans="14:47" x14ac:dyDescent="0.35">
      <c r="N466" s="10">
        <v>48</v>
      </c>
      <c r="O466" s="50">
        <f t="shared" si="287"/>
        <v>301995.17204020242</v>
      </c>
      <c r="P466" s="48" t="str">
        <f t="shared" si="255"/>
        <v>547.187404092767</v>
      </c>
      <c r="Q466" s="17" t="str">
        <f t="shared" si="256"/>
        <v>1+36390.7226577848i</v>
      </c>
      <c r="R466" s="17">
        <f t="shared" si="264"/>
        <v>36390.722671524556</v>
      </c>
      <c r="S466" s="17">
        <f t="shared" si="265"/>
        <v>1.5707688472636669</v>
      </c>
      <c r="T466" s="17" t="str">
        <f t="shared" si="257"/>
        <v>1+0.688582975717123i</v>
      </c>
      <c r="U466" s="17">
        <f t="shared" si="266"/>
        <v>1.2141443548637239</v>
      </c>
      <c r="V466" s="17">
        <f t="shared" si="267"/>
        <v>0.60302236373857876</v>
      </c>
      <c r="W466" s="31" t="str">
        <f t="shared" si="258"/>
        <v>1-11.957414096429i</v>
      </c>
      <c r="X466" s="17">
        <f t="shared" si="268"/>
        <v>11.999156298401941</v>
      </c>
      <c r="Y466" s="17">
        <f t="shared" si="269"/>
        <v>-1.487360360280094</v>
      </c>
      <c r="Z466" s="31" t="str">
        <f t="shared" si="259"/>
        <v>-29.1491186563939+57.2122352540848i</v>
      </c>
      <c r="AA466" s="17">
        <f t="shared" si="270"/>
        <v>64.209897844594593</v>
      </c>
      <c r="AB466" s="17">
        <f t="shared" si="271"/>
        <v>2.0420078711528609</v>
      </c>
      <c r="AC466" s="66" t="str">
        <f t="shared" si="272"/>
        <v>-0.000728780876148366+0.00333290173959289i</v>
      </c>
      <c r="AD466" s="64">
        <f t="shared" si="273"/>
        <v>-49.340710643261943</v>
      </c>
      <c r="AE466" s="61">
        <f t="shared" si="274"/>
        <v>102.33430684672581</v>
      </c>
      <c r="AF466" s="31" t="str">
        <f t="shared" si="260"/>
        <v>-0.000106860158311346</v>
      </c>
      <c r="AG466" s="31" t="str">
        <f t="shared" si="261"/>
        <v>0.00876641132044603i</v>
      </c>
      <c r="AH466" s="31">
        <f t="shared" si="275"/>
        <v>8.7664113204460308E-3</v>
      </c>
      <c r="AI466" s="31">
        <f t="shared" si="276"/>
        <v>1.5707963267948966</v>
      </c>
      <c r="AJ466" s="31" t="str">
        <f t="shared" si="262"/>
        <v>1+138.393675087493i</v>
      </c>
      <c r="AK466" s="31">
        <f t="shared" si="277"/>
        <v>138.39728792220814</v>
      </c>
      <c r="AL466" s="31">
        <f t="shared" si="278"/>
        <v>1.5635706888022227</v>
      </c>
      <c r="AM466" s="31" t="str">
        <f t="shared" si="263"/>
        <v>1+888.026081811414i</v>
      </c>
      <c r="AN466" s="31">
        <f t="shared" si="279"/>
        <v>888.02664485776097</v>
      </c>
      <c r="AO466" s="31">
        <f t="shared" si="280"/>
        <v>1.5696702342197042</v>
      </c>
      <c r="AP466" s="58" t="str">
        <f t="shared" si="281"/>
        <v>-0.000477075553655299+0.0782139658847567i</v>
      </c>
      <c r="AQ466" s="49">
        <f t="shared" si="282"/>
        <v>-22.134152270079944</v>
      </c>
      <c r="AR466" s="61">
        <f t="shared" si="283"/>
        <v>90.349478209370034</v>
      </c>
      <c r="AS466" s="58" t="str">
        <f t="shared" si="284"/>
        <v>-0.000260331779417783-0.0000585908885272264i</v>
      </c>
      <c r="AT466" s="64">
        <f t="shared" si="285"/>
        <v>-71.47486291334188</v>
      </c>
      <c r="AU466" s="61">
        <f t="shared" si="286"/>
        <v>-167.31621494390416</v>
      </c>
    </row>
    <row r="467" spans="14:47" x14ac:dyDescent="0.35">
      <c r="N467" s="10">
        <v>49</v>
      </c>
      <c r="O467" s="50">
        <f t="shared" si="287"/>
        <v>309029.54325135931</v>
      </c>
      <c r="P467" s="48" t="str">
        <f t="shared" ref="P467:P530" si="288">COMPLEX(Adc,0)</f>
        <v>547.187404092767</v>
      </c>
      <c r="Q467" s="17" t="str">
        <f t="shared" ref="Q467:Q530" si="289">IMSUM(COMPLEX(1,0),IMDIV(COMPLEX(0,2*PI()*O467),COMPLEX(wp_lf,0)))</f>
        <v>1+37238.3714797436i</v>
      </c>
      <c r="R467" s="17">
        <f t="shared" si="264"/>
        <v>37238.371493170605</v>
      </c>
      <c r="S467" s="17">
        <f t="shared" si="265"/>
        <v>1.5707694727741641</v>
      </c>
      <c r="T467" s="17" t="str">
        <f t="shared" ref="T467:T530" si="290">IMSUM(COMPLEX(1,0),IMDIV(COMPLEX(0,2*PI()*O467),COMPLEX(wz_esr,0)))</f>
        <v>1+0.70462213365516i</v>
      </c>
      <c r="U467" s="17">
        <f t="shared" si="266"/>
        <v>1.2233120416462637</v>
      </c>
      <c r="V467" s="17">
        <f t="shared" si="267"/>
        <v>0.61382133609248823</v>
      </c>
      <c r="W467" s="31" t="str">
        <f t="shared" ref="W467:W530" si="291">IMSUB(COMPLEX(1,0),IMDIV(COMPLEX(0,2*PI()*O467),COMPLEX(wz_rhp,0)))</f>
        <v>1-12.2359380506748i</v>
      </c>
      <c r="X467" s="17">
        <f t="shared" si="268"/>
        <v>12.276733278032532</v>
      </c>
      <c r="Y467" s="17">
        <f t="shared" si="269"/>
        <v>-1.4892510892567792</v>
      </c>
      <c r="Z467" s="31" t="str">
        <f t="shared" ref="Z467:Z530" si="292">IMSUM(COMPLEX(1,0),IMDIV(COMPLEX(0,2*PI()*O467),COMPLEX(Q*(wsl/2),0)),IMDIV(IMPOWER(COMPLEX(0,2*PI()*O467),2),IMPOWER(COMPLEX(wsl/2,0),2)))</f>
        <v>-30.570002843684+58.5448794082228i</v>
      </c>
      <c r="AA467" s="17">
        <f t="shared" si="270"/>
        <v>66.04565071816765</v>
      </c>
      <c r="AB467" s="17">
        <f t="shared" si="271"/>
        <v>2.0520171670098692</v>
      </c>
      <c r="AC467" s="66" t="str">
        <f t="shared" si="272"/>
        <v>-0.000710166002255482+0.00326500345400231i</v>
      </c>
      <c r="AD467" s="64">
        <f t="shared" si="273"/>
        <v>-49.521574814183076</v>
      </c>
      <c r="AE467" s="61">
        <f t="shared" si="274"/>
        <v>102.27118534750051</v>
      </c>
      <c r="AF467" s="31" t="str">
        <f t="shared" ref="AF467:AF530" si="293">COMPLEX(Adc_ea,0)</f>
        <v>-0.000106860158311346</v>
      </c>
      <c r="AG467" s="31" t="str">
        <f t="shared" ref="AG467:AG530" si="294">COMPLEX(0,2*PI()*O467*wp0_ea)</f>
        <v>0.00897060727166308i</v>
      </c>
      <c r="AH467" s="31">
        <f t="shared" si="275"/>
        <v>8.9706072716630794E-3</v>
      </c>
      <c r="AI467" s="31">
        <f t="shared" si="276"/>
        <v>1.5707963267948966</v>
      </c>
      <c r="AJ467" s="31" t="str">
        <f t="shared" ref="AJ467:AJ530" si="295">IMSUM(COMPLEX(1,0),IMDIV(COMPLEX(0,2*PI()*O467),COMPLEX(wp1_ea,0)))</f>
        <v>1+141.617277893012i</v>
      </c>
      <c r="AK467" s="31">
        <f t="shared" si="277"/>
        <v>141.62080849164286</v>
      </c>
      <c r="AL467" s="31">
        <f t="shared" si="278"/>
        <v>1.5637351588725092</v>
      </c>
      <c r="AM467" s="31" t="str">
        <f t="shared" ref="AM467:AM530" si="296">IMSUM(COMPLEX(1,0),IMDIV(COMPLEX(0,2*PI()*O467),COMPLEX(wz_ea,0)))</f>
        <v>1+908.710866480155i</v>
      </c>
      <c r="AN467" s="31">
        <f t="shared" si="279"/>
        <v>908.71141671001033</v>
      </c>
      <c r="AO467" s="31">
        <f t="shared" si="280"/>
        <v>1.569695867195241</v>
      </c>
      <c r="AP467" s="58" t="str">
        <f t="shared" si="281"/>
        <v>-0.000455604687287848+0.0764337502730649i</v>
      </c>
      <c r="AQ467" s="49">
        <f t="shared" si="282"/>
        <v>-22.334142312928854</v>
      </c>
      <c r="AR467" s="61">
        <f t="shared" si="283"/>
        <v>90.341523429801015</v>
      </c>
      <c r="AS467" s="58" t="str">
        <f t="shared" si="284"/>
        <v>-0.000249232903684527-0.0000557682017464708i</v>
      </c>
      <c r="AT467" s="64">
        <f t="shared" si="285"/>
        <v>-71.85571712711193</v>
      </c>
      <c r="AU467" s="61">
        <f t="shared" si="286"/>
        <v>-167.38729122269845</v>
      </c>
    </row>
    <row r="468" spans="14:47" x14ac:dyDescent="0.35">
      <c r="N468" s="10">
        <v>50</v>
      </c>
      <c r="O468" s="50">
        <f t="shared" si="287"/>
        <v>316227.7660168382</v>
      </c>
      <c r="P468" s="48" t="str">
        <f t="shared" si="288"/>
        <v>547.187404092767</v>
      </c>
      <c r="Q468" s="17" t="str">
        <f t="shared" si="289"/>
        <v>1+38105.7645791691i</v>
      </c>
      <c r="R468" s="17">
        <f t="shared" ref="R468:R531" si="297">IMABS(Q468)</f>
        <v>38105.76459229047</v>
      </c>
      <c r="S468" s="17">
        <f t="shared" ref="S468:S531" si="298">IMARGUMENT(Q468)</f>
        <v>1.5707700840463044</v>
      </c>
      <c r="T468" s="17" t="str">
        <f t="shared" si="290"/>
        <v>1+0.721034891575237i</v>
      </c>
      <c r="U468" s="17">
        <f t="shared" ref="U468:U531" si="299">IMABS(T468)</f>
        <v>1.2328387221647907</v>
      </c>
      <c r="V468" s="17">
        <f t="shared" ref="V468:V531" si="300">IMARGUMENT(T468)</f>
        <v>0.62470428573076076</v>
      </c>
      <c r="W468" s="31" t="str">
        <f t="shared" si="291"/>
        <v>1-12.520949661237i</v>
      </c>
      <c r="X468" s="17">
        <f t="shared" ref="X468:X531" si="301">IMABS(W468)</f>
        <v>12.56081925748599</v>
      </c>
      <c r="Y468" s="17">
        <f t="shared" ref="Y468:Y531" si="302">IMARGUMENT(W468)</f>
        <v>-1.491099344779534</v>
      </c>
      <c r="Z468" s="31" t="str">
        <f t="shared" si="292"/>
        <v>-32.0578512396695+59.9085648323561i</v>
      </c>
      <c r="AA468" s="17">
        <f t="shared" ref="AA468:AA531" si="303">IMABS(Z468)</f>
        <v>67.946611147116045</v>
      </c>
      <c r="AB468" s="17">
        <f t="shared" ref="AB468:AB531" si="304">IMARGUMENT(Z468)</f>
        <v>2.0621381747212322</v>
      </c>
      <c r="AC468" s="66" t="str">
        <f t="shared" ref="AC468:AC531" si="305">(IMDIV(IMPRODUCT(P468,T468,W468),IMPRODUCT(Q468,Z468)))</f>
        <v>-0.000692093107957337+0.00319864935796776i</v>
      </c>
      <c r="AD468" s="64">
        <f t="shared" ref="AD468:AD531" si="306">20*LOG(IMABS(AC468))</f>
        <v>-49.701963130361719</v>
      </c>
      <c r="AE468" s="61">
        <f t="shared" ref="AE468:AE531" si="307">(180/PI())*IMARGUMENT(AC468)</f>
        <v>102.20890913991693</v>
      </c>
      <c r="AF468" s="31" t="str">
        <f t="shared" si="293"/>
        <v>-0.000106860158311346</v>
      </c>
      <c r="AG468" s="31" t="str">
        <f t="shared" si="294"/>
        <v>0.00917955955759561i</v>
      </c>
      <c r="AH468" s="31">
        <f t="shared" ref="AH468:AH531" si="308">IMABS(AG468)</f>
        <v>9.1795595575956106E-3</v>
      </c>
      <c r="AI468" s="31">
        <f t="shared" ref="AI468:AI531" si="309">IMARGUMENT(AG468)</f>
        <v>1.5707963267948966</v>
      </c>
      <c r="AJ468" s="31" t="str">
        <f t="shared" si="295"/>
        <v>1+144.915968053795i</v>
      </c>
      <c r="AK468" s="31">
        <f t="shared" ref="AK468:AK531" si="310">IMABS(AJ468)</f>
        <v>144.91941828812497</v>
      </c>
      <c r="AL468" s="31">
        <f t="shared" ref="AL468:AL531" si="311">IMARGUMENT(AJ468)</f>
        <v>1.563895885516069</v>
      </c>
      <c r="AM468" s="31" t="str">
        <f t="shared" si="296"/>
        <v>1+929.877461678514i</v>
      </c>
      <c r="AN468" s="31">
        <f t="shared" ref="AN468:AN531" si="312">IMABS(AM468)</f>
        <v>929.87799938361616</v>
      </c>
      <c r="AO468" s="31">
        <f t="shared" ref="AO468:AO531" si="313">IMARGUMENT(AM468)</f>
        <v>1.5697209166944168</v>
      </c>
      <c r="AP468" s="58" t="str">
        <f t="shared" ref="AP468:AP531" si="314">IMPRODUCT(AF468,IMDIV(AM468,IMPRODUCT(AG468,AJ468)))</f>
        <v>-0.000435100074896971+0.0746940471971999i</v>
      </c>
      <c r="AQ468" s="49">
        <f t="shared" ref="AQ468:AQ531" si="315">20*LOG(IMABS(AP468))</f>
        <v>-22.53413280390102</v>
      </c>
      <c r="AR468" s="61">
        <f t="shared" ref="AR468:AR531" si="316">(180/PI())*IMARGUMENT(AP468)</f>
        <v>90.333749702051435</v>
      </c>
      <c r="AS468" s="58" t="str">
        <f t="shared" ref="AS468:AS531" si="317">IMPRODUCT(AC468,AP468)</f>
        <v>-0.000238618936348229-0.000053086967845843i</v>
      </c>
      <c r="AT468" s="64">
        <f t="shared" ref="AT468:AT531" si="318">20*LOG(IMABS(AS468))</f>
        <v>-72.236095934262735</v>
      </c>
      <c r="AU468" s="61">
        <f t="shared" ref="AU468:AU531" si="319">(180/PI())*IMARGUMENT(AS468)</f>
        <v>-167.45734115803162</v>
      </c>
    </row>
    <row r="469" spans="14:47" x14ac:dyDescent="0.35">
      <c r="N469" s="10">
        <v>51</v>
      </c>
      <c r="O469" s="50">
        <f t="shared" si="287"/>
        <v>323593.65692962846</v>
      </c>
      <c r="P469" s="48" t="str">
        <f t="shared" si="288"/>
        <v>547.187404092767</v>
      </c>
      <c r="Q469" s="17" t="str">
        <f t="shared" si="289"/>
        <v>1+38993.3618593639i</v>
      </c>
      <c r="R469" s="17">
        <f t="shared" si="297"/>
        <v>38993.361872186601</v>
      </c>
      <c r="S469" s="17">
        <f t="shared" si="298"/>
        <v>1.5707706814041917</v>
      </c>
      <c r="T469" s="17" t="str">
        <f t="shared" si="290"/>
        <v>1+0.737829951738853i</v>
      </c>
      <c r="U469" s="17">
        <f t="shared" si="299"/>
        <v>1.2427361094307021</v>
      </c>
      <c r="V469" s="17">
        <f t="shared" si="300"/>
        <v>0.63566667143137023</v>
      </c>
      <c r="W469" s="31" t="str">
        <f t="shared" si="291"/>
        <v>1-12.8126000450439i</v>
      </c>
      <c r="X469" s="17">
        <f t="shared" si="301"/>
        <v>12.851564881922318</v>
      </c>
      <c r="Y469" s="17">
        <f t="shared" si="302"/>
        <v>-1.4929060562799017</v>
      </c>
      <c r="Z469" s="31" t="str">
        <f t="shared" si="292"/>
        <v>-33.6158197702777+61.3040145705472i</v>
      </c>
      <c r="AA469" s="17">
        <f t="shared" si="303"/>
        <v>69.915703109485051</v>
      </c>
      <c r="AB469" s="17">
        <f t="shared" si="304"/>
        <v>2.0723688930480675</v>
      </c>
      <c r="AC469" s="66" t="str">
        <f t="shared" si="305"/>
        <v>-0.00067453369765651+0.00313379957348415i</v>
      </c>
      <c r="AD469" s="64">
        <f t="shared" si="306"/>
        <v>-49.881887746892197</v>
      </c>
      <c r="AE469" s="61">
        <f t="shared" si="307"/>
        <v>102.14727942258686</v>
      </c>
      <c r="AF469" s="31" t="str">
        <f t="shared" si="293"/>
        <v>-0.000106860158311346</v>
      </c>
      <c r="AG469" s="31" t="str">
        <f t="shared" si="294"/>
        <v>0.0093933789675114i</v>
      </c>
      <c r="AH469" s="31">
        <f t="shared" si="308"/>
        <v>9.3933789675114E-3</v>
      </c>
      <c r="AI469" s="31">
        <f t="shared" si="309"/>
        <v>1.5707963267948966</v>
      </c>
      <c r="AJ469" s="31" t="str">
        <f t="shared" si="295"/>
        <v>1+148.29149457903i</v>
      </c>
      <c r="AK469" s="31">
        <f t="shared" si="310"/>
        <v>148.29486627824471</v>
      </c>
      <c r="AL469" s="31">
        <f t="shared" si="311"/>
        <v>1.5640529539190602</v>
      </c>
      <c r="AM469" s="31" t="str">
        <f t="shared" si="296"/>
        <v>1+951.537090215438i</v>
      </c>
      <c r="AN469" s="31">
        <f t="shared" si="312"/>
        <v>951.53761568088441</v>
      </c>
      <c r="AO469" s="31">
        <f t="shared" si="313"/>
        <v>1.5697453959986818</v>
      </c>
      <c r="AP469" s="58" t="str">
        <f t="shared" si="314"/>
        <v>-0.000415518236177447+0.0729939351545753i</v>
      </c>
      <c r="AQ469" s="49">
        <f t="shared" si="315"/>
        <v>-22.734123722829548</v>
      </c>
      <c r="AR469" s="61">
        <f t="shared" si="316"/>
        <v>90.326152906284975</v>
      </c>
      <c r="AS469" s="58" t="str">
        <f t="shared" si="317"/>
        <v>-0.000228468081802045-0.000050539019857623i</v>
      </c>
      <c r="AT469" s="64">
        <f t="shared" si="318"/>
        <v>-72.616011469721755</v>
      </c>
      <c r="AU469" s="61">
        <f t="shared" si="319"/>
        <v>-167.52656767112813</v>
      </c>
    </row>
    <row r="470" spans="14:47" x14ac:dyDescent="0.35">
      <c r="N470" s="10">
        <v>52</v>
      </c>
      <c r="O470" s="50">
        <f t="shared" si="287"/>
        <v>331131.12148259126</v>
      </c>
      <c r="P470" s="48" t="str">
        <f t="shared" si="288"/>
        <v>547.187404092767</v>
      </c>
      <c r="Q470" s="17" t="str">
        <f t="shared" si="289"/>
        <v>1+39901.6339361548i</v>
      </c>
      <c r="R470" s="17">
        <f t="shared" si="297"/>
        <v>39901.633948685616</v>
      </c>
      <c r="S470" s="17">
        <f t="shared" si="298"/>
        <v>1.5707712651645536</v>
      </c>
      <c r="T470" s="17" t="str">
        <f t="shared" si="290"/>
        <v>1+0.755016219109218i</v>
      </c>
      <c r="U470" s="17">
        <f t="shared" si="299"/>
        <v>1.2530161575646097</v>
      </c>
      <c r="V470" s="17">
        <f t="shared" si="300"/>
        <v>0.64670376673456387</v>
      </c>
      <c r="W470" s="31" t="str">
        <f t="shared" si="291"/>
        <v>1-13.1110438389895i</v>
      </c>
      <c r="X470" s="17">
        <f t="shared" si="301"/>
        <v>13.149124326277571</v>
      </c>
      <c r="Y470" s="17">
        <f t="shared" si="302"/>
        <v>-1.4946721344940661</v>
      </c>
      <c r="Z470" s="31" t="str">
        <f t="shared" si="292"/>
        <v>-35.2472130956427+62.7319685087184i</v>
      </c>
      <c r="AA470" s="17">
        <f t="shared" si="303"/>
        <v>71.955999777561871</v>
      </c>
      <c r="AB470" s="17">
        <f t="shared" si="304"/>
        <v>2.082707106229563</v>
      </c>
      <c r="AC470" s="66" t="str">
        <f t="shared" si="305"/>
        <v>-0.000657460846501659+0.0030704148912326i</v>
      </c>
      <c r="AD470" s="64">
        <f t="shared" si="306"/>
        <v>-50.061361947401423</v>
      </c>
      <c r="AE470" s="61">
        <f t="shared" si="307"/>
        <v>102.08610014357082</v>
      </c>
      <c r="AF470" s="31" t="str">
        <f t="shared" si="293"/>
        <v>-0.000106860158311346</v>
      </c>
      <c r="AG470" s="31" t="str">
        <f t="shared" si="294"/>
        <v>0.00961217887129184i</v>
      </c>
      <c r="AH470" s="31">
        <f t="shared" si="308"/>
        <v>9.6121788712918398E-3</v>
      </c>
      <c r="AI470" s="31">
        <f t="shared" si="309"/>
        <v>1.5707963267948966</v>
      </c>
      <c r="AJ470" s="31" t="str">
        <f t="shared" si="295"/>
        <v>1+151.745647217561i</v>
      </c>
      <c r="AK470" s="31">
        <f t="shared" si="310"/>
        <v>151.74894216921734</v>
      </c>
      <c r="AL470" s="31">
        <f t="shared" si="311"/>
        <v>1.5642064473302117</v>
      </c>
      <c r="AM470" s="31" t="str">
        <f t="shared" si="296"/>
        <v>1+973.70123631268i</v>
      </c>
      <c r="AN470" s="31">
        <f t="shared" si="312"/>
        <v>973.70174981707908</v>
      </c>
      <c r="AO470" s="31">
        <f t="shared" si="313"/>
        <v>1.5697693180871697</v>
      </c>
      <c r="AP470" s="58" t="str">
        <f t="shared" si="314"/>
        <v>-0.000396817647031021+0.0713325135734979i</v>
      </c>
      <c r="AQ470" s="49">
        <f t="shared" si="315"/>
        <v>-22.93411505045502</v>
      </c>
      <c r="AR470" s="61">
        <f t="shared" si="316"/>
        <v>90.318729016350417</v>
      </c>
      <c r="AS470" s="58" t="str">
        <f t="shared" si="317"/>
        <v>-0.000218759519838996-0.0000481167295696709i</v>
      </c>
      <c r="AT470" s="64">
        <f t="shared" si="318"/>
        <v>-72.995476997856429</v>
      </c>
      <c r="AU470" s="61">
        <f t="shared" si="319"/>
        <v>-167.59517084007879</v>
      </c>
    </row>
    <row r="471" spans="14:47" x14ac:dyDescent="0.35">
      <c r="N471" s="10">
        <v>53</v>
      </c>
      <c r="O471" s="50">
        <f t="shared" si="287"/>
        <v>338844.15613920329</v>
      </c>
      <c r="P471" s="48" t="str">
        <f t="shared" si="288"/>
        <v>547.187404092767</v>
      </c>
      <c r="Q471" s="17" t="str">
        <f t="shared" si="289"/>
        <v>1+40831.0623874192i</v>
      </c>
      <c r="R471" s="17">
        <f t="shared" si="297"/>
        <v>40831.062399664785</v>
      </c>
      <c r="S471" s="17">
        <f t="shared" si="298"/>
        <v>1.5707718356369074</v>
      </c>
      <c r="T471" s="17" t="str">
        <f t="shared" si="290"/>
        <v>1+0.772602806072774i</v>
      </c>
      <c r="U471" s="17">
        <f t="shared" si="299"/>
        <v>1.2636910603274538</v>
      </c>
      <c r="V471" s="17">
        <f t="shared" si="300"/>
        <v>0.65781066793942189</v>
      </c>
      <c r="W471" s="31" t="str">
        <f t="shared" si="291"/>
        <v>1-13.4164392819237i</v>
      </c>
      <c r="X471" s="17">
        <f t="shared" si="301"/>
        <v>13.453655377091586</v>
      </c>
      <c r="Y471" s="17">
        <f t="shared" si="302"/>
        <v>-1.4963984717278043</v>
      </c>
      <c r="Z471" s="31" t="str">
        <f t="shared" si="292"/>
        <v>-36.955491619732+64.1931837669486i</v>
      </c>
      <c r="AA471" s="17">
        <f t="shared" si="303"/>
        <v>74.070731081806628</v>
      </c>
      <c r="AB471" s="17">
        <f t="shared" si="304"/>
        <v>2.0931503819225825</v>
      </c>
      <c r="AC471" s="66" t="str">
        <f t="shared" si="305"/>
        <v>-0.000640849151089008+0.00300845677499779i</v>
      </c>
      <c r="AD471" s="64">
        <f t="shared" si="306"/>
        <v>-50.240400154079893</v>
      </c>
      <c r="AE471" s="61">
        <f t="shared" si="307"/>
        <v>102.02517856140865</v>
      </c>
      <c r="AF471" s="31" t="str">
        <f t="shared" si="293"/>
        <v>-0.000106860158311346</v>
      </c>
      <c r="AG471" s="31" t="str">
        <f t="shared" si="294"/>
        <v>0.00983607527954209i</v>
      </c>
      <c r="AH471" s="31">
        <f t="shared" si="308"/>
        <v>9.8360752795420905E-3</v>
      </c>
      <c r="AI471" s="31">
        <f t="shared" si="309"/>
        <v>1.5707963267948966</v>
      </c>
      <c r="AJ471" s="31" t="str">
        <f t="shared" si="295"/>
        <v>1+155.280257406838i</v>
      </c>
      <c r="AK471" s="31">
        <f t="shared" si="310"/>
        <v>155.28347735781119</v>
      </c>
      <c r="AL471" s="31">
        <f t="shared" si="311"/>
        <v>1.5643564471048148</v>
      </c>
      <c r="AM471" s="31" t="str">
        <f t="shared" si="296"/>
        <v>1+996.381651693873i</v>
      </c>
      <c r="AN471" s="31">
        <f t="shared" si="312"/>
        <v>996.38215350949076</v>
      </c>
      <c r="AO471" s="31">
        <f t="shared" si="313"/>
        <v>1.5697926956435788</v>
      </c>
      <c r="AP471" s="58" t="str">
        <f t="shared" si="314"/>
        <v>-0.000378958651586735+0.0697089023397299i</v>
      </c>
      <c r="AQ471" s="49">
        <f t="shared" si="315"/>
        <v>-23.134106768384623</v>
      </c>
      <c r="AR471" s="61">
        <f t="shared" si="316"/>
        <v>90.311474097655335</v>
      </c>
      <c r="AS471" s="58" t="str">
        <f t="shared" si="317"/>
        <v>-0.000209473364191453-0.0000458129716105726i</v>
      </c>
      <c r="AT471" s="64">
        <f t="shared" si="318"/>
        <v>-73.374506922464505</v>
      </c>
      <c r="AU471" s="61">
        <f t="shared" si="319"/>
        <v>-167.66334734093604</v>
      </c>
    </row>
    <row r="472" spans="14:47" x14ac:dyDescent="0.35">
      <c r="N472" s="10">
        <v>54</v>
      </c>
      <c r="O472" s="50">
        <f t="shared" si="287"/>
        <v>346736.85045253241</v>
      </c>
      <c r="P472" s="48" t="str">
        <f t="shared" si="288"/>
        <v>547.187404092767</v>
      </c>
      <c r="Q472" s="17" t="str">
        <f t="shared" si="289"/>
        <v>1+41782.1400084244i</v>
      </c>
      <c r="R472" s="17">
        <f t="shared" si="297"/>
        <v>41782.140020391242</v>
      </c>
      <c r="S472" s="17">
        <f t="shared" si="298"/>
        <v>1.570772393123725</v>
      </c>
      <c r="T472" s="17" t="str">
        <f t="shared" si="290"/>
        <v>1+0.790599037270716i</v>
      </c>
      <c r="U472" s="17">
        <f t="shared" si="299"/>
        <v>1.2747732495363178</v>
      </c>
      <c r="V472" s="17">
        <f t="shared" si="300"/>
        <v>0.66898230306947049</v>
      </c>
      <c r="W472" s="31" t="str">
        <f t="shared" si="291"/>
        <v>1-13.7289482985528i</v>
      </c>
      <c r="X472" s="17">
        <f t="shared" si="301"/>
        <v>13.765319516245739</v>
      </c>
      <c r="Y472" s="17">
        <f t="shared" si="302"/>
        <v>-1.4980859421257391</v>
      </c>
      <c r="Z472" s="31" t="str">
        <f t="shared" si="292"/>
        <v>-38.7442788303281+65.6884351009092i</v>
      </c>
      <c r="AA472" s="17">
        <f t="shared" si="303"/>
        <v>76.263291615878813</v>
      </c>
      <c r="AB472" s="17">
        <f t="shared" si="304"/>
        <v>2.1036960698685494</v>
      </c>
      <c r="AC472" s="66" t="str">
        <f t="shared" si="305"/>
        <v>-0.000624674681731745+0.00294788736717691i</v>
      </c>
      <c r="AD472" s="64">
        <f t="shared" si="306"/>
        <v>-50.419017930324443</v>
      </c>
      <c r="AE472" s="61">
        <f t="shared" si="307"/>
        <v>101.96432581975806</v>
      </c>
      <c r="AF472" s="31" t="str">
        <f t="shared" si="293"/>
        <v>-0.000106860158311346</v>
      </c>
      <c r="AG472" s="31" t="str">
        <f t="shared" si="294"/>
        <v>0.0100651869051014i</v>
      </c>
      <c r="AH472" s="31">
        <f t="shared" si="308"/>
        <v>1.00651869051014E-2</v>
      </c>
      <c r="AI472" s="31">
        <f t="shared" si="309"/>
        <v>1.5707963267948966</v>
      </c>
      <c r="AJ472" s="31" t="str">
        <f t="shared" si="295"/>
        <v>1+158.897199243969i</v>
      </c>
      <c r="AK472" s="31">
        <f t="shared" si="310"/>
        <v>158.90034590137799</v>
      </c>
      <c r="AL472" s="31">
        <f t="shared" si="311"/>
        <v>1.5645030327477196</v>
      </c>
      <c r="AM472" s="31" t="str">
        <f t="shared" si="296"/>
        <v>1+1019.59036181546i</v>
      </c>
      <c r="AN472" s="31">
        <f t="shared" si="312"/>
        <v>1019.5908522083655</v>
      </c>
      <c r="AO472" s="31">
        <f t="shared" si="313"/>
        <v>1.5698155410628969</v>
      </c>
      <c r="AP472" s="58" t="str">
        <f t="shared" si="314"/>
        <v>-0.000361903378175331+0.068122241333625i</v>
      </c>
      <c r="AQ472" s="49">
        <f t="shared" si="315"/>
        <v>-23.334098859053384</v>
      </c>
      <c r="AR472" s="61">
        <f t="shared" si="316"/>
        <v>90.304384305087794</v>
      </c>
      <c r="AS472" s="58" t="str">
        <f t="shared" si="317"/>
        <v>-0.000200590622773591-0.000043621089820597i</v>
      </c>
      <c r="AT472" s="64">
        <f t="shared" si="318"/>
        <v>-73.753116789377813</v>
      </c>
      <c r="AU472" s="61">
        <f t="shared" si="319"/>
        <v>-167.73128987515415</v>
      </c>
    </row>
    <row r="473" spans="14:47" x14ac:dyDescent="0.35">
      <c r="N473" s="10">
        <v>55</v>
      </c>
      <c r="O473" s="50">
        <f t="shared" si="287"/>
        <v>354813.38923357555</v>
      </c>
      <c r="P473" s="48" t="str">
        <f t="shared" si="288"/>
        <v>547.187404092767</v>
      </c>
      <c r="Q473" s="17" t="str">
        <f t="shared" si="289"/>
        <v>1+42755.3710731138i</v>
      </c>
      <c r="R473" s="17">
        <f t="shared" si="297"/>
        <v>42755.371084808241</v>
      </c>
      <c r="S473" s="17">
        <f t="shared" si="298"/>
        <v>1.5707729379205935</v>
      </c>
      <c r="T473" s="17" t="str">
        <f t="shared" si="290"/>
        <v>1+0.809014454543031i</v>
      </c>
      <c r="U473" s="17">
        <f t="shared" si="299"/>
        <v>1.2862753933973696</v>
      </c>
      <c r="V473" s="17">
        <f t="shared" si="300"/>
        <v>0.68021344178147924</v>
      </c>
      <c r="W473" s="31" t="str">
        <f t="shared" si="291"/>
        <v>1-14.0487365852938i</v>
      </c>
      <c r="X473" s="17">
        <f t="shared" si="301"/>
        <v>14.084282006654528</v>
      </c>
      <c r="Y473" s="17">
        <f t="shared" si="302"/>
        <v>-1.4997354019441378</v>
      </c>
      <c r="Z473" s="31" t="str">
        <f t="shared" si="292"/>
        <v>-40.6173689849311+67.2185153126491i</v>
      </c>
      <c r="AA473" s="17">
        <f t="shared" si="303"/>
        <v>78.537248895634761</v>
      </c>
      <c r="AB473" s="17">
        <f t="shared" si="304"/>
        <v>2.1143413013369994</v>
      </c>
      <c r="AC473" s="66" t="str">
        <f t="shared" si="305"/>
        <v>-0.000608914936043128+0.00288866949533758i</v>
      </c>
      <c r="AD473" s="64">
        <f t="shared" si="306"/>
        <v>-50.597231975652818</v>
      </c>
      <c r="AE473" s="61">
        <f t="shared" si="307"/>
        <v>101.90335753136819</v>
      </c>
      <c r="AF473" s="31" t="str">
        <f t="shared" si="293"/>
        <v>-0.000106860158311346</v>
      </c>
      <c r="AG473" s="31" t="str">
        <f t="shared" si="294"/>
        <v>0.0102996352259862i</v>
      </c>
      <c r="AH473" s="31">
        <f t="shared" si="308"/>
        <v>1.02996352259862E-2</v>
      </c>
      <c r="AI473" s="31">
        <f t="shared" si="309"/>
        <v>1.5707963267948966</v>
      </c>
      <c r="AJ473" s="31" t="str">
        <f t="shared" si="295"/>
        <v>1+162.598390479391i</v>
      </c>
      <c r="AK473" s="31">
        <f t="shared" si="310"/>
        <v>162.60146551150305</v>
      </c>
      <c r="AL473" s="31">
        <f t="shared" si="311"/>
        <v>1.5646462819553624</v>
      </c>
      <c r="AM473" s="31" t="str">
        <f t="shared" si="296"/>
        <v>1+1043.33967224276i</v>
      </c>
      <c r="AN473" s="31">
        <f t="shared" si="312"/>
        <v>1043.3401514729651</v>
      </c>
      <c r="AO473" s="31">
        <f t="shared" si="313"/>
        <v>1.569837866457972</v>
      </c>
      <c r="AP473" s="58" t="str">
        <f t="shared" si="314"/>
        <v>-0.000345615659080335+0.0665716899776195i</v>
      </c>
      <c r="AQ473" s="49">
        <f t="shared" si="315"/>
        <v>-23.534091305686399</v>
      </c>
      <c r="AR473" s="61">
        <f t="shared" si="316"/>
        <v>90.297455880985069</v>
      </c>
      <c r="AS473" s="58" t="str">
        <f t="shared" si="317"/>
        <v>-0.000192093159554476-0.0000415348657565015i</v>
      </c>
      <c r="AT473" s="64">
        <f t="shared" si="318"/>
        <v>-74.131323281339192</v>
      </c>
      <c r="AU473" s="61">
        <f t="shared" si="319"/>
        <v>-167.79918658764677</v>
      </c>
    </row>
    <row r="474" spans="14:47" x14ac:dyDescent="0.35">
      <c r="N474" s="10">
        <v>56</v>
      </c>
      <c r="O474" s="50">
        <f t="shared" si="287"/>
        <v>363078.05477010203</v>
      </c>
      <c r="P474" s="48" t="str">
        <f t="shared" si="288"/>
        <v>547.187404092767</v>
      </c>
      <c r="Q474" s="17" t="str">
        <f t="shared" si="289"/>
        <v>1+43751.2716014807i</v>
      </c>
      <c r="R474" s="17">
        <f t="shared" si="297"/>
        <v>43751.271612908939</v>
      </c>
      <c r="S474" s="17">
        <f t="shared" si="298"/>
        <v>1.5707734703163709</v>
      </c>
      <c r="T474" s="17" t="str">
        <f t="shared" si="290"/>
        <v>1+0.827858821987723i</v>
      </c>
      <c r="U474" s="17">
        <f t="shared" si="299"/>
        <v>1.2982103947908059</v>
      </c>
      <c r="V474" s="17">
        <f t="shared" si="300"/>
        <v>0.69149870618231435</v>
      </c>
      <c r="W474" s="31" t="str">
        <f t="shared" si="291"/>
        <v>1-14.3759736981294i</v>
      </c>
      <c r="X474" s="17">
        <f t="shared" si="301"/>
        <v>14.410711979958114</v>
      </c>
      <c r="Y474" s="17">
        <f t="shared" si="302"/>
        <v>-1.5013476898265772</v>
      </c>
      <c r="Z474" s="31" t="str">
        <f t="shared" si="292"/>
        <v>-42.5787351588898+68.7842356709506i</v>
      </c>
      <c r="AA474" s="17">
        <f t="shared" si="303"/>
        <v>80.8963519855361</v>
      </c>
      <c r="AB474" s="17">
        <f t="shared" si="304"/>
        <v>2.1250829893919483</v>
      </c>
      <c r="AC474" s="66" t="str">
        <f t="shared" si="305"/>
        <v>-0.000593548793587386+0.00283076667976234i</v>
      </c>
      <c r="AD474" s="64">
        <f t="shared" si="306"/>
        <v>-50.775060112616742</v>
      </c>
      <c r="AE474" s="61">
        <f t="shared" si="307"/>
        <v>101.84209436677573</v>
      </c>
      <c r="AF474" s="31" t="str">
        <f t="shared" si="293"/>
        <v>-0.000106860158311346</v>
      </c>
      <c r="AG474" s="31" t="str">
        <f t="shared" si="294"/>
        <v>0.0105395445497997i</v>
      </c>
      <c r="AH474" s="31">
        <f t="shared" si="308"/>
        <v>1.05395445497997E-2</v>
      </c>
      <c r="AI474" s="31">
        <f t="shared" si="309"/>
        <v>1.5707963267948966</v>
      </c>
      <c r="AJ474" s="31" t="str">
        <f t="shared" si="295"/>
        <v>1+166.385793533691i</v>
      </c>
      <c r="AK474" s="31">
        <f t="shared" si="310"/>
        <v>166.38879857080536</v>
      </c>
      <c r="AL474" s="31">
        <f t="shared" si="311"/>
        <v>1.564786270656839</v>
      </c>
      <c r="AM474" s="31" t="str">
        <f t="shared" si="296"/>
        <v>1+1067.64217517452i</v>
      </c>
      <c r="AN474" s="31">
        <f t="shared" si="312"/>
        <v>1067.6426434961186</v>
      </c>
      <c r="AO474" s="31">
        <f t="shared" si="313"/>
        <v>1.5698596836659353</v>
      </c>
      <c r="AP474" s="58" t="str">
        <f t="shared" si="314"/>
        <v>-0.000330060953896161+0.0650564267938375i</v>
      </c>
      <c r="AQ474" s="49">
        <f t="shared" si="315"/>
        <v>-23.734084092264208</v>
      </c>
      <c r="AR474" s="61">
        <f t="shared" si="316"/>
        <v>90.290685153147976</v>
      </c>
      <c r="AS474" s="58" t="str">
        <f t="shared" si="317"/>
        <v>-0.000183963657991398-0.0000395484891891682i</v>
      </c>
      <c r="AT474" s="64">
        <f t="shared" si="318"/>
        <v>-74.509144204880926</v>
      </c>
      <c r="AU474" s="61">
        <f t="shared" si="319"/>
        <v>-167.8672204800763</v>
      </c>
    </row>
    <row r="475" spans="14:47" x14ac:dyDescent="0.35">
      <c r="N475" s="10">
        <v>57</v>
      </c>
      <c r="O475" s="50">
        <f t="shared" si="287"/>
        <v>371535.2290971732</v>
      </c>
      <c r="P475" s="48" t="str">
        <f t="shared" si="288"/>
        <v>547.187404092767</v>
      </c>
      <c r="Q475" s="17" t="str">
        <f t="shared" si="289"/>
        <v>1+44770.3696331672i</v>
      </c>
      <c r="R475" s="17">
        <f t="shared" si="297"/>
        <v>44770.369644335304</v>
      </c>
      <c r="S475" s="17">
        <f t="shared" si="298"/>
        <v>1.5707739905933413</v>
      </c>
      <c r="T475" s="17" t="str">
        <f t="shared" si="290"/>
        <v>1+0.847142131137837i</v>
      </c>
      <c r="U475" s="17">
        <f t="shared" si="299"/>
        <v>1.3105913895447185</v>
      </c>
      <c r="V475" s="17">
        <f t="shared" si="300"/>
        <v>0.70283258250938796</v>
      </c>
      <c r="W475" s="31" t="str">
        <f t="shared" si="291"/>
        <v>1-14.7108331425083i</v>
      </c>
      <c r="X475" s="17">
        <f t="shared" si="301"/>
        <v>14.744782526260622</v>
      </c>
      <c r="Y475" s="17">
        <f t="shared" si="302"/>
        <v>-1.5029236270818274</v>
      </c>
      <c r="Z475" s="31" t="str">
        <f t="shared" si="292"/>
        <v>-44.6325376728229+70.3864263414716i</v>
      </c>
      <c r="AA475" s="17">
        <f t="shared" si="303"/>
        <v>83.344540506498461</v>
      </c>
      <c r="AB475" s="17">
        <f t="shared" si="304"/>
        <v>2.1359178300231267</v>
      </c>
      <c r="AC475" s="66" t="str">
        <f t="shared" si="305"/>
        <v>-0.000578556471362094+0.0027741431418991i</v>
      </c>
      <c r="AD475" s="64">
        <f t="shared" si="306"/>
        <v>-50.952521265511379</v>
      </c>
      <c r="AE475" s="61">
        <f t="shared" si="307"/>
        <v>101.78036264279895</v>
      </c>
      <c r="AF475" s="31" t="str">
        <f t="shared" si="293"/>
        <v>-0.000106860158311346</v>
      </c>
      <c r="AG475" s="31" t="str">
        <f t="shared" si="294"/>
        <v>0.0107850420796409i</v>
      </c>
      <c r="AH475" s="31">
        <f t="shared" si="308"/>
        <v>1.07850420796409E-2</v>
      </c>
      <c r="AI475" s="31">
        <f t="shared" si="309"/>
        <v>1.5707963267948966</v>
      </c>
      <c r="AJ475" s="31" t="str">
        <f t="shared" si="295"/>
        <v>1+170.261416538099i</v>
      </c>
      <c r="AK475" s="31">
        <f t="shared" si="310"/>
        <v>170.26435317341108</v>
      </c>
      <c r="AL475" s="31">
        <f t="shared" si="311"/>
        <v>1.5649230730540531</v>
      </c>
      <c r="AM475" s="31" t="str">
        <f t="shared" si="296"/>
        <v>1+1092.51075611946i</v>
      </c>
      <c r="AN475" s="31">
        <f t="shared" si="312"/>
        <v>1092.5112137807621</v>
      </c>
      <c r="AO475" s="31">
        <f t="shared" si="313"/>
        <v>1.569881004254476</v>
      </c>
      <c r="AP475" s="58" t="str">
        <f t="shared" si="314"/>
        <v>-0.000315206276331506+0.0635756489716178i</v>
      </c>
      <c r="AQ475" s="49">
        <f t="shared" si="315"/>
        <v>-23.934077203487849</v>
      </c>
      <c r="AR475" s="61">
        <f t="shared" si="316"/>
        <v>90.284068532900463</v>
      </c>
      <c r="AS475" s="58" t="str">
        <f t="shared" si="317"/>
        <v>-0.000176185585955413-0.0000376565304633429i</v>
      </c>
      <c r="AT475" s="64">
        <f t="shared" si="318"/>
        <v>-74.88659846899921</v>
      </c>
      <c r="AU475" s="61">
        <f t="shared" si="319"/>
        <v>-167.93556882430065</v>
      </c>
    </row>
    <row r="476" spans="14:47" x14ac:dyDescent="0.35">
      <c r="N476" s="10">
        <v>58</v>
      </c>
      <c r="O476" s="50">
        <f t="shared" si="287"/>
        <v>380189.39632056188</v>
      </c>
      <c r="P476" s="48" t="str">
        <f t="shared" si="288"/>
        <v>547.187404092767</v>
      </c>
      <c r="Q476" s="17" t="str">
        <f t="shared" si="289"/>
        <v>1+45813.205507439i</v>
      </c>
      <c r="R476" s="17">
        <f t="shared" si="297"/>
        <v>45813.205518352894</v>
      </c>
      <c r="S476" s="17">
        <f t="shared" si="298"/>
        <v>1.5707744990273618</v>
      </c>
      <c r="T476" s="17" t="str">
        <f t="shared" si="290"/>
        <v>1+0.866874606259132i</v>
      </c>
      <c r="U476" s="17">
        <f t="shared" si="299"/>
        <v>1.3234317447367374</v>
      </c>
      <c r="V476" s="17">
        <f t="shared" si="300"/>
        <v>0.71420943362127354</v>
      </c>
      <c r="W476" s="31" t="str">
        <f t="shared" si="291"/>
        <v>1-15.0534924653402i</v>
      </c>
      <c r="X476" s="17">
        <f t="shared" si="301"/>
        <v>15.08667078596382</v>
      </c>
      <c r="Y476" s="17">
        <f t="shared" si="302"/>
        <v>-1.5044640179633728</v>
      </c>
      <c r="Z476" s="31" t="str">
        <f t="shared" si="292"/>
        <v>-46.783132917221+72.0259368269134i</v>
      </c>
      <c r="AA476" s="17">
        <f t="shared" si="303"/>
        <v>85.885954039906238</v>
      </c>
      <c r="AB476" s="17">
        <f t="shared" si="304"/>
        <v>2.1468423041794598</v>
      </c>
      <c r="AC476" s="66" t="str">
        <f t="shared" si="305"/>
        <v>-0.000563919479887881+0.00271876381361685i</v>
      </c>
      <c r="AD476" s="64">
        <f t="shared" si="306"/>
        <v>-51.129635430761809</v>
      </c>
      <c r="AE476" s="61">
        <f t="shared" si="307"/>
        <v>101.71799490566457</v>
      </c>
      <c r="AF476" s="31" t="str">
        <f t="shared" si="293"/>
        <v>-0.000106860158311346</v>
      </c>
      <c r="AG476" s="31" t="str">
        <f t="shared" si="294"/>
        <v>0.0110362579815496i</v>
      </c>
      <c r="AH476" s="31">
        <f t="shared" si="308"/>
        <v>1.1036257981549599E-2</v>
      </c>
      <c r="AI476" s="31">
        <f t="shared" si="309"/>
        <v>1.5707963267948966</v>
      </c>
      <c r="AJ476" s="31" t="str">
        <f t="shared" si="295"/>
        <v>1+174.227314399231i</v>
      </c>
      <c r="AK476" s="31">
        <f t="shared" si="310"/>
        <v>174.23018418967618</v>
      </c>
      <c r="AL476" s="31">
        <f t="shared" si="311"/>
        <v>1.5650567616609523</v>
      </c>
      <c r="AM476" s="31" t="str">
        <f t="shared" si="296"/>
        <v>1+1117.95860072839i</v>
      </c>
      <c r="AN476" s="31">
        <f t="shared" si="312"/>
        <v>1117.9590479720532</v>
      </c>
      <c r="AO476" s="31">
        <f t="shared" si="313"/>
        <v>1.5699018395279747</v>
      </c>
      <c r="AP476" s="58" t="str">
        <f t="shared" si="314"/>
        <v>-0.000301020124303119+0.0621285719447235i</v>
      </c>
      <c r="AQ476" s="49">
        <f t="shared" si="315"/>
        <v>-24.134070624746688</v>
      </c>
      <c r="AR476" s="61">
        <f t="shared" si="316"/>
        <v>90.277602513192619</v>
      </c>
      <c r="AS476" s="58" t="str">
        <f t="shared" si="317"/>
        <v>-0.000168743162083073-0.000035853914598371i</v>
      </c>
      <c r="AT476" s="64">
        <f t="shared" si="318"/>
        <v>-75.263706055508479</v>
      </c>
      <c r="AU476" s="61">
        <f t="shared" si="319"/>
        <v>-168.00440258114287</v>
      </c>
    </row>
    <row r="477" spans="14:47" x14ac:dyDescent="0.35">
      <c r="N477" s="10">
        <v>59</v>
      </c>
      <c r="O477" s="50">
        <f t="shared" si="287"/>
        <v>389045.14499428123</v>
      </c>
      <c r="P477" s="48" t="str">
        <f t="shared" si="288"/>
        <v>547.187404092767</v>
      </c>
      <c r="Q477" s="17" t="str">
        <f t="shared" si="289"/>
        <v>1+46880.3321496804i</v>
      </c>
      <c r="R477" s="17">
        <f t="shared" si="297"/>
        <v>46880.332160345853</v>
      </c>
      <c r="S477" s="17">
        <f t="shared" si="298"/>
        <v>1.5707749958880111</v>
      </c>
      <c r="T477" s="17" t="str">
        <f t="shared" si="290"/>
        <v>1+0.887066709771108i</v>
      </c>
      <c r="U477" s="17">
        <f t="shared" si="299"/>
        <v>1.3367450570636643</v>
      </c>
      <c r="V477" s="17">
        <f t="shared" si="300"/>
        <v>0.72562351223619881</v>
      </c>
      <c r="W477" s="31" t="str">
        <f t="shared" si="291"/>
        <v>1-15.4041333491338i</v>
      </c>
      <c r="X477" s="17">
        <f t="shared" si="301"/>
        <v>15.436558043744601</v>
      </c>
      <c r="Y477" s="17">
        <f t="shared" si="302"/>
        <v>-1.5059696499500319</v>
      </c>
      <c r="Z477" s="31" t="str">
        <f t="shared" si="292"/>
        <v>-49.0350825929328+73.7036364174368i</v>
      </c>
      <c r="AA477" s="17">
        <f t="shared" si="303"/>
        <v>88.524941943214273</v>
      </c>
      <c r="AB477" s="17">
        <f t="shared" si="304"/>
        <v>2.1578526807364575</v>
      </c>
      <c r="AC477" s="66" t="str">
        <f t="shared" si="305"/>
        <v>-0.000549620579695559+0.00266459434714923i</v>
      </c>
      <c r="AD477" s="64">
        <f t="shared" si="306"/>
        <v>-51.306423638949411</v>
      </c>
      <c r="AE477" s="61">
        <f t="shared" si="307"/>
        <v>101.65483050341096</v>
      </c>
      <c r="AF477" s="31" t="str">
        <f t="shared" si="293"/>
        <v>-0.000106860158311346</v>
      </c>
      <c r="AG477" s="31" t="str">
        <f t="shared" si="294"/>
        <v>0.0112933254535222i</v>
      </c>
      <c r="AH477" s="31">
        <f t="shared" si="308"/>
        <v>1.1293325453522201E-2</v>
      </c>
      <c r="AI477" s="31">
        <f t="shared" si="309"/>
        <v>1.5707963267948966</v>
      </c>
      <c r="AJ477" s="31" t="str">
        <f t="shared" si="295"/>
        <v>1+178.285589888629i</v>
      </c>
      <c r="AK477" s="31">
        <f t="shared" si="310"/>
        <v>178.28839435570788</v>
      </c>
      <c r="AL477" s="31">
        <f t="shared" si="311"/>
        <v>1.5651874073418801</v>
      </c>
      <c r="AM477" s="31" t="str">
        <f t="shared" si="296"/>
        <v>1+1143.99920178536i</v>
      </c>
      <c r="AN477" s="31">
        <f t="shared" si="312"/>
        <v>1143.9996388485183</v>
      </c>
      <c r="AO477" s="31">
        <f t="shared" si="313"/>
        <v>1.5699222005334967</v>
      </c>
      <c r="AP477" s="58" t="str">
        <f t="shared" si="314"/>
        <v>-0.000287472413172357+0.0607144289780324i</v>
      </c>
      <c r="AQ477" s="49">
        <f t="shared" si="315"/>
        <v>-24.334064342087842</v>
      </c>
      <c r="AR477" s="61">
        <f t="shared" si="316"/>
        <v>90.271283666746911</v>
      </c>
      <c r="AS477" s="58" t="str">
        <f t="shared" si="317"/>
        <v>-0.000161621323490884-0.0000341358970178914i</v>
      </c>
      <c r="AT477" s="64">
        <f t="shared" si="318"/>
        <v>-75.640487981037268</v>
      </c>
      <c r="AU477" s="61">
        <f t="shared" si="319"/>
        <v>-168.07388582984211</v>
      </c>
    </row>
    <row r="478" spans="14:47" x14ac:dyDescent="0.35">
      <c r="N478" s="10">
        <v>60</v>
      </c>
      <c r="O478" s="50">
        <f t="shared" si="287"/>
        <v>398107.17055349716</v>
      </c>
      <c r="P478" s="48" t="str">
        <f t="shared" si="288"/>
        <v>547.187404092767</v>
      </c>
      <c r="Q478" s="17" t="str">
        <f t="shared" si="289"/>
        <v>1+47972.315364562i</v>
      </c>
      <c r="R478" s="17">
        <f t="shared" si="297"/>
        <v>47972.315374984675</v>
      </c>
      <c r="S478" s="17">
        <f t="shared" si="298"/>
        <v>1.5707754814387311</v>
      </c>
      <c r="T478" s="17" t="str">
        <f t="shared" si="290"/>
        <v>1+0.907729147794318i</v>
      </c>
      <c r="U478" s="17">
        <f t="shared" si="299"/>
        <v>1.350545151320532</v>
      </c>
      <c r="V478" s="17">
        <f t="shared" si="300"/>
        <v>0.7370689748479784</v>
      </c>
      <c r="W478" s="31" t="str">
        <f t="shared" si="291"/>
        <v>1-15.7629417083268i</v>
      </c>
      <c r="X478" s="17">
        <f t="shared" si="301"/>
        <v>15.79462982472551</v>
      </c>
      <c r="Y478" s="17">
        <f t="shared" si="302"/>
        <v>-1.5074412940271646</v>
      </c>
      <c r="Z478" s="31" t="str">
        <f t="shared" si="292"/>
        <v>-51.3931633871443+75.4204146515715i</v>
      </c>
      <c r="AA478" s="17">
        <f t="shared" si="303"/>
        <v>91.266073593382401</v>
      </c>
      <c r="AB478" s="17">
        <f t="shared" si="304"/>
        <v>2.1689450204230725</v>
      </c>
      <c r="AC478" s="66" t="str">
        <f t="shared" si="305"/>
        <v>-0.000535643738017085+0.00261160112558954i</v>
      </c>
      <c r="AD478" s="64">
        <f t="shared" si="306"/>
        <v>-51.482907908536497</v>
      </c>
      <c r="AE478" s="61">
        <f t="shared" si="307"/>
        <v>101.59071614209994</v>
      </c>
      <c r="AF478" s="31" t="str">
        <f t="shared" si="293"/>
        <v>-0.000106860158311346</v>
      </c>
      <c r="AG478" s="31" t="str">
        <f t="shared" si="294"/>
        <v>0.0115563807961351i</v>
      </c>
      <c r="AH478" s="31">
        <f t="shared" si="308"/>
        <v>1.15563807961351E-2</v>
      </c>
      <c r="AI478" s="31">
        <f t="shared" si="309"/>
        <v>1.5707963267948966</v>
      </c>
      <c r="AJ478" s="31" t="str">
        <f t="shared" si="295"/>
        <v>1+182.438394757674i</v>
      </c>
      <c r="AK478" s="31">
        <f t="shared" si="310"/>
        <v>182.44113538825857</v>
      </c>
      <c r="AL478" s="31">
        <f t="shared" si="311"/>
        <v>1.565315079349056</v>
      </c>
      <c r="AM478" s="31" t="str">
        <f t="shared" si="296"/>
        <v>1+1170.64636636174i</v>
      </c>
      <c r="AN478" s="31">
        <f t="shared" si="312"/>
        <v>1170.6467934761301</v>
      </c>
      <c r="AO478" s="31">
        <f t="shared" si="313"/>
        <v>1.5699420980666494</v>
      </c>
      <c r="AP478" s="58" t="str">
        <f t="shared" si="314"/>
        <v>-0.000274534411983339+0.0593324707635079i</v>
      </c>
      <c r="AQ478" s="49">
        <f t="shared" si="315"/>
        <v>-24.534058342186292</v>
      </c>
      <c r="AR478" s="61">
        <f t="shared" si="316"/>
        <v>90.265108644246126</v>
      </c>
      <c r="AS478" s="58" t="str">
        <f t="shared" si="317"/>
        <v>-0.000154805694791337-0.0000324980408049035i</v>
      </c>
      <c r="AT478" s="64">
        <f t="shared" si="318"/>
        <v>-76.016966250722774</v>
      </c>
      <c r="AU478" s="61">
        <f t="shared" si="319"/>
        <v>-168.14417521365397</v>
      </c>
    </row>
    <row r="479" spans="14:47" x14ac:dyDescent="0.35">
      <c r="N479" s="10">
        <v>61</v>
      </c>
      <c r="O479" s="50">
        <f t="shared" si="287"/>
        <v>407380.27780411334</v>
      </c>
      <c r="P479" s="48" t="str">
        <f t="shared" si="288"/>
        <v>547.187404092767</v>
      </c>
      <c r="Q479" s="17" t="str">
        <f t="shared" si="289"/>
        <v>1+49089.7341360387i</v>
      </c>
      <c r="R479" s="17">
        <f t="shared" si="297"/>
        <v>49089.734146224131</v>
      </c>
      <c r="S479" s="17">
        <f t="shared" si="298"/>
        <v>1.5707759559369676</v>
      </c>
      <c r="T479" s="17" t="str">
        <f t="shared" si="290"/>
        <v>1+0.928872875826907i</v>
      </c>
      <c r="U479" s="17">
        <f t="shared" si="299"/>
        <v>1.3648460790312396</v>
      </c>
      <c r="V479" s="17">
        <f t="shared" si="300"/>
        <v>0.74853989624129047</v>
      </c>
      <c r="W479" s="31" t="str">
        <f t="shared" si="291"/>
        <v>1-16.1301077878608i</v>
      </c>
      <c r="X479" s="17">
        <f t="shared" si="301"/>
        <v>16.161075992891302</v>
      </c>
      <c r="Y479" s="17">
        <f t="shared" si="302"/>
        <v>-1.5088797049680251</v>
      </c>
      <c r="Z479" s="31" t="str">
        <f t="shared" si="292"/>
        <v>-53.862377105374+77.1771817878619i</v>
      </c>
      <c r="AA479" s="17">
        <f t="shared" si="303"/>
        <v>94.114149075249031</v>
      </c>
      <c r="AB479" s="17">
        <f t="shared" si="304"/>
        <v>2.1801151807265637</v>
      </c>
      <c r="AC479" s="66" t="str">
        <f t="shared" si="305"/>
        <v>-0.000521974085505382+0.00255975127378549i</v>
      </c>
      <c r="AD479" s="64">
        <f t="shared" si="306"/>
        <v>-51.659111191439671</v>
      </c>
      <c r="AE479" s="61">
        <f t="shared" si="307"/>
        <v>101.52550642032537</v>
      </c>
      <c r="AF479" s="31" t="str">
        <f t="shared" si="293"/>
        <v>-0.000106860158311346</v>
      </c>
      <c r="AG479" s="31" t="str">
        <f t="shared" si="294"/>
        <v>0.011825563484813i</v>
      </c>
      <c r="AH479" s="31">
        <f t="shared" si="308"/>
        <v>1.1825563484813E-2</v>
      </c>
      <c r="AI479" s="31">
        <f t="shared" si="309"/>
        <v>1.5707963267948966</v>
      </c>
      <c r="AJ479" s="31" t="str">
        <f t="shared" si="295"/>
        <v>1+186.687930878478i</v>
      </c>
      <c r="AK479" s="31">
        <f t="shared" si="310"/>
        <v>186.69060912559951</v>
      </c>
      <c r="AL479" s="31">
        <f t="shared" si="311"/>
        <v>1.5654398453592104</v>
      </c>
      <c r="AM479" s="31" t="str">
        <f t="shared" si="296"/>
        <v>1+1197.91422313689i</v>
      </c>
      <c r="AN479" s="31">
        <f t="shared" si="312"/>
        <v>1197.9146405289732</v>
      </c>
      <c r="AO479" s="31">
        <f t="shared" si="313"/>
        <v>1.569961542677305</v>
      </c>
      <c r="AP479" s="58" t="str">
        <f t="shared" si="314"/>
        <v>-0.000262178682567892+0.0579819650252399i</v>
      </c>
      <c r="AQ479" s="49">
        <f t="shared" si="315"/>
        <v>-24.734052612316834</v>
      </c>
      <c r="AR479" s="61">
        <f t="shared" si="316"/>
        <v>90.25907417256245</v>
      </c>
      <c r="AS479" s="58" t="str">
        <f t="shared" si="317"/>
        <v>-0.000148282558351871-0.0000309361953865172i</v>
      </c>
      <c r="AT479" s="64">
        <f t="shared" si="318"/>
        <v>-76.393163803756522</v>
      </c>
      <c r="AU479" s="61">
        <f t="shared" si="319"/>
        <v>-168.21541940711217</v>
      </c>
    </row>
    <row r="480" spans="14:47" x14ac:dyDescent="0.35">
      <c r="N480" s="10">
        <v>62</v>
      </c>
      <c r="O480" s="50">
        <f t="shared" si="287"/>
        <v>416869.38347033598</v>
      </c>
      <c r="P480" s="48" t="str">
        <f t="shared" si="288"/>
        <v>547.187404092767</v>
      </c>
      <c r="Q480" s="17" t="str">
        <f t="shared" si="289"/>
        <v>1+50233.1809343338i</v>
      </c>
      <c r="R480" s="17">
        <f t="shared" si="297"/>
        <v>50233.180944287378</v>
      </c>
      <c r="S480" s="17">
        <f t="shared" si="298"/>
        <v>1.5707764196343055</v>
      </c>
      <c r="T480" s="17" t="str">
        <f t="shared" si="290"/>
        <v>1+0.950509104553347i</v>
      </c>
      <c r="U480" s="17">
        <f t="shared" si="299"/>
        <v>1.3796621172732133</v>
      </c>
      <c r="V480" s="17">
        <f t="shared" si="300"/>
        <v>0.76003028452132582</v>
      </c>
      <c r="W480" s="31" t="str">
        <f t="shared" si="291"/>
        <v>1-16.5058262640513i</v>
      </c>
      <c r="X480" s="17">
        <f t="shared" si="301"/>
        <v>16.536090851801877</v>
      </c>
      <c r="Y480" s="17">
        <f t="shared" si="302"/>
        <v>-1.5102856216148248</v>
      </c>
      <c r="Z480" s="31" t="str">
        <f t="shared" si="292"/>
        <v>-56.4479612809715+78.9748692874971i</v>
      </c>
      <c r="AA480" s="17">
        <f t="shared" si="303"/>
        <v>97.074210332895888</v>
      </c>
      <c r="AB480" s="17">
        <f t="shared" si="304"/>
        <v>2.191358821786328</v>
      </c>
      <c r="AC480" s="66" t="str">
        <f t="shared" si="305"/>
        <v>-0.000508597872828543+0.00250901266946688i</v>
      </c>
      <c r="AD480" s="64">
        <f t="shared" si="306"/>
        <v>-51.835057310700734</v>
      </c>
      <c r="AE480" s="61">
        <f t="shared" si="307"/>
        <v>101.45906433654427</v>
      </c>
      <c r="AF480" s="31" t="str">
        <f t="shared" si="293"/>
        <v>-0.000106860158311346</v>
      </c>
      <c r="AG480" s="31" t="str">
        <f t="shared" si="294"/>
        <v>0.0121010162437803i</v>
      </c>
      <c r="AH480" s="31">
        <f t="shared" si="308"/>
        <v>1.2101016243780301E-2</v>
      </c>
      <c r="AI480" s="31">
        <f t="shared" si="309"/>
        <v>1.5707963267948966</v>
      </c>
      <c r="AJ480" s="31" t="str">
        <f t="shared" si="295"/>
        <v>1+191.03645141134i</v>
      </c>
      <c r="AK480" s="31">
        <f t="shared" si="310"/>
        <v>191.03906869495901</v>
      </c>
      <c r="AL480" s="31">
        <f t="shared" si="311"/>
        <v>1.5655617715093866</v>
      </c>
      <c r="AM480" s="31" t="str">
        <f t="shared" si="296"/>
        <v>1+1225.81722988943i</v>
      </c>
      <c r="AN480" s="31">
        <f t="shared" si="312"/>
        <v>1225.8176377805125</v>
      </c>
      <c r="AO480" s="31">
        <f t="shared" si="313"/>
        <v>1.5699805446751947</v>
      </c>
      <c r="AP480" s="58" t="str">
        <f t="shared" si="314"/>
        <v>-0.000250379021388543+0.0566621961333658i</v>
      </c>
      <c r="AQ480" s="49">
        <f t="shared" si="315"/>
        <v>-24.934047140326413</v>
      </c>
      <c r="AR480" s="61">
        <f t="shared" si="316"/>
        <v>90.253177053026448</v>
      </c>
      <c r="AS480" s="58" t="str">
        <f t="shared" si="317"/>
        <v>-0.000142038825740753-0.0000294464765600561i</v>
      </c>
      <c r="AT480" s="64">
        <f t="shared" si="318"/>
        <v>-76.769104451027147</v>
      </c>
      <c r="AU480" s="61">
        <f t="shared" si="319"/>
        <v>-168.28775861042928</v>
      </c>
    </row>
    <row r="481" spans="14:47" x14ac:dyDescent="0.35">
      <c r="N481" s="10">
        <v>63</v>
      </c>
      <c r="O481" s="50">
        <f t="shared" si="287"/>
        <v>426579.51880159322</v>
      </c>
      <c r="P481" s="48" t="str">
        <f t="shared" si="288"/>
        <v>547.187404092767</v>
      </c>
      <c r="Q481" s="17" t="str">
        <f t="shared" si="289"/>
        <v>1+51403.262030075i</v>
      </c>
      <c r="R481" s="17">
        <f t="shared" si="297"/>
        <v>51403.262039802015</v>
      </c>
      <c r="S481" s="17">
        <f t="shared" si="298"/>
        <v>1.5707768727766032</v>
      </c>
      <c r="T481" s="17" t="str">
        <f t="shared" si="290"/>
        <v>1+0.972649305788495i</v>
      </c>
      <c r="U481" s="17">
        <f t="shared" si="299"/>
        <v>1.3950077677385317</v>
      </c>
      <c r="V481" s="17">
        <f t="shared" si="300"/>
        <v>0.77153409656691596</v>
      </c>
      <c r="W481" s="31" t="str">
        <f t="shared" si="291"/>
        <v>1-16.8902963478073i</v>
      </c>
      <c r="X481" s="17">
        <f t="shared" si="301"/>
        <v>16.91987324765622</v>
      </c>
      <c r="Y481" s="17">
        <f t="shared" si="302"/>
        <v>-1.5116597671591294</v>
      </c>
      <c r="Z481" s="31" t="str">
        <f t="shared" si="292"/>
        <v>-59.1554002846279+80.8144303081843i</v>
      </c>
      <c r="AA481" s="17">
        <f t="shared" si="303"/>
        <v>100.15155280309402</v>
      </c>
      <c r="AB481" s="17">
        <f t="shared" si="304"/>
        <v>2.2026714132796004</v>
      </c>
      <c r="AC481" s="66" t="str">
        <f t="shared" si="305"/>
        <v>-0.00049550242700676+0.0024593539544267i</v>
      </c>
      <c r="AD481" s="64">
        <f t="shared" si="306"/>
        <v>-52.010770890600753</v>
      </c>
      <c r="AE481" s="61">
        <f t="shared" si="307"/>
        <v>101.39126176388179</v>
      </c>
      <c r="AF481" s="31" t="str">
        <f t="shared" si="293"/>
        <v>-0.000106860158311346</v>
      </c>
      <c r="AG481" s="31" t="str">
        <f t="shared" si="294"/>
        <v>0.0123828851217359i</v>
      </c>
      <c r="AH481" s="31">
        <f t="shared" si="308"/>
        <v>1.2382885121735901E-2</v>
      </c>
      <c r="AI481" s="31">
        <f t="shared" si="309"/>
        <v>1.5707963267948966</v>
      </c>
      <c r="AJ481" s="31" t="str">
        <f t="shared" si="295"/>
        <v>1+195.486261999407i</v>
      </c>
      <c r="AK481" s="31">
        <f t="shared" si="310"/>
        <v>195.48881970716585</v>
      </c>
      <c r="AL481" s="31">
        <f t="shared" si="311"/>
        <v>1.5656809224319348</v>
      </c>
      <c r="AM481" s="31" t="str">
        <f t="shared" si="296"/>
        <v>1+1254.37018116286i</v>
      </c>
      <c r="AN481" s="31">
        <f t="shared" si="312"/>
        <v>1254.370579769211</v>
      </c>
      <c r="AO481" s="31">
        <f t="shared" si="313"/>
        <v>1.569999114135374</v>
      </c>
      <c r="AP481" s="58" t="str">
        <f t="shared" si="314"/>
        <v>-0.000239110403996495+0.0553724647266612i</v>
      </c>
      <c r="AQ481" s="49">
        <f t="shared" si="315"/>
        <v>-25.134041914609377</v>
      </c>
      <c r="AR481" s="61">
        <f t="shared" si="316"/>
        <v>90.24741415973547</v>
      </c>
      <c r="AS481" s="58" t="str">
        <f t="shared" si="317"/>
        <v>-0.000136062010306364-0.0000280252477790202i</v>
      </c>
      <c r="AT481" s="64">
        <f t="shared" si="318"/>
        <v>-77.144812805210151</v>
      </c>
      <c r="AU481" s="61">
        <f t="shared" si="319"/>
        <v>-168.36132407638272</v>
      </c>
    </row>
    <row r="482" spans="14:47" x14ac:dyDescent="0.35">
      <c r="N482" s="10">
        <v>64</v>
      </c>
      <c r="O482" s="50">
        <f t="shared" si="287"/>
        <v>436515.83224016649</v>
      </c>
      <c r="P482" s="48" t="str">
        <f t="shared" si="288"/>
        <v>547.187404092767</v>
      </c>
      <c r="Q482" s="17" t="str">
        <f t="shared" si="289"/>
        <v>1+52600.597815747i</v>
      </c>
      <c r="R482" s="17">
        <f t="shared" si="297"/>
        <v>52600.597825252604</v>
      </c>
      <c r="S482" s="17">
        <f t="shared" si="298"/>
        <v>1.5707773156041231</v>
      </c>
      <c r="T482" s="17" t="str">
        <f t="shared" si="290"/>
        <v>1+0.995305218560105i</v>
      </c>
      <c r="U482" s="17">
        <f t="shared" si="299"/>
        <v>1.4108977560734082</v>
      </c>
      <c r="V482" s="17">
        <f t="shared" si="300"/>
        <v>0.7830452538112368</v>
      </c>
      <c r="W482" s="31" t="str">
        <f t="shared" si="291"/>
        <v>1-17.2837218902564i</v>
      </c>
      <c r="X482" s="17">
        <f t="shared" si="301"/>
        <v>17.312626674763372</v>
      </c>
      <c r="Y482" s="17">
        <f t="shared" si="302"/>
        <v>-1.5130028494212382</v>
      </c>
      <c r="Z482" s="31" t="str">
        <f t="shared" si="292"/>
        <v>-61.9904369574628+82.6968402095262i</v>
      </c>
      <c r="AA482" s="17">
        <f t="shared" si="303"/>
        <v>103.35173755103045</v>
      </c>
      <c r="AB482" s="17">
        <f t="shared" si="304"/>
        <v>2.2140482422932997</v>
      </c>
      <c r="AC482" s="66" t="str">
        <f t="shared" si="305"/>
        <v>-0.000482676107384381+0.00241074454556587i</v>
      </c>
      <c r="AD482" s="64">
        <f t="shared" si="306"/>
        <v>-52.18627727965859</v>
      </c>
      <c r="AE482" s="61">
        <f t="shared" si="307"/>
        <v>101.3219798872601</v>
      </c>
      <c r="AF482" s="31" t="str">
        <f t="shared" si="293"/>
        <v>-0.000106860158311346</v>
      </c>
      <c r="AG482" s="31" t="str">
        <f t="shared" si="294"/>
        <v>0.01267131956929i</v>
      </c>
      <c r="AH482" s="31">
        <f t="shared" si="308"/>
        <v>1.2671319569289999E-2</v>
      </c>
      <c r="AI482" s="31">
        <f t="shared" si="309"/>
        <v>1.5707963267948966</v>
      </c>
      <c r="AJ482" s="31" t="str">
        <f t="shared" si="295"/>
        <v>1+200.039721991153i</v>
      </c>
      <c r="AK482" s="31">
        <f t="shared" si="310"/>
        <v>200.04222147911119</v>
      </c>
      <c r="AL482" s="31">
        <f t="shared" si="311"/>
        <v>1.5657973612887111</v>
      </c>
      <c r="AM482" s="31" t="str">
        <f t="shared" si="296"/>
        <v>1+1283.58821610989i</v>
      </c>
      <c r="AN482" s="31">
        <f t="shared" si="312"/>
        <v>1283.5886056428553</v>
      </c>
      <c r="AO482" s="31">
        <f t="shared" si="313"/>
        <v>1.5700172609035659</v>
      </c>
      <c r="AP482" s="58" t="str">
        <f t="shared" si="314"/>
        <v>-0.000228348931987205+0.054112087343631i</v>
      </c>
      <c r="AQ482" s="49">
        <f t="shared" si="315"/>
        <v>-25.334036924082326</v>
      </c>
      <c r="AR482" s="61">
        <f t="shared" si="316"/>
        <v>90.241782437900056</v>
      </c>
      <c r="AS482" s="58" t="str">
        <f t="shared" si="317"/>
        <v>-0.000130340200839225-0.0000266691026237414i</v>
      </c>
      <c r="AT482" s="64">
        <f t="shared" si="318"/>
        <v>-77.520314203740938</v>
      </c>
      <c r="AU482" s="61">
        <f t="shared" si="319"/>
        <v>-168.43623767483979</v>
      </c>
    </row>
    <row r="483" spans="14:47" x14ac:dyDescent="0.35">
      <c r="N483" s="10">
        <v>65</v>
      </c>
      <c r="O483" s="50">
        <f t="shared" si="287"/>
        <v>446683.59215096442</v>
      </c>
      <c r="P483" s="48" t="str">
        <f t="shared" si="288"/>
        <v>547.187404092767</v>
      </c>
      <c r="Q483" s="17" t="str">
        <f t="shared" si="289"/>
        <v>1+53825.8231346324i</v>
      </c>
      <c r="R483" s="17">
        <f t="shared" si="297"/>
        <v>53825.823143921625</v>
      </c>
      <c r="S483" s="17">
        <f t="shared" si="298"/>
        <v>1.5707777483516578</v>
      </c>
      <c r="T483" s="17" t="str">
        <f t="shared" si="290"/>
        <v>1+1.01848885533302i</v>
      </c>
      <c r="U483" s="17">
        <f t="shared" si="299"/>
        <v>1.427347031537028</v>
      </c>
      <c r="V483" s="17">
        <f t="shared" si="300"/>
        <v>0.79455765825031599</v>
      </c>
      <c r="W483" s="31" t="str">
        <f t="shared" si="291"/>
        <v>1-17.6863114908289i</v>
      </c>
      <c r="X483" s="17">
        <f t="shared" si="301"/>
        <v>17.71455938347399</v>
      </c>
      <c r="Y483" s="17">
        <f t="shared" si="302"/>
        <v>-1.5143155611282186</v>
      </c>
      <c r="Z483" s="31" t="str">
        <f t="shared" si="292"/>
        <v>-64.9590847923602+84.6230970701697i</v>
      </c>
      <c r="AA483" s="17">
        <f t="shared" si="303"/>
        <v>106.68060392971351</v>
      </c>
      <c r="AB483" s="17">
        <f t="shared" si="304"/>
        <v>2.2254844221673564</v>
      </c>
      <c r="AC483" s="66" t="str">
        <f t="shared" si="305"/>
        <v>-0.000470108261155464+0.00236315464560323i</v>
      </c>
      <c r="AD483" s="64">
        <f t="shared" si="306"/>
        <v>-52.361602467049444</v>
      </c>
      <c r="AE483" s="61">
        <f t="shared" si="307"/>
        <v>101.2511095979965</v>
      </c>
      <c r="AF483" s="31" t="str">
        <f t="shared" si="293"/>
        <v>-0.000106860158311346</v>
      </c>
      <c r="AG483" s="31" t="str">
        <f t="shared" si="294"/>
        <v>0.0129664725182045i</v>
      </c>
      <c r="AH483" s="31">
        <f t="shared" si="308"/>
        <v>1.29664725182045E-2</v>
      </c>
      <c r="AI483" s="31">
        <f t="shared" si="309"/>
        <v>1.5707963267948966</v>
      </c>
      <c r="AJ483" s="31" t="str">
        <f t="shared" si="295"/>
        <v>1+204.699245691337i</v>
      </c>
      <c r="AK483" s="31">
        <f t="shared" si="310"/>
        <v>204.70168828468988</v>
      </c>
      <c r="AL483" s="31">
        <f t="shared" si="311"/>
        <v>1.5659111498045013</v>
      </c>
      <c r="AM483" s="31" t="str">
        <f t="shared" si="296"/>
        <v>1+1313.48682651941i</v>
      </c>
      <c r="AN483" s="31">
        <f t="shared" si="312"/>
        <v>1313.487207185525</v>
      </c>
      <c r="AO483" s="31">
        <f t="shared" si="313"/>
        <v>1.5700349946013785</v>
      </c>
      <c r="AP483" s="58" t="str">
        <f t="shared" si="314"/>
        <v>-0.000218071782341303+0.0528803960619024i</v>
      </c>
      <c r="AQ483" s="49">
        <f t="shared" si="315"/>
        <v>-25.534032158160297</v>
      </c>
      <c r="AR483" s="61">
        <f t="shared" si="316"/>
        <v>90.236278902228051</v>
      </c>
      <c r="AS483" s="58" t="str">
        <f t="shared" si="317"/>
        <v>-0.00012486203626862-0.000025374848387388i</v>
      </c>
      <c r="AT483" s="64">
        <f t="shared" si="318"/>
        <v>-77.895634625209738</v>
      </c>
      <c r="AU483" s="61">
        <f t="shared" si="319"/>
        <v>-168.51261149977546</v>
      </c>
    </row>
    <row r="484" spans="14:47" x14ac:dyDescent="0.35">
      <c r="N484" s="10">
        <v>66</v>
      </c>
      <c r="O484" s="50">
        <f t="shared" ref="O484:O518" si="320">10^(5+(N484/100))</f>
        <v>457088.18961487547</v>
      </c>
      <c r="P484" s="48" t="str">
        <f t="shared" si="288"/>
        <v>547.187404092767</v>
      </c>
      <c r="Q484" s="17" t="str">
        <f t="shared" si="289"/>
        <v>1+55079.5876174125i</v>
      </c>
      <c r="R484" s="17">
        <f t="shared" si="297"/>
        <v>55079.587626490276</v>
      </c>
      <c r="S484" s="17">
        <f t="shared" si="298"/>
        <v>1.5707781712486562</v>
      </c>
      <c r="T484" s="17" t="str">
        <f t="shared" si="290"/>
        <v>1+1.04221250837833i</v>
      </c>
      <c r="U484" s="17">
        <f t="shared" si="299"/>
        <v>1.4443707670194141</v>
      </c>
      <c r="V484" s="17">
        <f t="shared" si="300"/>
        <v>0.80606520857684871</v>
      </c>
      <c r="W484" s="31" t="str">
        <f t="shared" si="291"/>
        <v>1-18.0982786078597i</v>
      </c>
      <c r="X484" s="17">
        <f t="shared" si="301"/>
        <v>18.125884490631403</v>
      </c>
      <c r="Y484" s="17">
        <f t="shared" si="302"/>
        <v>-1.5155985801903074</v>
      </c>
      <c r="Z484" s="31" t="str">
        <f t="shared" si="292"/>
        <v>-68.0676406893899+86.5942222169984i</v>
      </c>
      <c r="AA484" s="17">
        <f t="shared" si="303"/>
        <v>110.14428278574783</v>
      </c>
      <c r="AB484" s="17">
        <f t="shared" si="304"/>
        <v>2.2369749022856702</v>
      </c>
      <c r="AC484" s="66" t="str">
        <f t="shared" si="305"/>
        <v>-0.000457789178387998+0.00231655525324837i</v>
      </c>
      <c r="AD484" s="64">
        <f t="shared" si="306"/>
        <v>-52.536772993063764</v>
      </c>
      <c r="AE484" s="61">
        <f t="shared" si="307"/>
        <v>101.17855184137696</v>
      </c>
      <c r="AF484" s="31" t="str">
        <f t="shared" si="293"/>
        <v>-0.000106860158311346</v>
      </c>
      <c r="AG484" s="31" t="str">
        <f t="shared" si="294"/>
        <v>0.0132685004624796i</v>
      </c>
      <c r="AH484" s="31">
        <f t="shared" si="308"/>
        <v>1.3268500462479601E-2</v>
      </c>
      <c r="AI484" s="31">
        <f t="shared" si="309"/>
        <v>1.5707963267948966</v>
      </c>
      <c r="AJ484" s="31" t="str">
        <f t="shared" si="295"/>
        <v>1+209.467303641101i</v>
      </c>
      <c r="AK484" s="31">
        <f t="shared" si="310"/>
        <v>209.46969063488208</v>
      </c>
      <c r="AL484" s="31">
        <f t="shared" si="311"/>
        <v>1.5660223482996898</v>
      </c>
      <c r="AM484" s="31" t="str">
        <f t="shared" si="296"/>
        <v>1+1344.0818650304i</v>
      </c>
      <c r="AN484" s="31">
        <f t="shared" si="312"/>
        <v>1344.0822370314991</v>
      </c>
      <c r="AO484" s="31">
        <f t="shared" si="313"/>
        <v>1.5700523246314091</v>
      </c>
      <c r="AP484" s="58" t="str">
        <f t="shared" si="314"/>
        <v>-0.000208257159043637+0.051676738145733i</v>
      </c>
      <c r="AQ484" s="49">
        <f t="shared" si="315"/>
        <v>-25.734027606734902</v>
      </c>
      <c r="AR484" s="61">
        <f t="shared" si="316"/>
        <v>90.230900635345122</v>
      </c>
      <c r="AS484" s="58" t="str">
        <f t="shared" si="317"/>
        <v>-0.000119616681348506-0.0000241394907133159i</v>
      </c>
      <c r="AT484" s="64">
        <f t="shared" si="318"/>
        <v>-78.270800599798676</v>
      </c>
      <c r="AU484" s="61">
        <f t="shared" si="319"/>
        <v>-168.59054752327791</v>
      </c>
    </row>
    <row r="485" spans="14:47" x14ac:dyDescent="0.35">
      <c r="N485" s="10">
        <v>67</v>
      </c>
      <c r="O485" s="50">
        <f t="shared" si="320"/>
        <v>467735.14128719864</v>
      </c>
      <c r="P485" s="48" t="str">
        <f t="shared" si="288"/>
        <v>547.187404092767</v>
      </c>
      <c r="Q485" s="17" t="str">
        <f t="shared" si="289"/>
        <v>1+56362.5560266119i</v>
      </c>
      <c r="R485" s="17">
        <f t="shared" si="297"/>
        <v>56362.55603548303</v>
      </c>
      <c r="S485" s="17">
        <f t="shared" si="298"/>
        <v>1.5707785845193436</v>
      </c>
      <c r="T485" s="17" t="str">
        <f t="shared" si="290"/>
        <v>1+1.06648875629089i</v>
      </c>
      <c r="U485" s="17">
        <f t="shared" si="299"/>
        <v>1.4619843594563142</v>
      </c>
      <c r="V485" s="17">
        <f t="shared" si="300"/>
        <v>0.81756181633534009</v>
      </c>
      <c r="W485" s="31" t="str">
        <f t="shared" si="291"/>
        <v>1-18.5198416717675i</v>
      </c>
      <c r="X485" s="17">
        <f t="shared" si="301"/>
        <v>18.546820092601756</v>
      </c>
      <c r="Y485" s="17">
        <f t="shared" si="302"/>
        <v>-1.5168525699754165</v>
      </c>
      <c r="Z485" s="31" t="str">
        <f t="shared" si="292"/>
        <v>-71.3226983123819+88.6112607666568i</v>
      </c>
      <c r="AA485" s="17">
        <f t="shared" si="303"/>
        <v>113.7492102355682</v>
      </c>
      <c r="AB485" s="17">
        <f t="shared" si="304"/>
        <v>2.2485144787815985</v>
      </c>
      <c r="AC485" s="66" t="str">
        <f t="shared" si="305"/>
        <v>-0.00044571004651975+0.00227091817263147i</v>
      </c>
      <c r="AD485" s="64">
        <f t="shared" si="306"/>
        <v>-52.71181585431183</v>
      </c>
      <c r="AE485" s="61">
        <f t="shared" si="307"/>
        <v>101.10421791316553</v>
      </c>
      <c r="AF485" s="31" t="str">
        <f t="shared" si="293"/>
        <v>-0.000106860158311346</v>
      </c>
      <c r="AG485" s="31" t="str">
        <f t="shared" si="294"/>
        <v>0.0135775635413293i</v>
      </c>
      <c r="AH485" s="31">
        <f t="shared" si="308"/>
        <v>1.35775635413293E-2</v>
      </c>
      <c r="AI485" s="31">
        <f t="shared" si="309"/>
        <v>1.5707963267948966</v>
      </c>
      <c r="AJ485" s="31" t="str">
        <f t="shared" si="295"/>
        <v>1+214.346423927884i</v>
      </c>
      <c r="AK485" s="31">
        <f t="shared" si="310"/>
        <v>214.34875658765122</v>
      </c>
      <c r="AL485" s="31">
        <f t="shared" si="311"/>
        <v>1.5661310157221844</v>
      </c>
      <c r="AM485" s="31" t="str">
        <f t="shared" si="296"/>
        <v>1+1375.38955353725i</v>
      </c>
      <c r="AN485" s="31">
        <f t="shared" si="312"/>
        <v>1375.3899170705727</v>
      </c>
      <c r="AO485" s="31">
        <f t="shared" si="313"/>
        <v>1.570069260182227</v>
      </c>
      <c r="AP485" s="58" t="str">
        <f t="shared" si="314"/>
        <v>-0.000198884246878145+0.0505004757014652i</v>
      </c>
      <c r="AQ485" s="49">
        <f t="shared" si="315"/>
        <v>-25.934023260152813</v>
      </c>
      <c r="AR485" s="61">
        <f t="shared" si="316"/>
        <v>90.225644786251209</v>
      </c>
      <c r="AS485" s="58" t="str">
        <f t="shared" si="317"/>
        <v>-0.000114593803290063-0.0000229602192246553i</v>
      </c>
      <c r="AT485" s="64">
        <f t="shared" si="318"/>
        <v>-78.645839114464664</v>
      </c>
      <c r="AU485" s="61">
        <f t="shared" si="319"/>
        <v>-168.67013730058321</v>
      </c>
    </row>
    <row r="486" spans="14:47" x14ac:dyDescent="0.35">
      <c r="N486" s="10">
        <v>68</v>
      </c>
      <c r="O486" s="50">
        <f t="shared" si="320"/>
        <v>478630.09232263872</v>
      </c>
      <c r="P486" s="48" t="str">
        <f t="shared" si="288"/>
        <v>547.187404092767</v>
      </c>
      <c r="Q486" s="17" t="str">
        <f t="shared" si="289"/>
        <v>1+57675.4086090634i</v>
      </c>
      <c r="R486" s="17">
        <f t="shared" si="297"/>
        <v>57675.408617732617</v>
      </c>
      <c r="S486" s="17">
        <f t="shared" si="298"/>
        <v>1.5707789883828418</v>
      </c>
      <c r="T486" s="17" t="str">
        <f t="shared" si="290"/>
        <v>1+1.09133047065868i</v>
      </c>
      <c r="U486" s="17">
        <f t="shared" si="299"/>
        <v>1.480203430677046</v>
      </c>
      <c r="V486" s="17">
        <f t="shared" si="300"/>
        <v>0.8290414219943405</v>
      </c>
      <c r="W486" s="31" t="str">
        <f t="shared" si="291"/>
        <v>1-18.9512242008688i</v>
      </c>
      <c r="X486" s="17">
        <f t="shared" si="301"/>
        <v>18.977589380940756</v>
      </c>
      <c r="Y486" s="17">
        <f t="shared" si="302"/>
        <v>-1.5180781795814948</v>
      </c>
      <c r="Z486" s="31" t="str">
        <f t="shared" si="292"/>
        <v>-74.7311620749678+90.6752821796825i</v>
      </c>
      <c r="AA486" s="17">
        <f t="shared" si="303"/>
        <v>117.50214203766735</v>
      </c>
      <c r="AB486" s="17">
        <f t="shared" si="304"/>
        <v>2.2600978061154735</v>
      </c>
      <c r="AC486" s="66" t="str">
        <f t="shared" si="305"/>
        <v>-0.000433862904326747+0.00222621602178701i</v>
      </c>
      <c r="AD486" s="64">
        <f t="shared" si="306"/>
        <v>-52.88675840444732</v>
      </c>
      <c r="AE486" s="61">
        <f t="shared" si="307"/>
        <v>101.02802970151812</v>
      </c>
      <c r="AF486" s="31" t="str">
        <f t="shared" si="293"/>
        <v>-0.000106860158311346</v>
      </c>
      <c r="AG486" s="31" t="str">
        <f t="shared" si="294"/>
        <v>0.0138938256240889i</v>
      </c>
      <c r="AH486" s="31">
        <f t="shared" si="308"/>
        <v>1.3893825624088901E-2</v>
      </c>
      <c r="AI486" s="31">
        <f t="shared" si="309"/>
        <v>1.5707963267948966</v>
      </c>
      <c r="AJ486" s="31" t="str">
        <f t="shared" si="295"/>
        <v>1+219.339193525843i</v>
      </c>
      <c r="AK486" s="31">
        <f t="shared" si="310"/>
        <v>219.34147308834963</v>
      </c>
      <c r="AL486" s="31">
        <f t="shared" si="311"/>
        <v>1.5662372096786195</v>
      </c>
      <c r="AM486" s="31" t="str">
        <f t="shared" si="296"/>
        <v>1+1407.42649179082i</v>
      </c>
      <c r="AN486" s="31">
        <f t="shared" si="312"/>
        <v>1407.4268470491158</v>
      </c>
      <c r="AO486" s="31">
        <f t="shared" si="313"/>
        <v>1.5700858102332469</v>
      </c>
      <c r="AP486" s="58" t="str">
        <f t="shared" si="314"/>
        <v>-0.000189933167300767+0.0493509853407493i</v>
      </c>
      <c r="AQ486" s="49">
        <f t="shared" si="315"/>
        <v>-26.134019109194821</v>
      </c>
      <c r="AR486" s="61">
        <f t="shared" si="316"/>
        <v>90.220508568811866</v>
      </c>
      <c r="AS486" s="58" t="str">
        <f t="shared" si="317"/>
        <v>-0.000109783549300959-0.0000218343940914379i</v>
      </c>
      <c r="AT486" s="64">
        <f t="shared" si="318"/>
        <v>-79.02077751364213</v>
      </c>
      <c r="AU486" s="61">
        <f t="shared" si="319"/>
        <v>-168.75146172967004</v>
      </c>
    </row>
    <row r="487" spans="14:47" x14ac:dyDescent="0.35">
      <c r="N487" s="10">
        <v>69</v>
      </c>
      <c r="O487" s="50">
        <f t="shared" si="320"/>
        <v>489778.81936844654</v>
      </c>
      <c r="P487" s="48" t="str">
        <f t="shared" si="288"/>
        <v>547.187404092767</v>
      </c>
      <c r="Q487" s="17" t="str">
        <f t="shared" si="289"/>
        <v>1+59018.8414565838i</v>
      </c>
      <c r="R487" s="17">
        <f t="shared" si="297"/>
        <v>59018.841465055673</v>
      </c>
      <c r="S487" s="17">
        <f t="shared" si="298"/>
        <v>1.5707793830532841</v>
      </c>
      <c r="T487" s="17" t="str">
        <f t="shared" si="290"/>
        <v>1+1.11675082288749i</v>
      </c>
      <c r="U487" s="17">
        <f t="shared" si="299"/>
        <v>1.4990438287187891</v>
      </c>
      <c r="V487" s="17">
        <f t="shared" si="300"/>
        <v>0.84049801083249709</v>
      </c>
      <c r="W487" s="31" t="str">
        <f t="shared" si="291"/>
        <v>1-19.3926549198905i</v>
      </c>
      <c r="X487" s="17">
        <f t="shared" si="301"/>
        <v>19.418420760760988</v>
      </c>
      <c r="Y487" s="17">
        <f t="shared" si="302"/>
        <v>-1.5192760441065367</v>
      </c>
      <c r="Z487" s="31" t="str">
        <f t="shared" si="292"/>
        <v>-78.3002617857686+92.7873808275492i</v>
      </c>
      <c r="AA487" s="17">
        <f t="shared" si="303"/>
        <v>121.41016858795862</v>
      </c>
      <c r="AB487" s="17">
        <f t="shared" si="304"/>
        <v>2.271719409472631</v>
      </c>
      <c r="AC487" s="66" t="str">
        <f t="shared" si="305"/>
        <v>-0.000422240595393555+0.00218242223999171i</v>
      </c>
      <c r="AD487" s="64">
        <f t="shared" si="306"/>
        <v>-53.061628251248663</v>
      </c>
      <c r="AE487" s="61">
        <f t="shared" si="307"/>
        <v>100.94991987135717</v>
      </c>
      <c r="AF487" s="31" t="str">
        <f t="shared" si="293"/>
        <v>-0.000106860158311346</v>
      </c>
      <c r="AG487" s="31" t="str">
        <f t="shared" si="294"/>
        <v>0.014217454397101i</v>
      </c>
      <c r="AH487" s="31">
        <f t="shared" si="308"/>
        <v>1.4217454397101001E-2</v>
      </c>
      <c r="AI487" s="31">
        <f t="shared" si="309"/>
        <v>1.5707963267948966</v>
      </c>
      <c r="AJ487" s="31" t="str">
        <f t="shared" si="295"/>
        <v>1+224.448259667508i</v>
      </c>
      <c r="AK487" s="31">
        <f t="shared" si="310"/>
        <v>224.45048734135798</v>
      </c>
      <c r="AL487" s="31">
        <f t="shared" si="311"/>
        <v>1.5663409864648501</v>
      </c>
      <c r="AM487" s="31" t="str">
        <f t="shared" si="296"/>
        <v>1+1440.20966619984i</v>
      </c>
      <c r="AN487" s="31">
        <f t="shared" si="312"/>
        <v>1440.2100133714716</v>
      </c>
      <c r="AO487" s="31">
        <f t="shared" si="313"/>
        <v>1.570101983559488</v>
      </c>
      <c r="AP487" s="58" t="str">
        <f t="shared" si="314"/>
        <v>-0.000181384936296923+0.048227657851355i</v>
      </c>
      <c r="AQ487" s="49">
        <f t="shared" si="315"/>
        <v>-26.334015145056881</v>
      </c>
      <c r="AR487" s="61">
        <f t="shared" si="316"/>
        <v>90.215489260283718</v>
      </c>
      <c r="AS487" s="58" t="str">
        <f t="shared" si="317"/>
        <v>-0.000105176524994011-0.0000207595334845667i</v>
      </c>
      <c r="AT487" s="64">
        <f t="shared" si="318"/>
        <v>-79.395643396305516</v>
      </c>
      <c r="AU487" s="61">
        <f t="shared" si="319"/>
        <v>-168.83459086835916</v>
      </c>
    </row>
    <row r="488" spans="14:47" x14ac:dyDescent="0.35">
      <c r="N488" s="10">
        <v>70</v>
      </c>
      <c r="O488" s="50">
        <f t="shared" si="320"/>
        <v>501187.23362727347</v>
      </c>
      <c r="P488" s="48" t="str">
        <f t="shared" si="288"/>
        <v>547.187404092767</v>
      </c>
      <c r="Q488" s="17" t="str">
        <f t="shared" si="289"/>
        <v>1+60393.5668750511i</v>
      </c>
      <c r="R488" s="17">
        <f t="shared" si="297"/>
        <v>60393.566883330132</v>
      </c>
      <c r="S488" s="17">
        <f t="shared" si="298"/>
        <v>1.5707797687399307</v>
      </c>
      <c r="T488" s="17" t="str">
        <f t="shared" si="290"/>
        <v>1+1.14276329118453i</v>
      </c>
      <c r="U488" s="17">
        <f t="shared" si="299"/>
        <v>1.5185216296381487</v>
      </c>
      <c r="V488" s="17">
        <f t="shared" si="300"/>
        <v>0.85192562853738674</v>
      </c>
      <c r="W488" s="31" t="str">
        <f t="shared" si="291"/>
        <v>1-19.8443678812428i</v>
      </c>
      <c r="X488" s="17">
        <f t="shared" si="301"/>
        <v>19.869547971861383</v>
      </c>
      <c r="Y488" s="17">
        <f t="shared" si="302"/>
        <v>-1.5204467849160384</v>
      </c>
      <c r="Z488" s="31" t="str">
        <f t="shared" si="292"/>
        <v>-82.0375679837884+94.9486765729168i</v>
      </c>
      <c r="AA488" s="17">
        <f t="shared" si="303"/>
        <v>125.48073056705982</v>
      </c>
      <c r="AB488" s="17">
        <f t="shared" si="304"/>
        <v>2.2833736979215633</v>
      </c>
      <c r="AC488" s="66" t="str">
        <f t="shared" si="305"/>
        <v>-0.000410836721141398+0.00213951109376552i</v>
      </c>
      <c r="AD488" s="64">
        <f t="shared" si="306"/>
        <v>-53.236453150947469</v>
      </c>
      <c r="AE488" s="61">
        <f t="shared" si="307"/>
        <v>100.86983198887904</v>
      </c>
      <c r="AF488" s="31" t="str">
        <f t="shared" si="293"/>
        <v>-0.000106860158311346</v>
      </c>
      <c r="AG488" s="31" t="str">
        <f t="shared" si="294"/>
        <v>0.0145486214526246i</v>
      </c>
      <c r="AH488" s="31">
        <f t="shared" si="308"/>
        <v>1.45486214526246E-2</v>
      </c>
      <c r="AI488" s="31">
        <f t="shared" si="309"/>
        <v>1.5707963267948966</v>
      </c>
      <c r="AJ488" s="31" t="str">
        <f t="shared" si="295"/>
        <v>1+229.676331247372i</v>
      </c>
      <c r="AK488" s="31">
        <f t="shared" si="310"/>
        <v>229.67850821366059</v>
      </c>
      <c r="AL488" s="31">
        <f t="shared" si="311"/>
        <v>1.5664424010957556</v>
      </c>
      <c r="AM488" s="31" t="str">
        <f t="shared" si="296"/>
        <v>1+1473.7564588373i</v>
      </c>
      <c r="AN488" s="31">
        <f t="shared" si="312"/>
        <v>1473.7567981063426</v>
      </c>
      <c r="AO488" s="31">
        <f t="shared" si="313"/>
        <v>1.5701177887362288</v>
      </c>
      <c r="AP488" s="58" t="str">
        <f t="shared" si="314"/>
        <v>-0.000173221424134485+0.047129897875416i</v>
      </c>
      <c r="AQ488" s="49">
        <f t="shared" si="315"/>
        <v>-26.534011359330933</v>
      </c>
      <c r="AR488" s="61">
        <f t="shared" si="316"/>
        <v>90.210584199873651</v>
      </c>
      <c r="AS488" s="58" t="str">
        <f t="shared" si="317"/>
        <v>-0.000100763773630566-0.0000197333018694784i</v>
      </c>
      <c r="AT488" s="64">
        <f t="shared" si="318"/>
        <v>-79.770464510278373</v>
      </c>
      <c r="AU488" s="61">
        <f t="shared" si="319"/>
        <v>-168.91958381124735</v>
      </c>
    </row>
    <row r="489" spans="14:47" x14ac:dyDescent="0.35">
      <c r="N489" s="10">
        <v>71</v>
      </c>
      <c r="O489" s="50">
        <f t="shared" si="320"/>
        <v>512861.38399136515</v>
      </c>
      <c r="P489" s="48" t="str">
        <f t="shared" si="288"/>
        <v>547.187404092767</v>
      </c>
      <c r="Q489" s="17" t="str">
        <f t="shared" si="289"/>
        <v>1+61800.3137620787i</v>
      </c>
      <c r="R489" s="17">
        <f t="shared" si="297"/>
        <v>61800.313770169283</v>
      </c>
      <c r="S489" s="17">
        <f t="shared" si="298"/>
        <v>1.5707801456472772</v>
      </c>
      <c r="T489" s="17" t="str">
        <f t="shared" si="290"/>
        <v>1+1.16938166770482i</v>
      </c>
      <c r="U489" s="17">
        <f t="shared" si="299"/>
        <v>1.538653139847999</v>
      </c>
      <c r="V489" s="17">
        <f t="shared" si="300"/>
        <v>0.86331839641958552</v>
      </c>
      <c r="W489" s="31" t="str">
        <f t="shared" si="291"/>
        <v>1-20.306602589117i</v>
      </c>
      <c r="X489" s="17">
        <f t="shared" si="301"/>
        <v>20.331210212683679</v>
      </c>
      <c r="Y489" s="17">
        <f t="shared" si="302"/>
        <v>-1.5215910099077294</v>
      </c>
      <c r="Z489" s="31" t="str">
        <f t="shared" si="292"/>
        <v>-85.9510079965413+97.1603153633972i</v>
      </c>
      <c r="AA489" s="17">
        <f t="shared" si="303"/>
        <v>129.72163527005165</v>
      </c>
      <c r="AB489" s="17">
        <f t="shared" si="304"/>
        <v>2.2950549782634391</v>
      </c>
      <c r="AC489" s="66" t="str">
        <f t="shared" si="305"/>
        <v>-0.000399645593497559+0.00209745768135586i</v>
      </c>
      <c r="AD489" s="64">
        <f t="shared" si="306"/>
        <v>-53.411260900730291</v>
      </c>
      <c r="AE489" s="61">
        <f t="shared" si="307"/>
        <v>100.78772058456515</v>
      </c>
      <c r="AF489" s="31" t="str">
        <f t="shared" si="293"/>
        <v>-0.000106860158311346</v>
      </c>
      <c r="AG489" s="31" t="str">
        <f t="shared" si="294"/>
        <v>0.0148875023798162i</v>
      </c>
      <c r="AH489" s="31">
        <f t="shared" si="308"/>
        <v>1.48875023798162E-2</v>
      </c>
      <c r="AI489" s="31">
        <f t="shared" si="309"/>
        <v>1.5707963267948966</v>
      </c>
      <c r="AJ489" s="31" t="str">
        <f t="shared" si="295"/>
        <v>1+235.026180258188i</v>
      </c>
      <c r="AK489" s="31">
        <f t="shared" si="310"/>
        <v>235.02830767112772</v>
      </c>
      <c r="AL489" s="31">
        <f t="shared" si="311"/>
        <v>1.5665415073343669</v>
      </c>
      <c r="AM489" s="31" t="str">
        <f t="shared" si="296"/>
        <v>1+1508.0846566567i</v>
      </c>
      <c r="AN489" s="31">
        <f t="shared" si="312"/>
        <v>1508.0849882030379</v>
      </c>
      <c r="AO489" s="31">
        <f t="shared" si="313"/>
        <v>1.570133234143551</v>
      </c>
      <c r="AP489" s="58" t="str">
        <f t="shared" si="314"/>
        <v>-0.00016542531692695+0.0460571235949314i</v>
      </c>
      <c r="AQ489" s="49">
        <f t="shared" si="315"/>
        <v>-26.73400774398754</v>
      </c>
      <c r="AR489" s="61">
        <f t="shared" si="316"/>
        <v>90.20579078733023</v>
      </c>
      <c r="AS489" s="58" t="str">
        <f t="shared" si="317"/>
        <v>-0.0000965367561663823-0.0000187534990955659i</v>
      </c>
      <c r="AT489" s="64">
        <f t="shared" si="318"/>
        <v>-80.145268644717831</v>
      </c>
      <c r="AU489" s="61">
        <f t="shared" si="319"/>
        <v>-169.00648862810465</v>
      </c>
    </row>
    <row r="490" spans="14:47" x14ac:dyDescent="0.35">
      <c r="N490" s="10">
        <v>72</v>
      </c>
      <c r="O490" s="50">
        <f t="shared" si="320"/>
        <v>524807.46024977288</v>
      </c>
      <c r="P490" s="48" t="str">
        <f t="shared" si="288"/>
        <v>547.187404092767</v>
      </c>
      <c r="Q490" s="17" t="str">
        <f t="shared" si="289"/>
        <v>1+63239.8279934871i</v>
      </c>
      <c r="R490" s="17">
        <f t="shared" si="297"/>
        <v>63239.828001393515</v>
      </c>
      <c r="S490" s="17">
        <f t="shared" si="298"/>
        <v>1.5707805139751649</v>
      </c>
      <c r="T490" s="17" t="str">
        <f t="shared" si="290"/>
        <v>1+1.19662006586393i</v>
      </c>
      <c r="U490" s="17">
        <f t="shared" si="299"/>
        <v>1.559454899004199</v>
      </c>
      <c r="V490" s="17">
        <f t="shared" si="300"/>
        <v>0.87467052614879692</v>
      </c>
      <c r="W490" s="31" t="str">
        <f t="shared" si="291"/>
        <v>1-20.7796041264737i</v>
      </c>
      <c r="X490" s="17">
        <f t="shared" si="301"/>
        <v>20.803652267161233</v>
      </c>
      <c r="Y490" s="17">
        <f t="shared" si="302"/>
        <v>-1.5227093137734193</v>
      </c>
      <c r="Z490" s="31" t="str">
        <f t="shared" si="292"/>
        <v>-90.0488827549809+99.4234698391527i</v>
      </c>
      <c r="AA490" s="17">
        <f t="shared" si="303"/>
        <v>134.14107365112747</v>
      </c>
      <c r="AB490" s="17">
        <f t="shared" si="304"/>
        <v>2.3067574694965201</v>
      </c>
      <c r="AC490" s="66" t="str">
        <f t="shared" si="305"/>
        <v>-0.000388662187313058+0.00205623793553991i</v>
      </c>
      <c r="AD490" s="64">
        <f t="shared" si="306"/>
        <v>-53.58607923036719</v>
      </c>
      <c r="AE490" s="61">
        <f t="shared" si="307"/>
        <v>100.70355115373881</v>
      </c>
      <c r="AF490" s="31" t="str">
        <f t="shared" si="293"/>
        <v>-0.000106860158311346</v>
      </c>
      <c r="AG490" s="31" t="str">
        <f t="shared" si="294"/>
        <v>0.015234276857829i</v>
      </c>
      <c r="AH490" s="31">
        <f t="shared" si="308"/>
        <v>1.5234276857829E-2</v>
      </c>
      <c r="AI490" s="31">
        <f t="shared" si="309"/>
        <v>1.5707963267948966</v>
      </c>
      <c r="AJ490" s="31" t="str">
        <f t="shared" si="295"/>
        <v>1+240.500643260718i</v>
      </c>
      <c r="AK490" s="31">
        <f t="shared" si="310"/>
        <v>240.50272224825054</v>
      </c>
      <c r="AL490" s="31">
        <f t="shared" si="311"/>
        <v>1.5666383577203316</v>
      </c>
      <c r="AM490" s="31" t="str">
        <f t="shared" si="296"/>
        <v>1+1543.21246092294i</v>
      </c>
      <c r="AN490" s="31">
        <f t="shared" si="312"/>
        <v>1543.2127849223634</v>
      </c>
      <c r="AO490" s="31">
        <f t="shared" si="313"/>
        <v>1.5701483279707851</v>
      </c>
      <c r="AP490" s="58" t="str">
        <f t="shared" si="314"/>
        <v>-0.000157980079925487+0.0450087664243729i</v>
      </c>
      <c r="AQ490" s="49">
        <f t="shared" si="315"/>
        <v>-26.934004291358384</v>
      </c>
      <c r="AR490" s="61">
        <f t="shared" si="316"/>
        <v>90.20110648156745</v>
      </c>
      <c r="AS490" s="58" t="str">
        <f t="shared" si="317"/>
        <v>-0.0000924873320702348-0.0000178180502401617i</v>
      </c>
      <c r="AT490" s="64">
        <f t="shared" si="318"/>
        <v>-80.520083521725581</v>
      </c>
      <c r="AU490" s="61">
        <f t="shared" si="319"/>
        <v>-169.09534236469372</v>
      </c>
    </row>
    <row r="491" spans="14:47" x14ac:dyDescent="0.35">
      <c r="N491" s="10">
        <v>73</v>
      </c>
      <c r="O491" s="50">
        <f t="shared" si="320"/>
        <v>537031.7963702539</v>
      </c>
      <c r="P491" s="48" t="str">
        <f t="shared" si="288"/>
        <v>547.187404092767</v>
      </c>
      <c r="Q491" s="17" t="str">
        <f t="shared" si="289"/>
        <v>1+64712.8728187756i</v>
      </c>
      <c r="R491" s="17">
        <f t="shared" si="297"/>
        <v>64712.872826502033</v>
      </c>
      <c r="S491" s="17">
        <f t="shared" si="298"/>
        <v>1.5707808739188867</v>
      </c>
      <c r="T491" s="17" t="str">
        <f t="shared" si="290"/>
        <v>1+1.22449292782109i</v>
      </c>
      <c r="U491" s="17">
        <f t="shared" si="299"/>
        <v>1.5809436834637298</v>
      </c>
      <c r="V491" s="17">
        <f t="shared" si="300"/>
        <v>0.88597633392460073</v>
      </c>
      <c r="W491" s="31" t="str">
        <f t="shared" si="291"/>
        <v>1-21.2636232849888i</v>
      </c>
      <c r="X491" s="17">
        <f t="shared" si="301"/>
        <v>21.287124634527739</v>
      </c>
      <c r="Y491" s="17">
        <f t="shared" si="302"/>
        <v>-1.523802278257824</v>
      </c>
      <c r="Z491" s="31" t="str">
        <f t="shared" si="292"/>
        <v>-94.3398844008799+101.739339954642i</v>
      </c>
      <c r="AA491" s="17">
        <f t="shared" si="303"/>
        <v>138.74763811747425</v>
      </c>
      <c r="AB491" s="17">
        <f t="shared" si="304"/>
        <v>2.318475317811862</v>
      </c>
      <c r="AC491" s="66" t="str">
        <f t="shared" si="305"/>
        <v>-0.000377882092659717+0.00201582862459728i</v>
      </c>
      <c r="AD491" s="64">
        <f t="shared" si="306"/>
        <v>-53.760935693930563</v>
      </c>
      <c r="AE491" s="61">
        <f t="shared" si="307"/>
        <v>100.6173000944647</v>
      </c>
      <c r="AF491" s="31" t="str">
        <f t="shared" si="293"/>
        <v>-0.000106860158311346</v>
      </c>
      <c r="AG491" s="31" t="str">
        <f t="shared" si="294"/>
        <v>0.0155891287510813i</v>
      </c>
      <c r="AH491" s="31">
        <f t="shared" si="308"/>
        <v>1.55891287510813E-2</v>
      </c>
      <c r="AI491" s="31">
        <f t="shared" si="309"/>
        <v>1.5707963267948966</v>
      </c>
      <c r="AJ491" s="31" t="str">
        <f t="shared" si="295"/>
        <v>1+246.102622887706i</v>
      </c>
      <c r="AK491" s="31">
        <f t="shared" si="310"/>
        <v>246.10465455209987</v>
      </c>
      <c r="AL491" s="31">
        <f t="shared" si="311"/>
        <v>1.5667330035977343</v>
      </c>
      <c r="AM491" s="31" t="str">
        <f t="shared" si="296"/>
        <v>1+1579.15849686278i</v>
      </c>
      <c r="AN491" s="31">
        <f t="shared" si="312"/>
        <v>1579.1588134870776</v>
      </c>
      <c r="AO491" s="31">
        <f t="shared" si="313"/>
        <v>1.57016307822085</v>
      </c>
      <c r="AP491" s="58" t="str">
        <f t="shared" si="314"/>
        <v>-0.000150869922462139+0.0439842707102299i</v>
      </c>
      <c r="AQ491" s="49">
        <f t="shared" si="315"/>
        <v>-27.134000994120541</v>
      </c>
      <c r="AR491" s="61">
        <f t="shared" si="316"/>
        <v>90.196528799319452</v>
      </c>
      <c r="AS491" s="58" t="str">
        <f t="shared" si="317"/>
        <v>-0.0000886077408876978-0.0000169249961683831i</v>
      </c>
      <c r="AT491" s="64">
        <f t="shared" si="318"/>
        <v>-80.894936688051104</v>
      </c>
      <c r="AU491" s="61">
        <f t="shared" si="319"/>
        <v>-169.18617110621585</v>
      </c>
    </row>
    <row r="492" spans="14:47" x14ac:dyDescent="0.35">
      <c r="N492" s="10">
        <v>74</v>
      </c>
      <c r="O492" s="50">
        <f t="shared" si="320"/>
        <v>549540.87385762564</v>
      </c>
      <c r="P492" s="48" t="str">
        <f t="shared" si="288"/>
        <v>547.187404092767</v>
      </c>
      <c r="Q492" s="17" t="str">
        <f t="shared" si="289"/>
        <v>1+66220.2292658087i</v>
      </c>
      <c r="R492" s="17">
        <f t="shared" si="297"/>
        <v>66220.229273359262</v>
      </c>
      <c r="S492" s="17">
        <f t="shared" si="298"/>
        <v>1.5707812256692888</v>
      </c>
      <c r="T492" s="17" t="str">
        <f t="shared" si="290"/>
        <v>1+1.25301503213667i</v>
      </c>
      <c r="U492" s="17">
        <f t="shared" si="299"/>
        <v>1.603136510332311</v>
      </c>
      <c r="V492" s="17">
        <f t="shared" si="300"/>
        <v>0.89723025400083756</v>
      </c>
      <c r="W492" s="31" t="str">
        <f t="shared" si="291"/>
        <v>1-21.7589166980269i</v>
      </c>
      <c r="X492" s="17">
        <f t="shared" si="301"/>
        <v>21.781883662155433</v>
      </c>
      <c r="Y492" s="17">
        <f t="shared" si="302"/>
        <v>-1.5248704724142494</v>
      </c>
      <c r="Z492" s="31" t="str">
        <f t="shared" si="292"/>
        <v>-98.8331147240342+104.109153614854i</v>
      </c>
      <c r="AA492" s="17">
        <f t="shared" si="303"/>
        <v>143.55034110880882</v>
      </c>
      <c r="AB492" s="17">
        <f t="shared" si="304"/>
        <v>2.3302026120307016</v>
      </c>
      <c r="AC492" s="66" t="str">
        <f t="shared" si="305"/>
        <v>-0.000367301467157122+0.00197620735132616i</v>
      </c>
      <c r="AD492" s="64">
        <f t="shared" si="306"/>
        <v>-53.935857562565289</v>
      </c>
      <c r="AE492" s="61">
        <f t="shared" si="307"/>
        <v>100.52895458328598</v>
      </c>
      <c r="AF492" s="31" t="str">
        <f t="shared" si="293"/>
        <v>-0.000106860158311346</v>
      </c>
      <c r="AG492" s="31" t="str">
        <f t="shared" si="294"/>
        <v>0.0159522462067439i</v>
      </c>
      <c r="AH492" s="31">
        <f t="shared" si="308"/>
        <v>1.59522462067439E-2</v>
      </c>
      <c r="AI492" s="31">
        <f t="shared" si="309"/>
        <v>1.5707963267948966</v>
      </c>
      <c r="AJ492" s="31" t="str">
        <f t="shared" si="295"/>
        <v>1+251.835089382903i</v>
      </c>
      <c r="AK492" s="31">
        <f t="shared" si="310"/>
        <v>251.83707480133805</v>
      </c>
      <c r="AL492" s="31">
        <f t="shared" si="311"/>
        <v>1.5668254951422853</v>
      </c>
      <c r="AM492" s="31" t="str">
        <f t="shared" si="296"/>
        <v>1+1615.94182354029i</v>
      </c>
      <c r="AN492" s="31">
        <f t="shared" si="312"/>
        <v>1615.9421329573399</v>
      </c>
      <c r="AO492" s="31">
        <f t="shared" si="313"/>
        <v>1.570177492714498</v>
      </c>
      <c r="AP492" s="58" t="str">
        <f t="shared" si="314"/>
        <v>-0.00014407976446994+0.0429830934373491i</v>
      </c>
      <c r="AQ492" s="49">
        <f t="shared" si="315"/>
        <v>-27.333997845280351</v>
      </c>
      <c r="AR492" s="61">
        <f t="shared" si="316"/>
        <v>90.192055313825875</v>
      </c>
      <c r="AS492" s="58" t="str">
        <f t="shared" si="317"/>
        <v>-0.0000848905845247511-0.0000160724847722128i</v>
      </c>
      <c r="AT492" s="64">
        <f t="shared" si="318"/>
        <v>-81.269855407845625</v>
      </c>
      <c r="AU492" s="61">
        <f t="shared" si="319"/>
        <v>-169.27899010288817</v>
      </c>
    </row>
    <row r="493" spans="14:47" x14ac:dyDescent="0.35">
      <c r="N493" s="10">
        <v>75</v>
      </c>
      <c r="O493" s="50">
        <f t="shared" si="320"/>
        <v>562341.32519035018</v>
      </c>
      <c r="P493" s="48" t="str">
        <f t="shared" si="288"/>
        <v>547.187404092767</v>
      </c>
      <c r="Q493" s="17" t="str">
        <f t="shared" si="289"/>
        <v>1+67762.6965549271i</v>
      </c>
      <c r="R493" s="17">
        <f t="shared" si="297"/>
        <v>67762.696562305791</v>
      </c>
      <c r="S493" s="17">
        <f t="shared" si="298"/>
        <v>1.5707815694128742</v>
      </c>
      <c r="T493" s="17" t="str">
        <f t="shared" si="290"/>
        <v>1+1.2822015016079i</v>
      </c>
      <c r="U493" s="17">
        <f t="shared" si="299"/>
        <v>1.6260506421159071</v>
      </c>
      <c r="V493" s="17">
        <f t="shared" si="300"/>
        <v>0.90842685148987889</v>
      </c>
      <c r="W493" s="31" t="str">
        <f t="shared" si="291"/>
        <v>1-22.2657469767116i</v>
      </c>
      <c r="X493" s="17">
        <f t="shared" si="301"/>
        <v>22.288191681492282</v>
      </c>
      <c r="Y493" s="17">
        <f t="shared" si="302"/>
        <v>-1.5259144528570228</v>
      </c>
      <c r="Z493" s="31" t="str">
        <f t="shared" si="292"/>
        <v>-103.538104468377+106.534167326361i</v>
      </c>
      <c r="AA493" s="17">
        <f t="shared" si="303"/>
        <v>148.55863450108052</v>
      </c>
      <c r="AB493" s="17">
        <f t="shared" si="304"/>
        <v>2.3419333993885254</v>
      </c>
      <c r="AC493" s="66" t="str">
        <f t="shared" si="305"/>
        <v>-0.000356916988497995+0.00193735254999863i</v>
      </c>
      <c r="AD493" s="64">
        <f t="shared" si="306"/>
        <v>-54.110871719254803</v>
      </c>
      <c r="AE493" s="61">
        <f t="shared" si="307"/>
        <v>100.43851239002433</v>
      </c>
      <c r="AF493" s="31" t="str">
        <f t="shared" si="293"/>
        <v>-0.000106860158311346</v>
      </c>
      <c r="AG493" s="31" t="str">
        <f t="shared" si="294"/>
        <v>0.0163238217544983i</v>
      </c>
      <c r="AH493" s="31">
        <f t="shared" si="308"/>
        <v>1.6323821754498299E-2</v>
      </c>
      <c r="AI493" s="31">
        <f t="shared" si="309"/>
        <v>1.5707963267948966</v>
      </c>
      <c r="AJ493" s="31" t="str">
        <f t="shared" si="295"/>
        <v>1+257.701082175922i</v>
      </c>
      <c r="AK493" s="31">
        <f t="shared" si="310"/>
        <v>257.70302240106014</v>
      </c>
      <c r="AL493" s="31">
        <f t="shared" si="311"/>
        <v>1.566915881387893</v>
      </c>
      <c r="AM493" s="31" t="str">
        <f t="shared" si="296"/>
        <v>1+1653.58194396216i</v>
      </c>
      <c r="AN493" s="31">
        <f t="shared" si="312"/>
        <v>1653.5822463360196</v>
      </c>
      <c r="AO493" s="31">
        <f t="shared" si="313"/>
        <v>1.5701915790944607</v>
      </c>
      <c r="AP493" s="58" t="str">
        <f t="shared" si="314"/>
        <v>-0.000137595204509061+0.0420047039419061i</v>
      </c>
      <c r="AQ493" s="49">
        <f t="shared" si="315"/>
        <v>-27.533994838159096</v>
      </c>
      <c r="AR493" s="61">
        <f t="shared" si="316"/>
        <v>90.187683653547012</v>
      </c>
      <c r="AS493" s="58" t="str">
        <f t="shared" si="317"/>
        <v>-0.0000813288102277641-0.0000152587628540182i</v>
      </c>
      <c r="AT493" s="64">
        <f t="shared" si="318"/>
        <v>-81.644866557413906</v>
      </c>
      <c r="AU493" s="61">
        <f t="shared" si="319"/>
        <v>-169.37380395642865</v>
      </c>
    </row>
    <row r="494" spans="14:47" x14ac:dyDescent="0.35">
      <c r="N494" s="10">
        <v>76</v>
      </c>
      <c r="O494" s="50">
        <f t="shared" si="320"/>
        <v>575439.93733715697</v>
      </c>
      <c r="P494" s="48" t="str">
        <f t="shared" si="288"/>
        <v>547.187404092767</v>
      </c>
      <c r="Q494" s="17" t="str">
        <f t="shared" si="289"/>
        <v>1+69341.092522704i</v>
      </c>
      <c r="R494" s="17">
        <f t="shared" si="297"/>
        <v>69341.092529914735</v>
      </c>
      <c r="S494" s="17">
        <f t="shared" si="298"/>
        <v>1.5707819053319005</v>
      </c>
      <c r="T494" s="17" t="str">
        <f t="shared" si="290"/>
        <v>1+1.31206781128722i</v>
      </c>
      <c r="U494" s="17">
        <f t="shared" si="299"/>
        <v>1.6497035919873713</v>
      </c>
      <c r="V494" s="17">
        <f t="shared" si="300"/>
        <v>0.91956083438121594</v>
      </c>
      <c r="W494" s="31" t="str">
        <f t="shared" si="291"/>
        <v>1-22.7843828491653i</v>
      </c>
      <c r="X494" s="17">
        <f t="shared" si="301"/>
        <v>22.806317147170823</v>
      </c>
      <c r="Y494" s="17">
        <f t="shared" si="302"/>
        <v>-1.5269347640105797</v>
      </c>
      <c r="Z494" s="31" t="str">
        <f t="shared" si="292"/>
        <v>-108.464833547965+109.01566686353i</v>
      </c>
      <c r="AA494" s="17">
        <f t="shared" si="303"/>
        <v>153.78242987509302</v>
      </c>
      <c r="AB494" s="17">
        <f t="shared" si="304"/>
        <v>2.353661701566911</v>
      </c>
      <c r="AC494" s="66" t="str">
        <f t="shared" si="305"/>
        <v>-0.00034672580735488+0.00189924348117622i</v>
      </c>
      <c r="AD494" s="64">
        <f t="shared" si="306"/>
        <v>-54.286004556495456</v>
      </c>
      <c r="AE494" s="61">
        <f t="shared" si="307"/>
        <v>100.34598163356176</v>
      </c>
      <c r="AF494" s="31" t="str">
        <f t="shared" si="293"/>
        <v>-0.000106860158311346</v>
      </c>
      <c r="AG494" s="31" t="str">
        <f t="shared" si="294"/>
        <v>0.0167040524086182i</v>
      </c>
      <c r="AH494" s="31">
        <f t="shared" si="308"/>
        <v>1.6704052408618199E-2</v>
      </c>
      <c r="AI494" s="31">
        <f t="shared" si="309"/>
        <v>1.5707963267948966</v>
      </c>
      <c r="AJ494" s="31" t="str">
        <f t="shared" si="295"/>
        <v>1+263.703711493787i</v>
      </c>
      <c r="AK494" s="31">
        <f t="shared" si="310"/>
        <v>263.70560755433024</v>
      </c>
      <c r="AL494" s="31">
        <f t="shared" si="311"/>
        <v>1.5670042102526296</v>
      </c>
      <c r="AM494" s="31" t="str">
        <f t="shared" si="296"/>
        <v>1+1692.09881541846i</v>
      </c>
      <c r="AN494" s="31">
        <f t="shared" si="312"/>
        <v>1692.0991109094509</v>
      </c>
      <c r="AO494" s="31">
        <f t="shared" si="313"/>
        <v>1.5702053448295008</v>
      </c>
      <c r="AP494" s="58" t="str">
        <f t="shared" si="314"/>
        <v>-0.000131402489231272+0.0410485836308706i</v>
      </c>
      <c r="AQ494" s="49">
        <f t="shared" si="315"/>
        <v>-27.733991966378511</v>
      </c>
      <c r="AR494" s="61">
        <f t="shared" si="316"/>
        <v>90.183411500908107</v>
      </c>
      <c r="AS494" s="58" t="str">
        <f t="shared" si="317"/>
        <v>-0.0000779156942382807-0.0000144821686212707i</v>
      </c>
      <c r="AT494" s="64">
        <f t="shared" si="318"/>
        <v>-82.019996522873981</v>
      </c>
      <c r="AU494" s="61">
        <f t="shared" si="319"/>
        <v>-169.47060686553016</v>
      </c>
    </row>
    <row r="495" spans="14:47" x14ac:dyDescent="0.35">
      <c r="N495" s="10">
        <v>77</v>
      </c>
      <c r="O495" s="50">
        <f t="shared" si="320"/>
        <v>588843.65535558888</v>
      </c>
      <c r="P495" s="48" t="str">
        <f t="shared" si="288"/>
        <v>547.187404092767</v>
      </c>
      <c r="Q495" s="17" t="str">
        <f t="shared" si="289"/>
        <v>1+70956.2540555744i</v>
      </c>
      <c r="R495" s="17">
        <f t="shared" si="297"/>
        <v>70956.254062620996</v>
      </c>
      <c r="S495" s="17">
        <f t="shared" si="298"/>
        <v>1.5707822336044761</v>
      </c>
      <c r="T495" s="17" t="str">
        <f t="shared" si="290"/>
        <v>1+1.34262979668736i</v>
      </c>
      <c r="U495" s="17">
        <f t="shared" si="299"/>
        <v>1.6741131296757523</v>
      </c>
      <c r="V495" s="17">
        <f t="shared" si="300"/>
        <v>0.93062706471719348</v>
      </c>
      <c r="W495" s="31" t="str">
        <f t="shared" si="291"/>
        <v>1-23.3150993029927i</v>
      </c>
      <c r="X495" s="17">
        <f t="shared" si="301"/>
        <v>23.336534779362822</v>
      </c>
      <c r="Y495" s="17">
        <f t="shared" si="302"/>
        <v>-1.5279319383551266</v>
      </c>
      <c r="Z495" s="31" t="str">
        <f t="shared" si="292"/>
        <v>-113.623752215713+111.554967950264i</v>
      </c>
      <c r="AA495" s="17">
        <f t="shared" si="303"/>
        <v>159.23211969311396</v>
      </c>
      <c r="AB495" s="17">
        <f t="shared" si="304"/>
        <v>2.3653815308710362</v>
      </c>
      <c r="AC495" s="66" t="str">
        <f t="shared" si="305"/>
        <v>-0.000336725500861639+0.00186186022433263i</v>
      </c>
      <c r="AD495" s="64">
        <f t="shared" si="306"/>
        <v>-54.461281877750871</v>
      </c>
      <c r="AE495" s="61">
        <f t="shared" si="307"/>
        <v>100.2513804811784</v>
      </c>
      <c r="AF495" s="31" t="str">
        <f t="shared" si="293"/>
        <v>-0.000106860158311346</v>
      </c>
      <c r="AG495" s="31" t="str">
        <f t="shared" si="294"/>
        <v>0.0170931397724294i</v>
      </c>
      <c r="AH495" s="31">
        <f t="shared" si="308"/>
        <v>1.7093139772429398E-2</v>
      </c>
      <c r="AI495" s="31">
        <f t="shared" si="309"/>
        <v>1.5707963267948966</v>
      </c>
      <c r="AJ495" s="31" t="str">
        <f t="shared" si="295"/>
        <v>1+269.846160010018i</v>
      </c>
      <c r="AK495" s="31">
        <f t="shared" si="310"/>
        <v>269.84801291125387</v>
      </c>
      <c r="AL495" s="31">
        <f t="shared" si="311"/>
        <v>1.5670905285641126</v>
      </c>
      <c r="AM495" s="31" t="str">
        <f t="shared" si="296"/>
        <v>1+1731.51286006428i</v>
      </c>
      <c r="AN495" s="31">
        <f t="shared" si="312"/>
        <v>1731.513148829076</v>
      </c>
      <c r="AO495" s="31">
        <f t="shared" si="313"/>
        <v>1.5702187972183721</v>
      </c>
      <c r="AP495" s="58" t="str">
        <f t="shared" si="314"/>
        <v>-0.00012548848421805+0.040114225707814i</v>
      </c>
      <c r="AQ495" s="49">
        <f t="shared" si="315"/>
        <v>-27.933989223847458</v>
      </c>
      <c r="AR495" s="61">
        <f t="shared" si="316"/>
        <v>90.179236591072126</v>
      </c>
      <c r="AS495" s="58" t="str">
        <f t="shared" si="317"/>
        <v>-0.0000746448261025796-0.0000137411247605179i</v>
      </c>
      <c r="AT495" s="64">
        <f t="shared" si="318"/>
        <v>-82.39527110159834</v>
      </c>
      <c r="AU495" s="61">
        <f t="shared" si="319"/>
        <v>-169.56938292774944</v>
      </c>
    </row>
    <row r="496" spans="14:47" x14ac:dyDescent="0.35">
      <c r="N496" s="10">
        <v>78</v>
      </c>
      <c r="O496" s="50">
        <f t="shared" si="320"/>
        <v>602559.58607435878</v>
      </c>
      <c r="P496" s="48" t="str">
        <f t="shared" si="288"/>
        <v>547.187404092767</v>
      </c>
      <c r="Q496" s="17" t="str">
        <f t="shared" si="289"/>
        <v>1+72609.0375335621i</v>
      </c>
      <c r="R496" s="17">
        <f t="shared" si="297"/>
        <v>72609.037540448291</v>
      </c>
      <c r="S496" s="17">
        <f t="shared" si="298"/>
        <v>1.5707825544046556</v>
      </c>
      <c r="T496" s="17" t="str">
        <f t="shared" si="290"/>
        <v>1+1.3739036621775i</v>
      </c>
      <c r="U496" s="17">
        <f t="shared" si="299"/>
        <v>1.6992972879825199</v>
      </c>
      <c r="V496" s="17">
        <f t="shared" si="300"/>
        <v>0.94162056887773093</v>
      </c>
      <c r="W496" s="31" t="str">
        <f t="shared" si="291"/>
        <v>1-23.8581777310823i</v>
      </c>
      <c r="X496" s="17">
        <f t="shared" si="301"/>
        <v>23.87912570945409</v>
      </c>
      <c r="Y496" s="17">
        <f t="shared" si="302"/>
        <v>-1.528906496668806</v>
      </c>
      <c r="Z496" s="31" t="str">
        <f t="shared" si="292"/>
        <v>-119.025803229786+114.153416957609i</v>
      </c>
      <c r="AA496" s="17">
        <f t="shared" si="303"/>
        <v>164.9185994289106</v>
      </c>
      <c r="AB496" s="17">
        <f t="shared" si="304"/>
        <v>2.377086906449271</v>
      </c>
      <c r="AC496" s="66" t="str">
        <f t="shared" si="305"/>
        <v>-0.00032691402687046+0.00182518366825912i</v>
      </c>
      <c r="AD496" s="64">
        <f t="shared" si="306"/>
        <v>-54.636728803497903</v>
      </c>
      <c r="AE496" s="61">
        <f t="shared" si="307"/>
        <v>100.15473679462879</v>
      </c>
      <c r="AF496" s="31" t="str">
        <f t="shared" si="293"/>
        <v>-0.000106860158311346</v>
      </c>
      <c r="AG496" s="31" t="str">
        <f t="shared" si="294"/>
        <v>0.0174912901452025i</v>
      </c>
      <c r="AH496" s="31">
        <f t="shared" si="308"/>
        <v>1.7491290145202499E-2</v>
      </c>
      <c r="AI496" s="31">
        <f t="shared" si="309"/>
        <v>1.5707963267948966</v>
      </c>
      <c r="AJ496" s="31" t="str">
        <f t="shared" si="295"/>
        <v>1+276.131684532123i</v>
      </c>
      <c r="AK496" s="31">
        <f t="shared" si="310"/>
        <v>276.13349525645725</v>
      </c>
      <c r="AL496" s="31">
        <f t="shared" si="311"/>
        <v>1.567174882084305</v>
      </c>
      <c r="AM496" s="31" t="str">
        <f t="shared" si="296"/>
        <v>1+1771.84497574778i</v>
      </c>
      <c r="AN496" s="31">
        <f t="shared" si="312"/>
        <v>1771.845257939488</v>
      </c>
      <c r="AO496" s="31">
        <f t="shared" si="313"/>
        <v>1.5702319433936898</v>
      </c>
      <c r="AP496" s="58" t="str">
        <f t="shared" si="314"/>
        <v>-0.000119840646130568+0.0392011349049209i</v>
      </c>
      <c r="AQ496" s="49">
        <f t="shared" si="315"/>
        <v>-28.133986604749023</v>
      </c>
      <c r="AR496" s="61">
        <f t="shared" si="316"/>
        <v>90.175156710740467</v>
      </c>
      <c r="AS496" s="58" t="str">
        <f t="shared" si="317"/>
        <v>-0.0000715100936174749-0.000013034132059771i</v>
      </c>
      <c r="AT496" s="64">
        <f t="shared" si="318"/>
        <v>-82.770715408246915</v>
      </c>
      <c r="AU496" s="61">
        <f t="shared" si="319"/>
        <v>-169.67010649463069</v>
      </c>
    </row>
    <row r="497" spans="14:47" x14ac:dyDescent="0.35">
      <c r="N497" s="10">
        <v>79</v>
      </c>
      <c r="O497" s="50">
        <f t="shared" si="320"/>
        <v>616595.00186148309</v>
      </c>
      <c r="P497" s="48" t="str">
        <f t="shared" si="288"/>
        <v>547.187404092767</v>
      </c>
      <c r="Q497" s="17" t="str">
        <f t="shared" si="289"/>
        <v>1+74300.3192843444i</v>
      </c>
      <c r="R497" s="17">
        <f t="shared" si="297"/>
        <v>74300.319291073843</v>
      </c>
      <c r="S497" s="17">
        <f t="shared" si="298"/>
        <v>1.5707828679025315</v>
      </c>
      <c r="T497" s="17" t="str">
        <f t="shared" si="290"/>
        <v>1+1.40590598957511i</v>
      </c>
      <c r="U497" s="17">
        <f t="shared" si="299"/>
        <v>1.7252743699258881</v>
      </c>
      <c r="V497" s="17">
        <f t="shared" si="300"/>
        <v>0.95253654693512879</v>
      </c>
      <c r="W497" s="31" t="str">
        <f t="shared" si="291"/>
        <v>1-24.4139060808053i</v>
      </c>
      <c r="X497" s="17">
        <f t="shared" si="301"/>
        <v>24.434377629118814</v>
      </c>
      <c r="Y497" s="17">
        <f t="shared" si="302"/>
        <v>-1.5298589482663145</v>
      </c>
      <c r="Z497" s="31" t="str">
        <f t="shared" si="292"/>
        <v>-124.682445064649+116.812391617625i</v>
      </c>
      <c r="AA497" s="17">
        <f t="shared" si="303"/>
        <v>170.85329069915102</v>
      </c>
      <c r="AB497" s="17">
        <f t="shared" si="304"/>
        <v>2.3887718704503706</v>
      </c>
      <c r="AC497" s="66" t="str">
        <f t="shared" si="305"/>
        <v>-0.000317289679188983+0.00178919549925511i</v>
      </c>
      <c r="AD497" s="64">
        <f t="shared" si="306"/>
        <v>-54.812369682613692</v>
      </c>
      <c r="AE497" s="61">
        <f t="shared" si="307"/>
        <v>100.05608772671691</v>
      </c>
      <c r="AF497" s="31" t="str">
        <f t="shared" si="293"/>
        <v>-0.000106860158311346</v>
      </c>
      <c r="AG497" s="31" t="str">
        <f t="shared" si="294"/>
        <v>0.0178987146315352i</v>
      </c>
      <c r="AH497" s="31">
        <f t="shared" si="308"/>
        <v>1.7898714631535199E-2</v>
      </c>
      <c r="AI497" s="31">
        <f t="shared" si="309"/>
        <v>1.5707963267948966</v>
      </c>
      <c r="AJ497" s="31" t="str">
        <f t="shared" si="295"/>
        <v>1+282.563617728401i</v>
      </c>
      <c r="AK497" s="31">
        <f t="shared" si="310"/>
        <v>282.56538723587846</v>
      </c>
      <c r="AL497" s="31">
        <f t="shared" si="311"/>
        <v>1.5672573155337555</v>
      </c>
      <c r="AM497" s="31" t="str">
        <f t="shared" si="296"/>
        <v>1+1813.11654709057i</v>
      </c>
      <c r="AN497" s="31">
        <f t="shared" si="312"/>
        <v>1813.1168228588115</v>
      </c>
      <c r="AO497" s="31">
        <f t="shared" si="313"/>
        <v>1.570244790325712</v>
      </c>
      <c r="AP497" s="58" t="str">
        <f t="shared" si="314"/>
        <v>-0.000114446996112589+0.0383088272210666i</v>
      </c>
      <c r="AQ497" s="49">
        <f t="shared" si="315"/>
        <v>-28.333984103527836</v>
      </c>
      <c r="AR497" s="61">
        <f t="shared" si="316"/>
        <v>90.171169696980826</v>
      </c>
      <c r="AS497" s="58" t="str">
        <f t="shared" si="317"/>
        <v>-0.0000685056683949933-0.0000123597635494263i</v>
      </c>
      <c r="AT497" s="64">
        <f t="shared" si="318"/>
        <v>-83.146353786141532</v>
      </c>
      <c r="AU497" s="61">
        <f t="shared" si="319"/>
        <v>-169.77274257630225</v>
      </c>
    </row>
    <row r="498" spans="14:47" x14ac:dyDescent="0.35">
      <c r="N498" s="10">
        <v>80</v>
      </c>
      <c r="O498" s="50">
        <f t="shared" si="320"/>
        <v>630957.34448019415</v>
      </c>
      <c r="P498" s="48" t="str">
        <f t="shared" si="288"/>
        <v>547.187404092767</v>
      </c>
      <c r="Q498" s="17" t="str">
        <f t="shared" si="289"/>
        <v>1+76030.9960478921i</v>
      </c>
      <c r="R498" s="17">
        <f t="shared" si="297"/>
        <v>76030.996054468356</v>
      </c>
      <c r="S498" s="17">
        <f t="shared" si="298"/>
        <v>1.5707831742643246</v>
      </c>
      <c r="T498" s="17" t="str">
        <f t="shared" si="290"/>
        <v>1+1.43865374693774i</v>
      </c>
      <c r="U498" s="17">
        <f t="shared" si="299"/>
        <v>1.7520629565109809</v>
      </c>
      <c r="V498" s="17">
        <f t="shared" si="300"/>
        <v>0.96337038104921291</v>
      </c>
      <c r="W498" s="31" t="str">
        <f t="shared" si="291"/>
        <v>1-24.9825790066885i</v>
      </c>
      <c r="X498" s="17">
        <f t="shared" si="301"/>
        <v>25.002584942870069</v>
      </c>
      <c r="Y498" s="17">
        <f t="shared" si="302"/>
        <v>-1.5307897912339179</v>
      </c>
      <c r="Z498" s="31" t="str">
        <f t="shared" si="292"/>
        <v>-130.605676216032+119.53330175387i</v>
      </c>
      <c r="AA498" s="17">
        <f t="shared" si="303"/>
        <v>177.04816544666235</v>
      </c>
      <c r="AB498" s="17">
        <f t="shared" si="304"/>
        <v>2.4004305040149823</v>
      </c>
      <c r="AC498" s="66" t="str">
        <f t="shared" si="305"/>
        <v>-0.000307851044000677+0.00175387818713541i</v>
      </c>
      <c r="AD498" s="64">
        <f t="shared" si="306"/>
        <v>-54.988228009774282</v>
      </c>
      <c r="AE498" s="61">
        <f t="shared" si="307"/>
        <v>99.955479272586246</v>
      </c>
      <c r="AF498" s="31" t="str">
        <f t="shared" si="293"/>
        <v>-0.000106860158311346</v>
      </c>
      <c r="AG498" s="31" t="str">
        <f t="shared" si="294"/>
        <v>0.0183156292532829i</v>
      </c>
      <c r="AH498" s="31">
        <f t="shared" si="308"/>
        <v>1.8315629253282902E-2</v>
      </c>
      <c r="AI498" s="31">
        <f t="shared" si="309"/>
        <v>1.5707963267948966</v>
      </c>
      <c r="AJ498" s="31" t="str">
        <f t="shared" si="295"/>
        <v>1+289.145369894971i</v>
      </c>
      <c r="AK498" s="31">
        <f t="shared" si="310"/>
        <v>289.14709912378441</v>
      </c>
      <c r="AL498" s="31">
        <f t="shared" si="311"/>
        <v>1.5673378726152858</v>
      </c>
      <c r="AM498" s="31" t="str">
        <f t="shared" si="296"/>
        <v>1+1855.34945682606i</v>
      </c>
      <c r="AN498" s="31">
        <f t="shared" si="312"/>
        <v>1855.3497263170509</v>
      </c>
      <c r="AO498" s="31">
        <f t="shared" si="313"/>
        <v>1.5702573448260351</v>
      </c>
      <c r="AP498" s="58" t="str">
        <f t="shared" si="314"/>
        <v>-0.000109296094389885+0.0374368296658201i</v>
      </c>
      <c r="AQ498" s="49">
        <f t="shared" si="315"/>
        <v>-28.533981714878735</v>
      </c>
      <c r="AR498" s="61">
        <f t="shared" si="316"/>
        <v>90.167273436081658</v>
      </c>
      <c r="AS498" s="58" t="str">
        <f t="shared" si="317"/>
        <v>-0.0000656259920296226-0.0000117166591325877i</v>
      </c>
      <c r="AT498" s="64">
        <f t="shared" si="318"/>
        <v>-83.522209724653024</v>
      </c>
      <c r="AU498" s="61">
        <f t="shared" si="319"/>
        <v>-169.87724729133211</v>
      </c>
    </row>
    <row r="499" spans="14:47" x14ac:dyDescent="0.35">
      <c r="N499" s="10">
        <v>81</v>
      </c>
      <c r="O499" s="50">
        <f t="shared" si="320"/>
        <v>645654.22903465747</v>
      </c>
      <c r="P499" s="48" t="str">
        <f t="shared" si="288"/>
        <v>547.187404092767</v>
      </c>
      <c r="Q499" s="17" t="str">
        <f t="shared" si="289"/>
        <v>1+77801.9854519338i</v>
      </c>
      <c r="R499" s="17">
        <f t="shared" si="297"/>
        <v>77801.985458360359</v>
      </c>
      <c r="S499" s="17">
        <f t="shared" si="298"/>
        <v>1.5707834736524717</v>
      </c>
      <c r="T499" s="17" t="str">
        <f t="shared" si="290"/>
        <v>1+1.47216429755985i</v>
      </c>
      <c r="U499" s="17">
        <f t="shared" si="299"/>
        <v>1.779681915121319</v>
      </c>
      <c r="V499" s="17">
        <f t="shared" si="300"/>
        <v>0.97411764288259417</v>
      </c>
      <c r="W499" s="31" t="str">
        <f t="shared" si="291"/>
        <v>1-25.5644980266447i</v>
      </c>
      <c r="X499" s="17">
        <f t="shared" si="301"/>
        <v>25.584048924169931</v>
      </c>
      <c r="Y499" s="17">
        <f t="shared" si="302"/>
        <v>-1.5316995126608299</v>
      </c>
      <c r="Z499" s="31" t="str">
        <f t="shared" si="292"/>
        <v>-136.808060651351+122.317590028916i</v>
      </c>
      <c r="AA499" s="17">
        <f t="shared" si="303"/>
        <v>183.51577122870316</v>
      </c>
      <c r="AB499" s="17">
        <f t="shared" si="304"/>
        <v>2.4120569429996817</v>
      </c>
      <c r="AC499" s="66" t="str">
        <f t="shared" si="305"/>
        <v>-0.000298596957668661+0.00171921496911282i</v>
      </c>
      <c r="AD499" s="64">
        <f t="shared" si="306"/>
        <v>-55.164326349451585</v>
      </c>
      <c r="AE499" s="61">
        <f t="shared" si="307"/>
        <v>99.852965780399074</v>
      </c>
      <c r="AF499" s="31" t="str">
        <f t="shared" si="293"/>
        <v>-0.000106860158311346</v>
      </c>
      <c r="AG499" s="31" t="str">
        <f t="shared" si="294"/>
        <v>0.0187422550640968i</v>
      </c>
      <c r="AH499" s="31">
        <f t="shared" si="308"/>
        <v>1.87422550640968E-2</v>
      </c>
      <c r="AI499" s="31">
        <f t="shared" si="309"/>
        <v>1.5707963267948966</v>
      </c>
      <c r="AJ499" s="31" t="str">
        <f t="shared" si="295"/>
        <v>1+295.880430763951i</v>
      </c>
      <c r="AK499" s="31">
        <f t="shared" si="310"/>
        <v>295.8821206309384</v>
      </c>
      <c r="AL499" s="31">
        <f t="shared" si="311"/>
        <v>1.5674165960371427</v>
      </c>
      <c r="AM499" s="31" t="str">
        <f t="shared" si="296"/>
        <v>1+1898.56609740201i</v>
      </c>
      <c r="AN499" s="31">
        <f t="shared" si="312"/>
        <v>1898.5663607586378</v>
      </c>
      <c r="AO499" s="31">
        <f t="shared" si="313"/>
        <v>1.5702696135512055</v>
      </c>
      <c r="AP499" s="58" t="str">
        <f t="shared" si="314"/>
        <v>-0.000104377016012433+0.0365846800092458i</v>
      </c>
      <c r="AQ499" s="49">
        <f t="shared" si="315"/>
        <v>-28.733979433735293</v>
      </c>
      <c r="AR499" s="61">
        <f t="shared" si="316"/>
        <v>90.163465862432702</v>
      </c>
      <c r="AS499" s="58" t="str">
        <f t="shared" si="317"/>
        <v>-0.0000628657628526661-0.0000111035206764022i</v>
      </c>
      <c r="AT499" s="64">
        <f t="shared" si="318"/>
        <v>-83.898305783186871</v>
      </c>
      <c r="AU499" s="61">
        <f t="shared" si="319"/>
        <v>-169.9835683571682</v>
      </c>
    </row>
    <row r="500" spans="14:47" x14ac:dyDescent="0.35">
      <c r="N500" s="10">
        <v>82</v>
      </c>
      <c r="O500" s="50">
        <f t="shared" si="320"/>
        <v>660693.44800759677</v>
      </c>
      <c r="P500" s="48" t="str">
        <f t="shared" si="288"/>
        <v>547.187404092767</v>
      </c>
      <c r="Q500" s="17" t="str">
        <f t="shared" si="289"/>
        <v>1+79614.2264984929i</v>
      </c>
      <c r="R500" s="17">
        <f t="shared" si="297"/>
        <v>79614.226504773193</v>
      </c>
      <c r="S500" s="17">
        <f t="shared" si="298"/>
        <v>1.5707837662257129</v>
      </c>
      <c r="T500" s="17" t="str">
        <f t="shared" si="290"/>
        <v>1+1.50645540917891i</v>
      </c>
      <c r="U500" s="17">
        <f t="shared" si="299"/>
        <v>1.8081504085236928</v>
      </c>
      <c r="V500" s="17">
        <f t="shared" si="300"/>
        <v>0.98477410002459975</v>
      </c>
      <c r="W500" s="31" t="str">
        <f t="shared" si="291"/>
        <v>1-26.1599716818406i</v>
      </c>
      <c r="X500" s="17">
        <f t="shared" si="301"/>
        <v>26.179077875179296</v>
      </c>
      <c r="Y500" s="17">
        <f t="shared" si="302"/>
        <v>-1.532588588866924</v>
      </c>
      <c r="Z500" s="31" t="str">
        <f t="shared" si="292"/>
        <v>-143.302754459559+125.16673270926i</v>
      </c>
      <c r="AA500" s="17">
        <f t="shared" si="303"/>
        <v>190.26925766609801</v>
      </c>
      <c r="AB500" s="17">
        <f t="shared" si="304"/>
        <v>2.4236453933352609</v>
      </c>
      <c r="AC500" s="66" t="str">
        <f t="shared" si="305"/>
        <v>-0.000289526466114183+0.00168518983164106i</v>
      </c>
      <c r="AD500" s="64">
        <f t="shared" si="306"/>
        <v>-55.34068626700693</v>
      </c>
      <c r="AE500" s="61">
        <f t="shared" si="307"/>
        <v>99.748609426386153</v>
      </c>
      <c r="AF500" s="31" t="str">
        <f t="shared" si="293"/>
        <v>-0.000106860158311346</v>
      </c>
      <c r="AG500" s="31" t="str">
        <f t="shared" si="294"/>
        <v>0.0191788182666287i</v>
      </c>
      <c r="AH500" s="31">
        <f t="shared" si="308"/>
        <v>1.9178818266628699E-2</v>
      </c>
      <c r="AI500" s="31">
        <f t="shared" si="309"/>
        <v>1.5707963267948966</v>
      </c>
      <c r="AJ500" s="31" t="str">
        <f t="shared" si="295"/>
        <v>1+302.772371353761i</v>
      </c>
      <c r="AK500" s="31">
        <f t="shared" si="310"/>
        <v>302.7740227548918</v>
      </c>
      <c r="AL500" s="31">
        <f t="shared" si="311"/>
        <v>1.5674935275356208</v>
      </c>
      <c r="AM500" s="31" t="str">
        <f t="shared" si="296"/>
        <v>1+1942.7893828533i</v>
      </c>
      <c r="AN500" s="31">
        <f t="shared" si="312"/>
        <v>1942.7896402151998</v>
      </c>
      <c r="AO500" s="31">
        <f t="shared" si="313"/>
        <v>1.570281603006249</v>
      </c>
      <c r="AP500" s="58" t="str">
        <f t="shared" si="314"/>
        <v>-0.000099679327687941+0.0357519265373711i</v>
      </c>
      <c r="AQ500" s="49">
        <f t="shared" si="315"/>
        <v>-28.933977255258977</v>
      </c>
      <c r="AR500" s="61">
        <f t="shared" si="316"/>
        <v>90.159744957430945</v>
      </c>
      <c r="AS500" s="58" t="str">
        <f t="shared" si="317"/>
        <v>-0.0000602199232588658-0.0000105191075365835i</v>
      </c>
      <c r="AT500" s="64">
        <f t="shared" si="318"/>
        <v>-84.274663522265897</v>
      </c>
      <c r="AU500" s="61">
        <f t="shared" si="319"/>
        <v>-170.09164561618289</v>
      </c>
    </row>
    <row r="501" spans="14:47" x14ac:dyDescent="0.35">
      <c r="N501" s="10">
        <v>83</v>
      </c>
      <c r="O501" s="50">
        <f t="shared" si="320"/>
        <v>676082.97539198259</v>
      </c>
      <c r="P501" s="48" t="str">
        <f t="shared" si="288"/>
        <v>547.187404092767</v>
      </c>
      <c r="Q501" s="17" t="str">
        <f t="shared" si="289"/>
        <v>1+81468.6800617606i</v>
      </c>
      <c r="R501" s="17">
        <f t="shared" si="297"/>
        <v>81468.680067897934</v>
      </c>
      <c r="S501" s="17">
        <f t="shared" si="298"/>
        <v>1.5707840521391738</v>
      </c>
      <c r="T501" s="17" t="str">
        <f t="shared" si="290"/>
        <v>1+1.54154526339621i</v>
      </c>
      <c r="U501" s="17">
        <f t="shared" si="299"/>
        <v>1.8374879044770036</v>
      </c>
      <c r="V501" s="17">
        <f t="shared" si="300"/>
        <v>0.99533572142161475</v>
      </c>
      <c r="W501" s="31" t="str">
        <f t="shared" si="291"/>
        <v>1-26.7693157002905i</v>
      </c>
      <c r="X501" s="17">
        <f t="shared" si="301"/>
        <v>26.787987290235513</v>
      </c>
      <c r="Y501" s="17">
        <f t="shared" si="302"/>
        <v>-1.5334574856267569</v>
      </c>
      <c r="Z501" s="31" t="str">
        <f t="shared" si="292"/>
        <v>-150.103533756984+128.082240448064i</v>
      </c>
      <c r="AA501" s="17">
        <f t="shared" si="303"/>
        <v>197.32240411197537</v>
      </c>
      <c r="AB501" s="17">
        <f t="shared" si="304"/>
        <v>2.4351901459251453</v>
      </c>
      <c r="AC501" s="66" t="str">
        <f t="shared" si="305"/>
        <v>-0.000280638785950267+0.00165178749032812i</v>
      </c>
      <c r="AD501" s="64">
        <f t="shared" si="306"/>
        <v>-55.517328267283503</v>
      </c>
      <c r="AE501" s="61">
        <f t="shared" si="307"/>
        <v>99.642479659521285</v>
      </c>
      <c r="AF501" s="31" t="str">
        <f t="shared" si="293"/>
        <v>-0.000106860158311346</v>
      </c>
      <c r="AG501" s="31" t="str">
        <f t="shared" si="294"/>
        <v>0.0196255503324673i</v>
      </c>
      <c r="AH501" s="31">
        <f t="shared" si="308"/>
        <v>1.9625550332467299E-2</v>
      </c>
      <c r="AI501" s="31">
        <f t="shared" si="309"/>
        <v>1.5707963267948966</v>
      </c>
      <c r="AJ501" s="31" t="str">
        <f t="shared" si="295"/>
        <v>1+309.82484586253i</v>
      </c>
      <c r="AK501" s="31">
        <f t="shared" si="310"/>
        <v>309.82645967337987</v>
      </c>
      <c r="AL501" s="31">
        <f t="shared" si="311"/>
        <v>1.5675687078971747</v>
      </c>
      <c r="AM501" s="31" t="str">
        <f t="shared" si="296"/>
        <v>1+1988.04276095123i</v>
      </c>
      <c r="AN501" s="31">
        <f t="shared" si="312"/>
        <v>1988.0430124548586</v>
      </c>
      <c r="AO501" s="31">
        <f t="shared" si="313"/>
        <v>1.5702933195481195</v>
      </c>
      <c r="AP501" s="58" t="str">
        <f t="shared" si="314"/>
        <v>-0.0000951930656576501+0.034938127813191i</v>
      </c>
      <c r="AQ501" s="49">
        <f t="shared" si="315"/>
        <v>-29.133975174829281</v>
      </c>
      <c r="AR501" s="61">
        <f t="shared" si="316"/>
        <v>90.156108748411299</v>
      </c>
      <c r="AS501" s="58" t="str">
        <f t="shared" si="317"/>
        <v>-0.0000576836475909368-9.96223248788847E-06i</v>
      </c>
      <c r="AT501" s="64">
        <f t="shared" si="318"/>
        <v>-84.651303442112777</v>
      </c>
      <c r="AU501" s="61">
        <f t="shared" si="319"/>
        <v>-170.20141159206739</v>
      </c>
    </row>
    <row r="502" spans="14:47" x14ac:dyDescent="0.35">
      <c r="N502" s="10">
        <v>84</v>
      </c>
      <c r="O502" s="50">
        <f t="shared" si="320"/>
        <v>691830.97091893724</v>
      </c>
      <c r="P502" s="48" t="str">
        <f t="shared" si="288"/>
        <v>547.187404092767</v>
      </c>
      <c r="Q502" s="17" t="str">
        <f t="shared" si="289"/>
        <v>1+83366.3293975623i</v>
      </c>
      <c r="R502" s="17">
        <f t="shared" si="297"/>
        <v>83366.32940355991</v>
      </c>
      <c r="S502" s="17">
        <f t="shared" si="298"/>
        <v>1.5707843315444499</v>
      </c>
      <c r="T502" s="17" t="str">
        <f t="shared" si="290"/>
        <v>1+1.57745246531693i</v>
      </c>
      <c r="U502" s="17">
        <f t="shared" si="299"/>
        <v>1.8677141859327568</v>
      </c>
      <c r="V502" s="17">
        <f t="shared" si="300"/>
        <v>1.0057986818196627</v>
      </c>
      <c r="W502" s="31" t="str">
        <f t="shared" si="291"/>
        <v>1-27.3928531642584i</v>
      </c>
      <c r="X502" s="17">
        <f t="shared" si="301"/>
        <v>27.411100023140655</v>
      </c>
      <c r="Y502" s="17">
        <f t="shared" si="302"/>
        <v>-1.5343066583898883</v>
      </c>
      <c r="Z502" s="31" t="str">
        <f t="shared" si="292"/>
        <v>-157.224823908311+131.065659086123i</v>
      </c>
      <c r="AA502" s="17">
        <f t="shared" si="303"/>
        <v>204.68964860167998</v>
      </c>
      <c r="AB502" s="17">
        <f t="shared" si="304"/>
        <v>2.4466855909951493</v>
      </c>
      <c r="AC502" s="66" t="str">
        <f t="shared" si="305"/>
        <v>-0.000271933267536899+0.00161899336805286i</v>
      </c>
      <c r="AD502" s="64">
        <f t="shared" si="306"/>
        <v>-55.694271741002943</v>
      </c>
      <c r="AE502" s="61">
        <f t="shared" si="307"/>
        <v>99.534652621258218</v>
      </c>
      <c r="AF502" s="31" t="str">
        <f t="shared" si="293"/>
        <v>-0.000106860158311346</v>
      </c>
      <c r="AG502" s="31" t="str">
        <f t="shared" si="294"/>
        <v>0.020082688124867i</v>
      </c>
      <c r="AH502" s="31">
        <f t="shared" si="308"/>
        <v>2.0082688124867E-2</v>
      </c>
      <c r="AI502" s="31">
        <f t="shared" si="309"/>
        <v>1.5707963267948966</v>
      </c>
      <c r="AJ502" s="31" t="str">
        <f t="shared" si="295"/>
        <v>1+317.041593605591i</v>
      </c>
      <c r="AK502" s="31">
        <f t="shared" si="310"/>
        <v>317.04317068180592</v>
      </c>
      <c r="AL502" s="31">
        <f t="shared" si="311"/>
        <v>1.5676421769800257</v>
      </c>
      <c r="AM502" s="31" t="str">
        <f t="shared" si="296"/>
        <v>1+2034.35022563587i</v>
      </c>
      <c r="AN502" s="31">
        <f t="shared" si="312"/>
        <v>2034.3504714145779</v>
      </c>
      <c r="AO502" s="31">
        <f t="shared" si="313"/>
        <v>1.5703047693890697</v>
      </c>
      <c r="AP502" s="58" t="str">
        <f t="shared" si="314"/>
        <v>-0.0000909087145675475+0.0341428524430918i</v>
      </c>
      <c r="AQ502" s="49">
        <f t="shared" si="315"/>
        <v>-29.333973188033291</v>
      </c>
      <c r="AR502" s="61">
        <f t="shared" si="316"/>
        <v>90.152555307601773</v>
      </c>
      <c r="AS502" s="58" t="str">
        <f t="shared" si="317"/>
        <v>-0.0000552523305679731-9.43175803386322E-06i</v>
      </c>
      <c r="AT502" s="64">
        <f t="shared" si="318"/>
        <v>-85.028244929036248</v>
      </c>
      <c r="AU502" s="61">
        <f t="shared" si="319"/>
        <v>-170.31279207114</v>
      </c>
    </row>
    <row r="503" spans="14:47" x14ac:dyDescent="0.35">
      <c r="N503" s="10">
        <v>85</v>
      </c>
      <c r="O503" s="50">
        <f t="shared" si="320"/>
        <v>707945.78438413853</v>
      </c>
      <c r="P503" s="48" t="str">
        <f t="shared" si="288"/>
        <v>547.187404092767</v>
      </c>
      <c r="Q503" s="17" t="str">
        <f t="shared" si="289"/>
        <v>1+85308.1806646947i</v>
      </c>
      <c r="R503" s="17">
        <f t="shared" si="297"/>
        <v>85308.180670555797</v>
      </c>
      <c r="S503" s="17">
        <f t="shared" si="298"/>
        <v>1.5707846045896854</v>
      </c>
      <c r="T503" s="17" t="str">
        <f t="shared" si="290"/>
        <v>1+1.61419605341482i</v>
      </c>
      <c r="U503" s="17">
        <f t="shared" si="299"/>
        <v>1.8988493618136171</v>
      </c>
      <c r="V503" s="17">
        <f t="shared" si="300"/>
        <v>1.0161593652331866</v>
      </c>
      <c r="W503" s="31" t="str">
        <f t="shared" si="291"/>
        <v>1-28.0309146815614i</v>
      </c>
      <c r="X503" s="17">
        <f t="shared" si="301"/>
        <v>28.048746458353076</v>
      </c>
      <c r="Y503" s="17">
        <f t="shared" si="302"/>
        <v>-1.5351365524974911</v>
      </c>
      <c r="Z503" s="31" t="str">
        <f t="shared" si="292"/>
        <v>-164.681730124719+134.118570471488i</v>
      </c>
      <c r="AA503" s="17">
        <f t="shared" si="303"/>
        <v>212.38611814849452</v>
      </c>
      <c r="AB503" s="17">
        <f t="shared" si="304"/>
        <v>2.4581262318122423</v>
      </c>
      <c r="AC503" s="66" t="str">
        <f t="shared" si="305"/>
        <v>-0.000263409360106125+0.00158679357143777i</v>
      </c>
      <c r="AD503" s="64">
        <f t="shared" si="306"/>
        <v>-55.871534919175545</v>
      </c>
      <c r="AE503" s="61">
        <f t="shared" si="307"/>
        <v>99.425210545831646</v>
      </c>
      <c r="AF503" s="31" t="str">
        <f t="shared" si="293"/>
        <v>-0.000106860158311346</v>
      </c>
      <c r="AG503" s="31" t="str">
        <f t="shared" si="294"/>
        <v>0.0205504740243363i</v>
      </c>
      <c r="AH503" s="31">
        <f t="shared" si="308"/>
        <v>2.0550474024336299E-2</v>
      </c>
      <c r="AI503" s="31">
        <f t="shared" si="309"/>
        <v>1.5707963267948966</v>
      </c>
      <c r="AJ503" s="31" t="str">
        <f t="shared" si="295"/>
        <v>1+324.426440998125i</v>
      </c>
      <c r="AK503" s="31">
        <f t="shared" si="310"/>
        <v>324.427982175875</v>
      </c>
      <c r="AL503" s="31">
        <f t="shared" si="311"/>
        <v>1.5677139737352797</v>
      </c>
      <c r="AM503" s="31" t="str">
        <f t="shared" si="296"/>
        <v>1+2081.73632973796i</v>
      </c>
      <c r="AN503" s="31">
        <f t="shared" si="312"/>
        <v>2081.7365699220627</v>
      </c>
      <c r="AO503" s="31">
        <f t="shared" si="313"/>
        <v>1.5703159585999447</v>
      </c>
      <c r="AP503" s="58" t="str">
        <f t="shared" si="314"/>
        <v>-0.0000868171872901858+0.0333656788485628i</v>
      </c>
      <c r="AQ503" s="49">
        <f t="shared" si="315"/>
        <v>-29.533971290657007</v>
      </c>
      <c r="AR503" s="61">
        <f t="shared" si="316"/>
        <v>90.149082751102227</v>
      </c>
      <c r="AS503" s="58" t="str">
        <f t="shared" si="317"/>
        <v>-0.0000529215762438063-8.92659306968877E-06i</v>
      </c>
      <c r="AT503" s="64">
        <f t="shared" si="318"/>
        <v>-85.405506209832552</v>
      </c>
      <c r="AU503" s="61">
        <f t="shared" si="319"/>
        <v>-170.42570670306611</v>
      </c>
    </row>
    <row r="504" spans="14:47" x14ac:dyDescent="0.35">
      <c r="N504" s="10">
        <v>86</v>
      </c>
      <c r="O504" s="50">
        <f t="shared" si="320"/>
        <v>724435.96007499192</v>
      </c>
      <c r="P504" s="48" t="str">
        <f t="shared" si="288"/>
        <v>547.187404092767</v>
      </c>
      <c r="Q504" s="17" t="str">
        <f t="shared" si="289"/>
        <v>1+87295.2634584027i</v>
      </c>
      <c r="R504" s="17">
        <f t="shared" si="297"/>
        <v>87295.263464130388</v>
      </c>
      <c r="S504" s="17">
        <f t="shared" si="298"/>
        <v>1.5707848714196524</v>
      </c>
      <c r="T504" s="17" t="str">
        <f t="shared" si="290"/>
        <v>1+1.65179550962664i</v>
      </c>
      <c r="U504" s="17">
        <f t="shared" si="299"/>
        <v>1.9309138783546849</v>
      </c>
      <c r="V504" s="17">
        <f t="shared" si="300"/>
        <v>1.0264143674612354</v>
      </c>
      <c r="W504" s="31" t="str">
        <f t="shared" si="291"/>
        <v>1-28.6838385608615i</v>
      </c>
      <c r="X504" s="17">
        <f t="shared" si="301"/>
        <v>28.70126468616958</v>
      </c>
      <c r="Y504" s="17">
        <f t="shared" si="302"/>
        <v>-1.5359476033952495</v>
      </c>
      <c r="Z504" s="31" t="str">
        <f t="shared" si="292"/>
        <v>-172.490069504059+137.242593298186i</v>
      </c>
      <c r="AA504" s="17">
        <f t="shared" si="303"/>
        <v>220.42766045287146</v>
      </c>
      <c r="AB504" s="17">
        <f t="shared" si="304"/>
        <v>2.4695066976969891</v>
      </c>
      <c r="AC504" s="66" t="str">
        <f t="shared" si="305"/>
        <v>-0.000255066579086999+0.00155517486584882i</v>
      </c>
      <c r="AD504" s="64">
        <f t="shared" si="306"/>
        <v>-56.049134835633978</v>
      </c>
      <c r="AE504" s="61">
        <f t="shared" si="307"/>
        <v>99.314241146665012</v>
      </c>
      <c r="AF504" s="31" t="str">
        <f t="shared" si="293"/>
        <v>-0.000106860158311346</v>
      </c>
      <c r="AG504" s="31" t="str">
        <f t="shared" si="294"/>
        <v>0.0210291560571511i</v>
      </c>
      <c r="AH504" s="31">
        <f t="shared" si="308"/>
        <v>2.10291560571511E-2</v>
      </c>
      <c r="AI504" s="31">
        <f t="shared" si="309"/>
        <v>1.5707963267948966</v>
      </c>
      <c r="AJ504" s="31" t="str">
        <f t="shared" si="295"/>
        <v>1+331.983303583967i</v>
      </c>
      <c r="AK504" s="31">
        <f t="shared" si="310"/>
        <v>331.98480968038945</v>
      </c>
      <c r="AL504" s="31">
        <f t="shared" si="311"/>
        <v>1.5677841362275642</v>
      </c>
      <c r="AM504" s="31" t="str">
        <f t="shared" si="296"/>
        <v>1+2130.22619799712i</v>
      </c>
      <c r="AN504" s="31">
        <f t="shared" si="312"/>
        <v>2130.2264327139651</v>
      </c>
      <c r="AO504" s="31">
        <f t="shared" si="313"/>
        <v>1.5703268931134011</v>
      </c>
      <c r="AP504" s="58" t="str">
        <f t="shared" si="314"/>
        <v>-0.0000829098056543908+0.0326061950430873i</v>
      </c>
      <c r="AQ504" s="49">
        <f t="shared" si="315"/>
        <v>-29.733969478675881</v>
      </c>
      <c r="AR504" s="61">
        <f t="shared" si="316"/>
        <v>90.145689237886288</v>
      </c>
      <c r="AS504" s="58" t="str">
        <f t="shared" si="317"/>
        <v>-0.0000506871874814727-8.44568987256986E-06i</v>
      </c>
      <c r="AT504" s="64">
        <f t="shared" si="318"/>
        <v>-85.783104314309867</v>
      </c>
      <c r="AU504" s="61">
        <f t="shared" si="319"/>
        <v>-170.54006961544869</v>
      </c>
    </row>
    <row r="505" spans="14:47" x14ac:dyDescent="0.35">
      <c r="N505" s="10">
        <v>87</v>
      </c>
      <c r="O505" s="50">
        <f t="shared" si="320"/>
        <v>741310.24130091805</v>
      </c>
      <c r="P505" s="48" t="str">
        <f t="shared" si="288"/>
        <v>547.187404092767</v>
      </c>
      <c r="Q505" s="17" t="str">
        <f t="shared" si="289"/>
        <v>1+89328.6313562854i</v>
      </c>
      <c r="R505" s="17">
        <f t="shared" si="297"/>
        <v>89328.631361882712</v>
      </c>
      <c r="S505" s="17">
        <f t="shared" si="298"/>
        <v>1.5707851321758279</v>
      </c>
      <c r="T505" s="17" t="str">
        <f t="shared" si="290"/>
        <v>1+1.69027076968175i</v>
      </c>
      <c r="U505" s="17">
        <f t="shared" si="299"/>
        <v>1.9639285309910175</v>
      </c>
      <c r="V505" s="17">
        <f t="shared" si="300"/>
        <v>1.0365604976789751</v>
      </c>
      <c r="W505" s="31" t="str">
        <f t="shared" si="291"/>
        <v>1-29.351970991042i</v>
      </c>
      <c r="X505" s="17">
        <f t="shared" si="301"/>
        <v>29.369000681994116</v>
      </c>
      <c r="Y505" s="17">
        <f t="shared" si="302"/>
        <v>-1.5367402368425493</v>
      </c>
      <c r="Z505" s="31" t="str">
        <f t="shared" si="292"/>
        <v>-180.666404581033+140.439383964471i</v>
      </c>
      <c r="AA505" s="17">
        <f t="shared" si="303"/>
        <v>228.83087709607202</v>
      </c>
      <c r="AB505" s="17">
        <f t="shared" si="304"/>
        <v>2.4808217562623125</v>
      </c>
      <c r="AC505" s="66" t="str">
        <f t="shared" si="305"/>
        <v>-0.000246904475738187+0.00152412464910744i</v>
      </c>
      <c r="AD505" s="64">
        <f t="shared" si="306"/>
        <v>-56.227087297709204</v>
      </c>
      <c r="AE505" s="61">
        <f t="shared" si="307"/>
        <v>99.201836994335636</v>
      </c>
      <c r="AF505" s="31" t="str">
        <f t="shared" si="293"/>
        <v>-0.000106860158311346</v>
      </c>
      <c r="AG505" s="31" t="str">
        <f t="shared" si="294"/>
        <v>0.021518988026861i</v>
      </c>
      <c r="AH505" s="31">
        <f t="shared" si="308"/>
        <v>2.1518988026860999E-2</v>
      </c>
      <c r="AI505" s="31">
        <f t="shared" si="309"/>
        <v>1.5707963267948966</v>
      </c>
      <c r="AJ505" s="31" t="str">
        <f t="shared" si="295"/>
        <v>1+339.716188111687i</v>
      </c>
      <c r="AK505" s="31">
        <f t="shared" si="310"/>
        <v>339.71765992531965</v>
      </c>
      <c r="AL505" s="31">
        <f t="shared" si="311"/>
        <v>1.5678527016551964</v>
      </c>
      <c r="AM505" s="31" t="str">
        <f t="shared" si="296"/>
        <v>1+2179.84554038332i</v>
      </c>
      <c r="AN505" s="31">
        <f t="shared" si="312"/>
        <v>2179.8457697573581</v>
      </c>
      <c r="AO505" s="31">
        <f t="shared" si="313"/>
        <v>1.5703375787270522</v>
      </c>
      <c r="AP505" s="58" t="str">
        <f t="shared" si="314"/>
        <v>-0.0000791782820419955+0.0318639984140883i</v>
      </c>
      <c r="AQ505" s="49">
        <f t="shared" si="315"/>
        <v>-29.93396774824658</v>
      </c>
      <c r="AR505" s="61">
        <f t="shared" si="316"/>
        <v>90.142372968826166</v>
      </c>
      <c r="AS505" s="58" t="str">
        <f t="shared" si="317"/>
        <v>-0.0000485451559298149-7.98804139468708E-06i</v>
      </c>
      <c r="AT505" s="64">
        <f t="shared" si="318"/>
        <v>-86.161055045955791</v>
      </c>
      <c r="AU505" s="61">
        <f t="shared" si="319"/>
        <v>-170.6557900368382</v>
      </c>
    </row>
    <row r="506" spans="14:47" x14ac:dyDescent="0.35">
      <c r="N506" s="10">
        <v>88</v>
      </c>
      <c r="O506" s="50">
        <f t="shared" si="320"/>
        <v>758577.57502918423</v>
      </c>
      <c r="P506" s="48" t="str">
        <f t="shared" si="288"/>
        <v>547.187404092767</v>
      </c>
      <c r="Q506" s="17" t="str">
        <f t="shared" si="289"/>
        <v>1+91409.3624769178i</v>
      </c>
      <c r="R506" s="17">
        <f t="shared" si="297"/>
        <v>91409.362482387703</v>
      </c>
      <c r="S506" s="17">
        <f t="shared" si="298"/>
        <v>1.5707853869964683</v>
      </c>
      <c r="T506" s="17" t="str">
        <f t="shared" si="290"/>
        <v>1+1.72964223367233i</v>
      </c>
      <c r="U506" s="17">
        <f t="shared" si="299"/>
        <v>1.9979144767739703</v>
      </c>
      <c r="V506" s="17">
        <f t="shared" si="300"/>
        <v>1.046594779138434</v>
      </c>
      <c r="W506" s="31" t="str">
        <f t="shared" si="291"/>
        <v>1-30.0356662247612i</v>
      </c>
      <c r="X506" s="17">
        <f t="shared" si="301"/>
        <v>30.052308489785954</v>
      </c>
      <c r="Y506" s="17">
        <f t="shared" si="302"/>
        <v>-1.5375148691179716</v>
      </c>
      <c r="Z506" s="31" t="str">
        <f t="shared" si="292"/>
        <v>-189.228078458565+143.710637451069i</v>
      </c>
      <c r="AA506" s="17">
        <f t="shared" si="303"/>
        <v>237.61315829245109</v>
      </c>
      <c r="AB506" s="17">
        <f t="shared" si="304"/>
        <v>2.4920663248197057</v>
      </c>
      <c r="AC506" s="66" t="str">
        <f t="shared" si="305"/>
        <v>-0.00023892260917375+0.00149363092411118i</v>
      </c>
      <c r="AD506" s="64">
        <f t="shared" si="306"/>
        <v>-56.405406864975745</v>
      </c>
      <c r="AE506" s="61">
        <f t="shared" si="307"/>
        <v>99.08809489142115</v>
      </c>
      <c r="AF506" s="31" t="str">
        <f t="shared" si="293"/>
        <v>-0.000106860158311346</v>
      </c>
      <c r="AG506" s="31" t="str">
        <f t="shared" si="294"/>
        <v>0.0220202296488603i</v>
      </c>
      <c r="AH506" s="31">
        <f t="shared" si="308"/>
        <v>2.2020229648860301E-2</v>
      </c>
      <c r="AI506" s="31">
        <f t="shared" si="309"/>
        <v>1.5707963267948966</v>
      </c>
      <c r="AJ506" s="31" t="str">
        <f t="shared" si="295"/>
        <v>1+347.62919465902i</v>
      </c>
      <c r="AK506" s="31">
        <f t="shared" si="310"/>
        <v>347.63063297022433</v>
      </c>
      <c r="AL506" s="31">
        <f t="shared" si="311"/>
        <v>1.5679197063698938</v>
      </c>
      <c r="AM506" s="31" t="str">
        <f t="shared" si="296"/>
        <v>1+2230.6206657287i</v>
      </c>
      <c r="AN506" s="31">
        <f t="shared" si="312"/>
        <v>2230.620889881548</v>
      </c>
      <c r="AO506" s="31">
        <f t="shared" si="313"/>
        <v>1.5703480211065421</v>
      </c>
      <c r="AP506" s="58" t="str">
        <f t="shared" si="314"/>
        <v>-0.0000756147018126129+0.0311386955098199i</v>
      </c>
      <c r="AQ506" s="49">
        <f t="shared" si="315"/>
        <v>-30.133966095698788</v>
      </c>
      <c r="AR506" s="61">
        <f t="shared" si="316"/>
        <v>90.139132185739371</v>
      </c>
      <c r="AS506" s="58" t="str">
        <f t="shared" si="317"/>
        <v>-0.0000464916524881-7.55267883441787E-06i</v>
      </c>
      <c r="AT506" s="64">
        <f t="shared" si="318"/>
        <v>-86.539372960674527</v>
      </c>
      <c r="AU506" s="61">
        <f t="shared" si="319"/>
        <v>-170.77277292283947</v>
      </c>
    </row>
    <row r="507" spans="14:47" x14ac:dyDescent="0.35">
      <c r="N507" s="10">
        <v>89</v>
      </c>
      <c r="O507" s="50">
        <f t="shared" si="320"/>
        <v>776247.11662869214</v>
      </c>
      <c r="P507" s="48" t="str">
        <f t="shared" si="288"/>
        <v>547.187404092767</v>
      </c>
      <c r="Q507" s="17" t="str">
        <f t="shared" si="289"/>
        <v>1+93538.5600514813i</v>
      </c>
      <c r="R507" s="17">
        <f t="shared" si="297"/>
        <v>93538.560056826682</v>
      </c>
      <c r="S507" s="17">
        <f t="shared" si="298"/>
        <v>1.5707856360166828</v>
      </c>
      <c r="T507" s="17" t="str">
        <f t="shared" si="290"/>
        <v>1+1.76993077686973i</v>
      </c>
      <c r="U507" s="17">
        <f t="shared" si="299"/>
        <v>2.0328932472982162</v>
      </c>
      <c r="V507" s="17">
        <f t="shared" si="300"/>
        <v>1.0565144490176179</v>
      </c>
      <c r="W507" s="31" t="str">
        <f t="shared" si="291"/>
        <v>1-30.7352867662819i</v>
      </c>
      <c r="X507" s="17">
        <f t="shared" si="301"/>
        <v>30.751550409785576</v>
      </c>
      <c r="Y507" s="17">
        <f t="shared" si="302"/>
        <v>-1.5382719072211006</v>
      </c>
      <c r="Z507" s="31" t="str">
        <f t="shared" si="292"/>
        <v>-198.19325159483+147.058088219879i</v>
      </c>
      <c r="AA507" s="17">
        <f t="shared" si="303"/>
        <v>246.79271927797487</v>
      </c>
      <c r="AB507" s="17">
        <f t="shared" si="304"/>
        <v>2.5032354809026924</v>
      </c>
      <c r="AC507" s="66" t="str">
        <f t="shared" si="305"/>
        <v>-0.000231120520843792+0.00146368227056773i</v>
      </c>
      <c r="AD507" s="64">
        <f t="shared" si="306"/>
        <v>-56.584106835909047</v>
      </c>
      <c r="AE507" s="61">
        <f t="shared" si="307"/>
        <v>98.973115249336544</v>
      </c>
      <c r="AF507" s="31" t="str">
        <f t="shared" si="293"/>
        <v>-0.000106860158311346</v>
      </c>
      <c r="AG507" s="31" t="str">
        <f t="shared" si="294"/>
        <v>0.0225331466880917i</v>
      </c>
      <c r="AH507" s="31">
        <f t="shared" si="308"/>
        <v>2.2533146688091699E-2</v>
      </c>
      <c r="AI507" s="31">
        <f t="shared" si="309"/>
        <v>1.5707963267948966</v>
      </c>
      <c r="AJ507" s="31" t="str">
        <f t="shared" si="295"/>
        <v>1+355.726518806777i</v>
      </c>
      <c r="AK507" s="31">
        <f t="shared" si="310"/>
        <v>355.72792437815207</v>
      </c>
      <c r="AL507" s="31">
        <f t="shared" si="311"/>
        <v>1.5679851858960345</v>
      </c>
      <c r="AM507" s="31" t="str">
        <f t="shared" si="296"/>
        <v>1+2282.57849567682i</v>
      </c>
      <c r="AN507" s="31">
        <f t="shared" si="312"/>
        <v>2282.5787147273268</v>
      </c>
      <c r="AO507" s="31">
        <f t="shared" si="313"/>
        <v>1.5703582257885493</v>
      </c>
      <c r="AP507" s="58" t="str">
        <f t="shared" si="314"/>
        <v>-0.0000722115065192045+0.0304299018310923i</v>
      </c>
      <c r="AQ507" s="49">
        <f t="shared" si="315"/>
        <v>-30.333964517527257</v>
      </c>
      <c r="AR507" s="61">
        <f t="shared" si="316"/>
        <v>90.135965170457283</v>
      </c>
      <c r="AS507" s="58" t="str">
        <f t="shared" si="317"/>
        <v>-0.0000445230182442887-7.13866946225066E-06i</v>
      </c>
      <c r="AT507" s="64">
        <f t="shared" si="318"/>
        <v>-86.918071353436304</v>
      </c>
      <c r="AU507" s="61">
        <f t="shared" si="319"/>
        <v>-170.89091958020617</v>
      </c>
    </row>
    <row r="508" spans="14:47" x14ac:dyDescent="0.35">
      <c r="N508" s="10">
        <v>90</v>
      </c>
      <c r="O508" s="50">
        <f t="shared" si="320"/>
        <v>794328.23472428333</v>
      </c>
      <c r="P508" s="48" t="str">
        <f t="shared" si="288"/>
        <v>547.187404092767</v>
      </c>
      <c r="Q508" s="17" t="str">
        <f t="shared" si="289"/>
        <v>1+95717.3530087135i</v>
      </c>
      <c r="R508" s="17">
        <f t="shared" si="297"/>
        <v>95717.353013937216</v>
      </c>
      <c r="S508" s="17">
        <f t="shared" si="298"/>
        <v>1.570785879368505</v>
      </c>
      <c r="T508" s="17" t="str">
        <f t="shared" si="290"/>
        <v>1+1.81115776079283i</v>
      </c>
      <c r="U508" s="17">
        <f t="shared" si="299"/>
        <v>2.0688867621211404</v>
      </c>
      <c r="V508" s="17">
        <f t="shared" si="300"/>
        <v>1.0663169574617046</v>
      </c>
      <c r="W508" s="31" t="str">
        <f t="shared" si="291"/>
        <v>1-31.4512035636758i</v>
      </c>
      <c r="X508" s="17">
        <f t="shared" si="301"/>
        <v>31.467097190617594</v>
      </c>
      <c r="Y508" s="17">
        <f t="shared" si="302"/>
        <v>-1.5390117490706661</v>
      </c>
      <c r="Z508" s="31" t="str">
        <f t="shared" si="292"/>
        <v>-207.580940324032+150.483511133608i</v>
      </c>
      <c r="AA508" s="17">
        <f t="shared" si="303"/>
        <v>256.38863841619047</v>
      </c>
      <c r="AB508" s="17">
        <f t="shared" si="304"/>
        <v>2.5143244718668187</v>
      </c>
      <c r="AC508" s="66" t="str">
        <f t="shared" si="305"/>
        <v>-0.000223497711507482+0.00143426781605115i</v>
      </c>
      <c r="AD508" s="64">
        <f t="shared" si="306"/>
        <v>-56.763199242222271</v>
      </c>
      <c r="AE508" s="61">
        <f t="shared" si="307"/>
        <v>98.857001472001201</v>
      </c>
      <c r="AF508" s="31" t="str">
        <f t="shared" si="293"/>
        <v>-0.000106860158311346</v>
      </c>
      <c r="AG508" s="31" t="str">
        <f t="shared" si="294"/>
        <v>0.0230580110999585i</v>
      </c>
      <c r="AH508" s="31">
        <f t="shared" si="308"/>
        <v>2.30580110999585E-2</v>
      </c>
      <c r="AI508" s="31">
        <f t="shared" si="309"/>
        <v>1.5707963267948966</v>
      </c>
      <c r="AJ508" s="31" t="str">
        <f t="shared" si="295"/>
        <v>1+364.012453863404i</v>
      </c>
      <c r="AK508" s="31">
        <f t="shared" si="310"/>
        <v>364.0138274401906</v>
      </c>
      <c r="AL508" s="31">
        <f t="shared" si="311"/>
        <v>1.5680491749494831</v>
      </c>
      <c r="AM508" s="31" t="str">
        <f t="shared" si="296"/>
        <v>1+2335.74657895684i</v>
      </c>
      <c r="AN508" s="31">
        <f t="shared" si="312"/>
        <v>2335.7467930211487</v>
      </c>
      <c r="AO508" s="31">
        <f t="shared" si="313"/>
        <v>1.5703681981837232</v>
      </c>
      <c r="AP508" s="58" t="str">
        <f t="shared" si="314"/>
        <v>-0.0000689614778788588+0.0297372416277194i</v>
      </c>
      <c r="AQ508" s="49">
        <f t="shared" si="315"/>
        <v>-30.533963010384596</v>
      </c>
      <c r="AR508" s="61">
        <f t="shared" si="316"/>
        <v>90.132870243914724</v>
      </c>
      <c r="AS508" s="58" t="str">
        <f t="shared" si="317"/>
        <v>-0.0000426357558722863-6.74511467860928E-06i</v>
      </c>
      <c r="AT508" s="64">
        <f t="shared" si="318"/>
        <v>-87.297162252606881</v>
      </c>
      <c r="AU508" s="61">
        <f t="shared" si="319"/>
        <v>-171.01012828408406</v>
      </c>
    </row>
    <row r="509" spans="14:47" x14ac:dyDescent="0.35">
      <c r="N509" s="10">
        <v>91</v>
      </c>
      <c r="O509" s="50">
        <f t="shared" si="320"/>
        <v>812830.51616410096</v>
      </c>
      <c r="P509" s="48" t="str">
        <f t="shared" si="288"/>
        <v>547.187404092767</v>
      </c>
      <c r="Q509" s="17" t="str">
        <f t="shared" si="289"/>
        <v>1+97946.8965734796i</v>
      </c>
      <c r="R509" s="17">
        <f t="shared" si="297"/>
        <v>97946.896578584405</v>
      </c>
      <c r="S509" s="17">
        <f t="shared" si="298"/>
        <v>1.5707861171809634</v>
      </c>
      <c r="T509" s="17" t="str">
        <f t="shared" si="290"/>
        <v>1+1.8533450445342i</v>
      </c>
      <c r="U509" s="17">
        <f t="shared" si="299"/>
        <v>2.1059173426560398</v>
      </c>
      <c r="V509" s="17">
        <f t="shared" si="300"/>
        <v>1.0759999658637187</v>
      </c>
      <c r="W509" s="31" t="str">
        <f t="shared" si="291"/>
        <v>1-32.1837962055049i</v>
      </c>
      <c r="X509" s="17">
        <f t="shared" si="301"/>
        <v>32.199328225872527</v>
      </c>
      <c r="Y509" s="17">
        <f t="shared" si="302"/>
        <v>-1.5397347836990432</v>
      </c>
      <c r="Z509" s="31" t="str">
        <f t="shared" si="292"/>
        <v>-217.411057192595+153.988722396824i</v>
      </c>
      <c r="AA509" s="17">
        <f t="shared" si="303"/>
        <v>266.42089710645433</v>
      </c>
      <c r="AB509" s="17">
        <f t="shared" si="304"/>
        <v>2.525328723534467</v>
      </c>
      <c r="AC509" s="66" t="str">
        <f t="shared" si="305"/>
        <v>-0.000216053620712461+0.00140537720659117i</v>
      </c>
      <c r="AD509" s="64">
        <f t="shared" si="306"/>
        <v>-56.942694850576117</v>
      </c>
      <c r="AE509" s="61">
        <f t="shared" si="307"/>
        <v>98.739859350872251</v>
      </c>
      <c r="AF509" s="31" t="str">
        <f t="shared" si="293"/>
        <v>-0.000106860158311346</v>
      </c>
      <c r="AG509" s="31" t="str">
        <f t="shared" si="294"/>
        <v>0.0235951011745194i</v>
      </c>
      <c r="AH509" s="31">
        <f t="shared" si="308"/>
        <v>2.3595101174519399E-2</v>
      </c>
      <c r="AI509" s="31">
        <f t="shared" si="309"/>
        <v>1.5707963267948966</v>
      </c>
      <c r="AJ509" s="31" t="str">
        <f t="shared" si="295"/>
        <v>1+372.491393141342i</v>
      </c>
      <c r="AK509" s="31">
        <f t="shared" si="310"/>
        <v>372.49273545181757</v>
      </c>
      <c r="AL509" s="31">
        <f t="shared" si="311"/>
        <v>1.5681117074559856</v>
      </c>
      <c r="AM509" s="31" t="str">
        <f t="shared" si="296"/>
        <v>1+2390.15310599027i</v>
      </c>
      <c r="AN509" s="31">
        <f t="shared" si="312"/>
        <v>2390.1533151818808</v>
      </c>
      <c r="AO509" s="31">
        <f t="shared" si="313"/>
        <v>1.5703779435795513</v>
      </c>
      <c r="AP509" s="58" t="str">
        <f t="shared" si="314"/>
        <v>-0.0000658577224648259+0.0290603476995858i</v>
      </c>
      <c r="AQ509" s="49">
        <f t="shared" si="315"/>
        <v>-30.733961571074012</v>
      </c>
      <c r="AR509" s="61">
        <f t="shared" si="316"/>
        <v>90.129845765260399</v>
      </c>
      <c r="AS509" s="58" t="str">
        <f t="shared" si="317"/>
        <v>-0.0000408265214732216-6.37114828168862E-06i</v>
      </c>
      <c r="AT509" s="64">
        <f t="shared" si="318"/>
        <v>-87.676656421650137</v>
      </c>
      <c r="AU509" s="61">
        <f t="shared" si="319"/>
        <v>-171.13029488386735</v>
      </c>
    </row>
    <row r="510" spans="14:47" x14ac:dyDescent="0.35">
      <c r="N510" s="10">
        <v>92</v>
      </c>
      <c r="O510" s="50">
        <f t="shared" si="320"/>
        <v>831763.77110267128</v>
      </c>
      <c r="P510" s="48" t="str">
        <f t="shared" si="288"/>
        <v>547.187404092767</v>
      </c>
      <c r="Q510" s="17" t="str">
        <f t="shared" si="289"/>
        <v>1+100228.372879289i</v>
      </c>
      <c r="R510" s="17">
        <f t="shared" si="297"/>
        <v>100228.3728842776</v>
      </c>
      <c r="S510" s="17">
        <f t="shared" si="298"/>
        <v>1.5707863495801495</v>
      </c>
      <c r="T510" s="17" t="str">
        <f t="shared" si="290"/>
        <v>1+1.89651499635011i</v>
      </c>
      <c r="U510" s="17">
        <f t="shared" si="299"/>
        <v>2.1440077265207926</v>
      </c>
      <c r="V510" s="17">
        <f t="shared" si="300"/>
        <v>1.085561344435112</v>
      </c>
      <c r="W510" s="31" t="str">
        <f t="shared" si="291"/>
        <v>1-32.933453122085i</v>
      </c>
      <c r="X510" s="17">
        <f t="shared" si="301"/>
        <v>32.948631755272778</v>
      </c>
      <c r="Y510" s="17">
        <f t="shared" si="302"/>
        <v>-1.5404413914431341</v>
      </c>
      <c r="Z510" s="31" t="str">
        <f t="shared" si="292"/>
        <v>-227.704453196344+157.575580518936i</v>
      </c>
      <c r="AA510" s="17">
        <f t="shared" si="303"/>
        <v>276.91042158309187</v>
      </c>
      <c r="AB510" s="17">
        <f t="shared" si="304"/>
        <v>2.5362438478622185</v>
      </c>
      <c r="AC510" s="66" t="str">
        <f t="shared" si="305"/>
        <v>-0.000208787608770596+0.00137700057700429i</v>
      </c>
      <c r="AD510" s="64">
        <f t="shared" si="306"/>
        <v>-57.122603171295843</v>
      </c>
      <c r="AE510" s="61">
        <f t="shared" si="307"/>
        <v>98.621796475498869</v>
      </c>
      <c r="AF510" s="31" t="str">
        <f t="shared" si="293"/>
        <v>-0.000106860158311346</v>
      </c>
      <c r="AG510" s="31" t="str">
        <f t="shared" si="294"/>
        <v>0.024144701684041i</v>
      </c>
      <c r="AH510" s="31">
        <f t="shared" si="308"/>
        <v>2.4144701684040999E-2</v>
      </c>
      <c r="AI510" s="31">
        <f t="shared" si="309"/>
        <v>1.5707963267948966</v>
      </c>
      <c r="AJ510" s="31" t="str">
        <f t="shared" si="295"/>
        <v>1+381.16783228643i</v>
      </c>
      <c r="AK510" s="31">
        <f t="shared" si="310"/>
        <v>381.16914404229527</v>
      </c>
      <c r="AL510" s="31">
        <f t="shared" si="311"/>
        <v>1.5681728165691469</v>
      </c>
      <c r="AM510" s="31" t="str">
        <f t="shared" si="296"/>
        <v>1+2445.82692383792i</v>
      </c>
      <c r="AN510" s="31">
        <f t="shared" si="312"/>
        <v>2445.8271282677488</v>
      </c>
      <c r="AO510" s="31">
        <f t="shared" si="313"/>
        <v>1.5703874671431644</v>
      </c>
      <c r="AP510" s="58" t="str">
        <f t="shared" si="314"/>
        <v>-0.0000628936570873468+0.0283988612022266i</v>
      </c>
      <c r="AQ510" s="49">
        <f t="shared" si="315"/>
        <v>-30.933960196542571</v>
      </c>
      <c r="AR510" s="61">
        <f t="shared" si="316"/>
        <v>90.12689013098742</v>
      </c>
      <c r="AS510" s="58" t="str">
        <f t="shared" si="317"/>
        <v>-0.0000390921168454607-6.01593492432013E-06i</v>
      </c>
      <c r="AT510" s="64">
        <f t="shared" si="318"/>
        <v>-88.056563367838407</v>
      </c>
      <c r="AU510" s="61">
        <f t="shared" si="319"/>
        <v>-171.2513133935137</v>
      </c>
    </row>
    <row r="511" spans="14:47" x14ac:dyDescent="0.35">
      <c r="N511" s="10">
        <v>93</v>
      </c>
      <c r="O511" s="50">
        <f t="shared" si="320"/>
        <v>851138.03820237669</v>
      </c>
      <c r="P511" s="48" t="str">
        <f t="shared" si="288"/>
        <v>547.187404092767</v>
      </c>
      <c r="Q511" s="17" t="str">
        <f t="shared" si="289"/>
        <v>1+102562.991595079i</v>
      </c>
      <c r="R511" s="17">
        <f t="shared" si="297"/>
        <v>102562.99159995405</v>
      </c>
      <c r="S511" s="17">
        <f t="shared" si="298"/>
        <v>1.5707865766892843</v>
      </c>
      <c r="T511" s="17" t="str">
        <f t="shared" si="290"/>
        <v>1+1.94069050552042i</v>
      </c>
      <c r="U511" s="17">
        <f t="shared" si="299"/>
        <v>2.1831810823239337</v>
      </c>
      <c r="V511" s="17">
        <f t="shared" si="300"/>
        <v>1.0949991691189132</v>
      </c>
      <c r="W511" s="31" t="str">
        <f t="shared" si="291"/>
        <v>1-33.7005717914363i</v>
      </c>
      <c r="X511" s="17">
        <f t="shared" si="301"/>
        <v>33.71540507052751</v>
      </c>
      <c r="Y511" s="17">
        <f t="shared" si="302"/>
        <v>-1.5411319441316604</v>
      </c>
      <c r="Z511" s="31" t="str">
        <f t="shared" si="292"/>
        <v>-238.482962008262+161.245987299599i</v>
      </c>
      <c r="AA511" s="17">
        <f t="shared" si="303"/>
        <v>287.87912669809282</v>
      </c>
      <c r="AB511" s="17">
        <f t="shared" si="304"/>
        <v>2.5470656496176431</v>
      </c>
      <c r="AC511" s="66" t="str">
        <f t="shared" si="305"/>
        <v>-0.000201698941197923+0.00134912852117052i</v>
      </c>
      <c r="AD511" s="64">
        <f t="shared" si="306"/>
        <v>-57.302932473676684</v>
      </c>
      <c r="AE511" s="61">
        <f t="shared" si="307"/>
        <v>98.502921663373172</v>
      </c>
      <c r="AF511" s="31" t="str">
        <f t="shared" si="293"/>
        <v>-0.000106860158311346</v>
      </c>
      <c r="AG511" s="31" t="str">
        <f t="shared" si="294"/>
        <v>0.0247071040339885i</v>
      </c>
      <c r="AH511" s="31">
        <f t="shared" si="308"/>
        <v>2.47071040339885E-2</v>
      </c>
      <c r="AI511" s="31">
        <f t="shared" si="309"/>
        <v>1.5707963267948966</v>
      </c>
      <c r="AJ511" s="31" t="str">
        <f t="shared" si="295"/>
        <v>1+390.046371661549i</v>
      </c>
      <c r="AK511" s="31">
        <f t="shared" si="310"/>
        <v>390.04765355830466</v>
      </c>
      <c r="AL511" s="31">
        <f t="shared" si="311"/>
        <v>1.5682325346880013</v>
      </c>
      <c r="AM511" s="31" t="str">
        <f t="shared" si="296"/>
        <v>1+2502.79755149494i</v>
      </c>
      <c r="AN511" s="31">
        <f t="shared" si="312"/>
        <v>2502.7977512713778</v>
      </c>
      <c r="AO511" s="31">
        <f t="shared" si="313"/>
        <v>1.5703967739240747</v>
      </c>
      <c r="AP511" s="58" t="str">
        <f t="shared" si="314"/>
        <v>-0.0000600629948323002+0.0277524314568192i</v>
      </c>
      <c r="AQ511" s="49">
        <f t="shared" si="315"/>
        <v>-31.133958883874836</v>
      </c>
      <c r="AR511" s="61">
        <f t="shared" si="316"/>
        <v>90.124001774083624</v>
      </c>
      <c r="AS511" s="58" t="str">
        <f t="shared" si="317"/>
        <v>-0.0000374294821677619-5.67866873990354E-06i</v>
      </c>
      <c r="AT511" s="64">
        <f t="shared" si="318"/>
        <v>-88.436891357551502</v>
      </c>
      <c r="AU511" s="61">
        <f t="shared" si="319"/>
        <v>-171.37307656254322</v>
      </c>
    </row>
    <row r="512" spans="14:47" x14ac:dyDescent="0.35">
      <c r="N512" s="10">
        <v>94</v>
      </c>
      <c r="O512" s="50">
        <f t="shared" si="320"/>
        <v>870963.58995608077</v>
      </c>
      <c r="P512" s="48" t="str">
        <f t="shared" si="288"/>
        <v>547.187404092767</v>
      </c>
      <c r="Q512" s="17" t="str">
        <f t="shared" si="289"/>
        <v>1+104951.990566594i</v>
      </c>
      <c r="R512" s="17">
        <f t="shared" si="297"/>
        <v>104951.9905713581</v>
      </c>
      <c r="S512" s="17">
        <f t="shared" si="298"/>
        <v>1.570786798628784</v>
      </c>
      <c r="T512" s="17" t="str">
        <f t="shared" si="290"/>
        <v>1+1.98589499448484i</v>
      </c>
      <c r="U512" s="17">
        <f t="shared" si="299"/>
        <v>2.2234610248708977</v>
      </c>
      <c r="V512" s="17">
        <f t="shared" si="300"/>
        <v>1.1043117178997401</v>
      </c>
      <c r="W512" s="31" t="str">
        <f t="shared" si="291"/>
        <v>1-34.4855589500312i</v>
      </c>
      <c r="X512" s="17">
        <f t="shared" si="301"/>
        <v>34.500054725986693</v>
      </c>
      <c r="Y512" s="17">
        <f t="shared" si="302"/>
        <v>-1.5418068052688989</v>
      </c>
      <c r="Z512" s="31" t="str">
        <f t="shared" si="292"/>
        <v>-249.76944629064+165.001888837071i</v>
      </c>
      <c r="AA512" s="17">
        <f t="shared" si="303"/>
        <v>299.34996178408647</v>
      </c>
      <c r="AB512" s="17">
        <f t="shared" si="304"/>
        <v>2.5577901320612546</v>
      </c>
      <c r="AC512" s="66" t="str">
        <f t="shared" si="305"/>
        <v>-0.000194786775565311+0.0013217520624527i</v>
      </c>
      <c r="AD512" s="64">
        <f t="shared" si="306"/>
        <v>-57.483689807412127</v>
      </c>
      <c r="AE512" s="61">
        <f t="shared" si="307"/>
        <v>98.383344412425458</v>
      </c>
      <c r="AF512" s="31" t="str">
        <f t="shared" si="293"/>
        <v>-0.000106860158311346</v>
      </c>
      <c r="AG512" s="31" t="str">
        <f t="shared" si="294"/>
        <v>0.025282606417532i</v>
      </c>
      <c r="AH512" s="31">
        <f t="shared" si="308"/>
        <v>2.5282606417532001E-2</v>
      </c>
      <c r="AI512" s="31">
        <f t="shared" si="309"/>
        <v>1.5707963267948966</v>
      </c>
      <c r="AJ512" s="31" t="str">
        <f t="shared" si="295"/>
        <v>1+399.131718785798i</v>
      </c>
      <c r="AK512" s="31">
        <f t="shared" si="310"/>
        <v>399.13297150311365</v>
      </c>
      <c r="AL512" s="31">
        <f t="shared" si="311"/>
        <v>1.568290893474181</v>
      </c>
      <c r="AM512" s="31" t="str">
        <f t="shared" si="296"/>
        <v>1+2561.0951955422i</v>
      </c>
      <c r="AN512" s="31">
        <f t="shared" si="312"/>
        <v>2561.0953907711719</v>
      </c>
      <c r="AO512" s="31">
        <f t="shared" si="313"/>
        <v>1.5704058688568545</v>
      </c>
      <c r="AP512" s="58" t="str">
        <f t="shared" si="314"/>
        <v>-0.000057359731728074+0.0271207157644881i</v>
      </c>
      <c r="AQ512" s="49">
        <f t="shared" si="315"/>
        <v>-31.333957630286552</v>
      </c>
      <c r="AR512" s="61">
        <f t="shared" si="316"/>
        <v>90.121179163201262</v>
      </c>
      <c r="AS512" s="58" t="str">
        <f t="shared" si="317"/>
        <v>-0.000035835689079715-5.35857211850125E-06i</v>
      </c>
      <c r="AT512" s="64">
        <f t="shared" si="318"/>
        <v>-88.817647437698668</v>
      </c>
      <c r="AU512" s="61">
        <f t="shared" si="319"/>
        <v>-171.49547642437329</v>
      </c>
    </row>
    <row r="513" spans="14:47" x14ac:dyDescent="0.35">
      <c r="N513" s="10">
        <v>95</v>
      </c>
      <c r="O513" s="50">
        <f t="shared" si="320"/>
        <v>891250.93813374708</v>
      </c>
      <c r="P513" s="48" t="str">
        <f t="shared" si="288"/>
        <v>547.187404092767</v>
      </c>
      <c r="Q513" s="17" t="str">
        <f t="shared" si="289"/>
        <v>1+107396.636472712i</v>
      </c>
      <c r="R513" s="17">
        <f t="shared" si="297"/>
        <v>107396.63647736763</v>
      </c>
      <c r="S513" s="17">
        <f t="shared" si="298"/>
        <v>1.5707870155163239</v>
      </c>
      <c r="T513" s="17" t="str">
        <f t="shared" si="290"/>
        <v>1+2.03215243126177i</v>
      </c>
      <c r="U513" s="17">
        <f t="shared" si="299"/>
        <v>2.2648716307736119</v>
      </c>
      <c r="V513" s="17">
        <f t="shared" si="300"/>
        <v>1.1134974665657844</v>
      </c>
      <c r="W513" s="31" t="str">
        <f t="shared" si="291"/>
        <v>1-35.2888308084518i</v>
      </c>
      <c r="X513" s="17">
        <f t="shared" si="301"/>
        <v>35.302996754206816</v>
      </c>
      <c r="Y513" s="17">
        <f t="shared" si="302"/>
        <v>-1.5424663302148933</v>
      </c>
      <c r="Z513" s="31" t="str">
        <f t="shared" si="292"/>
        <v>-261.587846189846+168.845276560063i</v>
      </c>
      <c r="AA513" s="17">
        <f t="shared" si="303"/>
        <v>311.34695869863049</v>
      </c>
      <c r="AB513" s="17">
        <f t="shared" si="304"/>
        <v>2.5684135016378513</v>
      </c>
      <c r="AC513" s="66" t="str">
        <f t="shared" si="305"/>
        <v>-0.000188050150686837+0.0012948626244448i</v>
      </c>
      <c r="AD513" s="64">
        <f t="shared" si="306"/>
        <v>-57.664881029648008</v>
      </c>
      <c r="AE513" s="61">
        <f t="shared" si="307"/>
        <v>98.263174379081249</v>
      </c>
      <c r="AF513" s="31" t="str">
        <f t="shared" si="293"/>
        <v>-0.000106860158311346</v>
      </c>
      <c r="AG513" s="31" t="str">
        <f t="shared" si="294"/>
        <v>0.025871513973653i</v>
      </c>
      <c r="AH513" s="31">
        <f t="shared" si="308"/>
        <v>2.5871513973653001E-2</v>
      </c>
      <c r="AI513" s="31">
        <f t="shared" si="309"/>
        <v>1.5707963267948966</v>
      </c>
      <c r="AJ513" s="31" t="str">
        <f t="shared" si="295"/>
        <v>1+408.42869083048i</v>
      </c>
      <c r="AK513" s="31">
        <f t="shared" si="310"/>
        <v>408.42991503255462</v>
      </c>
      <c r="AL513" s="31">
        <f t="shared" si="311"/>
        <v>1.5683479238686961</v>
      </c>
      <c r="AM513" s="31" t="str">
        <f t="shared" si="296"/>
        <v>1+2620.75076616224i</v>
      </c>
      <c r="AN513" s="31">
        <f t="shared" si="312"/>
        <v>2620.7509569472581</v>
      </c>
      <c r="AO513" s="31">
        <f t="shared" si="313"/>
        <v>1.5704147567637514</v>
      </c>
      <c r="AP513" s="58" t="str">
        <f t="shared" si="314"/>
        <v>-0.0000547781340123945+0.0265033792248246i</v>
      </c>
      <c r="AQ513" s="49">
        <f t="shared" si="315"/>
        <v>-31.533956433118707</v>
      </c>
      <c r="AR513" s="61">
        <f t="shared" si="316"/>
        <v>90.118420801845474</v>
      </c>
      <c r="AS513" s="58" t="str">
        <f t="shared" si="317"/>
        <v>-0.0000343079341433568-5.05489461530813E-06i</v>
      </c>
      <c r="AT513" s="64">
        <f t="shared" si="318"/>
        <v>-89.198837462766704</v>
      </c>
      <c r="AU513" s="61">
        <f t="shared" si="319"/>
        <v>-171.61840481907328</v>
      </c>
    </row>
    <row r="514" spans="14:47" x14ac:dyDescent="0.35">
      <c r="N514" s="10">
        <v>96</v>
      </c>
      <c r="O514" s="50">
        <f t="shared" si="320"/>
        <v>912010.83935591124</v>
      </c>
      <c r="P514" s="48" t="str">
        <f t="shared" si="288"/>
        <v>547.187404092767</v>
      </c>
      <c r="Q514" s="17" t="str">
        <f t="shared" si="289"/>
        <v>1+109898.22549705i</v>
      </c>
      <c r="R514" s="17">
        <f t="shared" si="297"/>
        <v>109898.22550159968</v>
      </c>
      <c r="S514" s="17">
        <f t="shared" si="298"/>
        <v>1.5707872274669006</v>
      </c>
      <c r="T514" s="17" t="str">
        <f t="shared" si="290"/>
        <v>1+2.07948734215646i</v>
      </c>
      <c r="U514" s="17">
        <f t="shared" si="299"/>
        <v>2.3074374544478853</v>
      </c>
      <c r="V514" s="17">
        <f t="shared" si="300"/>
        <v>1.1225550839782361</v>
      </c>
      <c r="W514" s="31" t="str">
        <f t="shared" si="291"/>
        <v>1-36.1108132720699i</v>
      </c>
      <c r="X514" s="17">
        <f t="shared" si="301"/>
        <v>36.124656886540798</v>
      </c>
      <c r="Y514" s="17">
        <f t="shared" si="302"/>
        <v>-1.5431108663621813</v>
      </c>
      <c r="Z514" s="31" t="str">
        <f t="shared" si="292"/>
        <v>-273.963230116587+172.778188283618i</v>
      </c>
      <c r="AA514" s="17">
        <f t="shared" si="303"/>
        <v>323.89528215533392</v>
      </c>
      <c r="AB514" s="17">
        <f t="shared" si="304"/>
        <v>2.5789321716895683</v>
      </c>
      <c r="AC514" s="66" t="str">
        <f t="shared" si="305"/>
        <v>-0.00018148797805516+0.0012684520022241i</v>
      </c>
      <c r="AD514" s="64">
        <f t="shared" si="306"/>
        <v>-57.8465108371363</v>
      </c>
      <c r="AE514" s="61">
        <f t="shared" si="307"/>
        <v>98.142520884348102</v>
      </c>
      <c r="AF514" s="31" t="str">
        <f t="shared" si="293"/>
        <v>-0.000106860158311346</v>
      </c>
      <c r="AG514" s="31" t="str">
        <f t="shared" si="294"/>
        <v>0.0264741389489327i</v>
      </c>
      <c r="AH514" s="31">
        <f t="shared" si="308"/>
        <v>2.6474138948932701E-2</v>
      </c>
      <c r="AI514" s="31">
        <f t="shared" si="309"/>
        <v>1.5707963267948966</v>
      </c>
      <c r="AJ514" s="31" t="str">
        <f t="shared" si="295"/>
        <v>1+417.942217173233i</v>
      </c>
      <c r="AK514" s="31">
        <f t="shared" si="310"/>
        <v>417.94341350914709</v>
      </c>
      <c r="AL514" s="31">
        <f t="shared" si="311"/>
        <v>1.5684036561083319</v>
      </c>
      <c r="AM514" s="31" t="str">
        <f t="shared" si="296"/>
        <v>1+2681.79589352824i</v>
      </c>
      <c r="AN514" s="31">
        <f t="shared" si="312"/>
        <v>2681.7960799704611</v>
      </c>
      <c r="AO514" s="31">
        <f t="shared" si="313"/>
        <v>1.5704234423572458</v>
      </c>
      <c r="AP514" s="58" t="str">
        <f t="shared" si="314"/>
        <v>-0.0000523127259721275+0.0259000945585265i</v>
      </c>
      <c r="AQ514" s="49">
        <f t="shared" si="315"/>
        <v>-31.733955289831851</v>
      </c>
      <c r="AR514" s="61">
        <f t="shared" si="316"/>
        <v>90.115725227581336</v>
      </c>
      <c r="AS514" s="58" t="str">
        <f t="shared" si="317"/>
        <v>-0.0000328435326696932-4.76691197486557E-06i</v>
      </c>
      <c r="AT514" s="64">
        <f t="shared" si="318"/>
        <v>-89.580466126968162</v>
      </c>
      <c r="AU514" s="61">
        <f t="shared" si="319"/>
        <v>-171.74175388807058</v>
      </c>
    </row>
    <row r="515" spans="14:47" x14ac:dyDescent="0.35">
      <c r="N515" s="10">
        <v>97</v>
      </c>
      <c r="O515" s="50">
        <f t="shared" si="320"/>
        <v>933254.30079699249</v>
      </c>
      <c r="P515" s="48" t="str">
        <f t="shared" si="288"/>
        <v>547.187404092767</v>
      </c>
      <c r="Q515" s="17" t="str">
        <f t="shared" si="289"/>
        <v>1+112458.084015221i</v>
      </c>
      <c r="R515" s="17">
        <f t="shared" si="297"/>
        <v>112458.08401966709</v>
      </c>
      <c r="S515" s="17">
        <f t="shared" si="298"/>
        <v>1.5707874345928932</v>
      </c>
      <c r="T515" s="17" t="str">
        <f t="shared" si="290"/>
        <v>1+2.12792482476524i</v>
      </c>
      <c r="U515" s="17">
        <f t="shared" si="299"/>
        <v>2.3511835444839639</v>
      </c>
      <c r="V515" s="17">
        <f t="shared" si="300"/>
        <v>1.1314834269033116</v>
      </c>
      <c r="W515" s="31" t="str">
        <f t="shared" si="291"/>
        <v>1-36.951942166868i</v>
      </c>
      <c r="X515" s="17">
        <f t="shared" si="301"/>
        <v>36.965470778870881</v>
      </c>
      <c r="Y515" s="17">
        <f t="shared" si="302"/>
        <v>-1.5437407533090723</v>
      </c>
      <c r="Z515" s="31" t="str">
        <f t="shared" si="292"/>
        <v>-286.921847919367+176.802709289591i</v>
      </c>
      <c r="AA515" s="17">
        <f t="shared" si="303"/>
        <v>337.02128245201965</v>
      </c>
      <c r="AB515" s="17">
        <f t="shared" si="304"/>
        <v>2.5893427652103469</v>
      </c>
      <c r="AC515" s="66" t="str">
        <f t="shared" si="305"/>
        <v>-0.00017509903541768+0.00124251233426825i</v>
      </c>
      <c r="AD515" s="64">
        <f t="shared" si="306"/>
        <v>-58.028582802946275</v>
      </c>
      <c r="AE515" s="61">
        <f t="shared" si="307"/>
        <v>98.02149244996113</v>
      </c>
      <c r="AF515" s="31" t="str">
        <f t="shared" si="293"/>
        <v>-0.000106860158311346</v>
      </c>
      <c r="AG515" s="31" t="str">
        <f t="shared" si="294"/>
        <v>0.0270908008631098i</v>
      </c>
      <c r="AH515" s="31">
        <f t="shared" si="308"/>
        <v>2.7090800863109801E-2</v>
      </c>
      <c r="AI515" s="31">
        <f t="shared" si="309"/>
        <v>1.5707963267948966</v>
      </c>
      <c r="AJ515" s="31" t="str">
        <f t="shared" si="295"/>
        <v>1+427.677342011651i</v>
      </c>
      <c r="AK515" s="31">
        <f t="shared" si="310"/>
        <v>427.67851111571025</v>
      </c>
      <c r="AL515" s="31">
        <f t="shared" si="311"/>
        <v>1.5684581197416738</v>
      </c>
      <c r="AM515" s="31" t="str">
        <f t="shared" si="296"/>
        <v>1+2744.26294457475i</v>
      </c>
      <c r="AN515" s="31">
        <f t="shared" si="312"/>
        <v>2744.263126773028</v>
      </c>
      <c r="AO515" s="31">
        <f t="shared" si="313"/>
        <v>1.5704319302425489</v>
      </c>
      <c r="AP515" s="58" t="str">
        <f t="shared" si="314"/>
        <v>-0.000049958278330265+0.0253105419340634i</v>
      </c>
      <c r="AQ515" s="49">
        <f t="shared" si="315"/>
        <v>-31.933954198001082</v>
      </c>
      <c r="AR515" s="61">
        <f t="shared" si="316"/>
        <v>90.11309101125876</v>
      </c>
      <c r="AS515" s="58" t="str">
        <f t="shared" si="317"/>
        <v>-0.0000314399128937408-0.0000044939252555774i</v>
      </c>
      <c r="AT515" s="64">
        <f t="shared" si="318"/>
        <v>-89.96253700094735</v>
      </c>
      <c r="AU515" s="61">
        <f t="shared" si="319"/>
        <v>-171.86541653878012</v>
      </c>
    </row>
    <row r="516" spans="14:47" x14ac:dyDescent="0.35">
      <c r="N516" s="10">
        <v>98</v>
      </c>
      <c r="O516" s="50">
        <f t="shared" si="320"/>
        <v>954992.58602143743</v>
      </c>
      <c r="P516" s="48" t="str">
        <f t="shared" si="288"/>
        <v>547.187404092767</v>
      </c>
      <c r="Q516" s="17" t="str">
        <f t="shared" si="289"/>
        <v>1+115077.569298096i</v>
      </c>
      <c r="R516" s="17">
        <f t="shared" si="297"/>
        <v>115077.5693024409</v>
      </c>
      <c r="S516" s="17">
        <f t="shared" si="298"/>
        <v>1.5707876370041227</v>
      </c>
      <c r="T516" s="17" t="str">
        <f t="shared" si="290"/>
        <v>1+2.17749056128252i</v>
      </c>
      <c r="U516" s="17">
        <f t="shared" si="299"/>
        <v>2.3961354603766591</v>
      </c>
      <c r="V516" s="17">
        <f t="shared" si="300"/>
        <v>1.1402815344612041</v>
      </c>
      <c r="W516" s="31" t="str">
        <f t="shared" si="291"/>
        <v>1-37.8126634705197i</v>
      </c>
      <c r="X516" s="17">
        <f t="shared" si="301"/>
        <v>37.825884242602648</v>
      </c>
      <c r="Y516" s="17">
        <f t="shared" si="302"/>
        <v>-1.5443563230295194</v>
      </c>
      <c r="Z516" s="31" t="str">
        <f t="shared" si="292"/>
        <v>-300.491186563938+180.92097343229i</v>
      </c>
      <c r="AA516" s="17">
        <f t="shared" si="303"/>
        <v>350.75255071102589</v>
      </c>
      <c r="AB516" s="17">
        <f t="shared" si="304"/>
        <v>2.5996421166684405</v>
      </c>
      <c r="AC516" s="66" t="str">
        <f t="shared" si="305"/>
        <v>-0.000168881962373786+0.00121703607518286i</v>
      </c>
      <c r="AD516" s="64">
        <f t="shared" si="306"/>
        <v>-58.211099417182865</v>
      </c>
      <c r="AE516" s="61">
        <f t="shared" si="307"/>
        <v>97.900196366173034</v>
      </c>
      <c r="AF516" s="31" t="str">
        <f t="shared" si="293"/>
        <v>-0.000106860158311346</v>
      </c>
      <c r="AG516" s="31" t="str">
        <f t="shared" si="294"/>
        <v>0.0277218266784936i</v>
      </c>
      <c r="AH516" s="31">
        <f t="shared" si="308"/>
        <v>2.77218266784936E-2</v>
      </c>
      <c r="AI516" s="31">
        <f t="shared" si="309"/>
        <v>1.5707963267948966</v>
      </c>
      <c r="AJ516" s="31" t="str">
        <f t="shared" si="295"/>
        <v>1+437.639227037781i</v>
      </c>
      <c r="AK516" s="31">
        <f t="shared" si="310"/>
        <v>437.64036952985316</v>
      </c>
      <c r="AL516" s="31">
        <f t="shared" si="311"/>
        <v>1.5685113436447677</v>
      </c>
      <c r="AM516" s="31" t="str">
        <f t="shared" si="296"/>
        <v>1+2808.18504015909i</v>
      </c>
      <c r="AN516" s="31">
        <f t="shared" si="312"/>
        <v>2808.1852182100297</v>
      </c>
      <c r="AO516" s="31">
        <f t="shared" si="313"/>
        <v>1.5704402249200451</v>
      </c>
      <c r="AP516" s="58" t="str">
        <f t="shared" si="314"/>
        <v>-0.0000477097971554921+0.02473440879828i</v>
      </c>
      <c r="AQ516" s="49">
        <f t="shared" si="315"/>
        <v>-32.133953155310628</v>
      </c>
      <c r="AR516" s="61">
        <f t="shared" si="316"/>
        <v>90.110516756255208</v>
      </c>
      <c r="AS516" s="58" t="str">
        <f t="shared" si="317"/>
        <v>-0.000030094610481659-4.23526004028686E-06i</v>
      </c>
      <c r="AT516" s="64">
        <f t="shared" si="318"/>
        <v>-90.345052572493501</v>
      </c>
      <c r="AU516" s="61">
        <f t="shared" si="319"/>
        <v>-171.98928687757174</v>
      </c>
    </row>
    <row r="517" spans="14:47" x14ac:dyDescent="0.35">
      <c r="N517" s="10">
        <v>99</v>
      </c>
      <c r="O517" s="50">
        <f t="shared" si="320"/>
        <v>977237.22095581202</v>
      </c>
      <c r="P517" s="48" t="str">
        <f t="shared" si="288"/>
        <v>547.187404092767</v>
      </c>
      <c r="Q517" s="17" t="str">
        <f t="shared" si="289"/>
        <v>1+117758.070231445i</v>
      </c>
      <c r="R517" s="17">
        <f t="shared" si="297"/>
        <v>117758.070235691</v>
      </c>
      <c r="S517" s="17">
        <f t="shared" si="298"/>
        <v>1.5707878348079101</v>
      </c>
      <c r="T517" s="17" t="str">
        <f t="shared" si="290"/>
        <v>1+2.22821083211789i</v>
      </c>
      <c r="U517" s="17">
        <f t="shared" si="299"/>
        <v>2.4423192896031218</v>
      </c>
      <c r="V517" s="17">
        <f t="shared" si="300"/>
        <v>1.1489486222451222</v>
      </c>
      <c r="W517" s="31" t="str">
        <f t="shared" si="291"/>
        <v>1-38.6934335488533i</v>
      </c>
      <c r="X517" s="17">
        <f t="shared" si="301"/>
        <v>38.706353481043983</v>
      </c>
      <c r="Y517" s="17">
        <f t="shared" si="302"/>
        <v>-1.5449579000396245</v>
      </c>
      <c r="Z517" s="31" t="str">
        <f t="shared" si="292"/>
        <v>-314.70002843684+185.135164269875i</v>
      </c>
      <c r="AA517" s="17">
        <f t="shared" si="303"/>
        <v>365.1179767518733</v>
      </c>
      <c r="AB517" s="17">
        <f t="shared" si="304"/>
        <v>2.6098272729296381</v>
      </c>
      <c r="AC517" s="66" t="str">
        <f t="shared" si="305"/>
        <v>-0.000162835257862743+0.00119201596936948i</v>
      </c>
      <c r="AD517" s="64">
        <f t="shared" si="306"/>
        <v>-58.394062131157945</v>
      </c>
      <c r="AE517" s="61">
        <f t="shared" si="307"/>
        <v>97.778738292359819</v>
      </c>
      <c r="AF517" s="31" t="str">
        <f t="shared" si="293"/>
        <v>-0.000106860158311346</v>
      </c>
      <c r="AG517" s="31" t="str">
        <f t="shared" si="294"/>
        <v>0.0283675509733242i</v>
      </c>
      <c r="AH517" s="31">
        <f t="shared" si="308"/>
        <v>2.8367550973324201E-2</v>
      </c>
      <c r="AI517" s="31">
        <f t="shared" si="309"/>
        <v>1.5707963267948966</v>
      </c>
      <c r="AJ517" s="31" t="str">
        <f t="shared" si="295"/>
        <v>1+447.833154174928i</v>
      </c>
      <c r="AK517" s="31">
        <f t="shared" si="310"/>
        <v>447.8342706607711</v>
      </c>
      <c r="AL517" s="31">
        <f t="shared" si="311"/>
        <v>1.5685633560364252</v>
      </c>
      <c r="AM517" s="31" t="str">
        <f t="shared" si="296"/>
        <v>1+2873.59607262245i</v>
      </c>
      <c r="AN517" s="31">
        <f t="shared" si="312"/>
        <v>2873.5962466204555</v>
      </c>
      <c r="AO517" s="31">
        <f t="shared" si="313"/>
        <v>1.5704483307876775</v>
      </c>
      <c r="AP517" s="58" t="str">
        <f t="shared" si="314"/>
        <v>-0.000045562513270815+0.0241713897108464i</v>
      </c>
      <c r="AQ517" s="49">
        <f t="shared" si="315"/>
        <v>-32.333952159548595</v>
      </c>
      <c r="AR517" s="61">
        <f t="shared" si="316"/>
        <v>90.108001097735482</v>
      </c>
      <c r="AS517" s="58" t="str">
        <f t="shared" si="317"/>
        <v>-0.0000288052633535847-3.99026571988995E-06i</v>
      </c>
      <c r="AT517" s="64">
        <f t="shared" si="318"/>
        <v>-90.72801429070654</v>
      </c>
      <c r="AU517" s="61">
        <f t="shared" si="319"/>
        <v>-172.1132606099047</v>
      </c>
    </row>
    <row r="518" spans="14:47" x14ac:dyDescent="0.35">
      <c r="N518" s="10">
        <v>100</v>
      </c>
      <c r="O518" s="50">
        <f t="shared" si="320"/>
        <v>1000000</v>
      </c>
      <c r="P518" s="48" t="str">
        <f t="shared" si="288"/>
        <v>547.187404092767</v>
      </c>
      <c r="Q518" s="17" t="str">
        <f t="shared" si="289"/>
        <v>1+120501.008052342i</v>
      </c>
      <c r="R518" s="17">
        <f t="shared" si="297"/>
        <v>120501.00805649137</v>
      </c>
      <c r="S518" s="17">
        <f t="shared" si="298"/>
        <v>1.5707880281091333</v>
      </c>
      <c r="T518" s="17" t="str">
        <f t="shared" si="290"/>
        <v>1+2.2801125298303i</v>
      </c>
      <c r="U518" s="17">
        <f t="shared" si="299"/>
        <v>2.4897616650372645</v>
      </c>
      <c r="V518" s="17">
        <f t="shared" si="300"/>
        <v>1.157484076161831</v>
      </c>
      <c r="W518" s="31" t="str">
        <f t="shared" si="291"/>
        <v>1-39.5947193978226i</v>
      </c>
      <c r="X518" s="17">
        <f t="shared" si="301"/>
        <v>39.607345331293153</v>
      </c>
      <c r="Y518" s="17">
        <f t="shared" si="302"/>
        <v>-1.5455458015608223</v>
      </c>
      <c r="Z518" s="31" t="str">
        <f t="shared" si="292"/>
        <v>-329.578512396695+189.447516222109i</v>
      </c>
      <c r="AA518" s="17">
        <f t="shared" si="303"/>
        <v>380.1478097218826</v>
      </c>
      <c r="AB518" s="17">
        <f t="shared" si="304"/>
        <v>2.6198954933193503</v>
      </c>
      <c r="AC518" s="66" t="str">
        <f t="shared" si="305"/>
        <v>-0.000156957279402853+0.00116744502574669i</v>
      </c>
      <c r="AD518" s="64">
        <f t="shared" si="306"/>
        <v>-58.577471404467829</v>
      </c>
      <c r="AE518" s="61">
        <f t="shared" si="307"/>
        <v>97.657221891199285</v>
      </c>
      <c r="AF518" s="31" t="str">
        <f t="shared" si="293"/>
        <v>-0.000106860158311346</v>
      </c>
      <c r="AG518" s="31" t="str">
        <f t="shared" si="294"/>
        <v>0.0290283161191697i</v>
      </c>
      <c r="AH518" s="31">
        <f t="shared" si="308"/>
        <v>2.90283161191697E-2</v>
      </c>
      <c r="AI518" s="31">
        <f t="shared" si="309"/>
        <v>1.5707963267948966</v>
      </c>
      <c r="AJ518" s="31" t="str">
        <f t="shared" si="295"/>
        <v>1+458.26452837819i</v>
      </c>
      <c r="AK518" s="31">
        <f t="shared" si="310"/>
        <v>458.26561944977379</v>
      </c>
      <c r="AL518" s="31">
        <f t="shared" si="311"/>
        <v>1.568614184493178</v>
      </c>
      <c r="AM518" s="31" t="str">
        <f t="shared" si="296"/>
        <v>1+2940.53072376004i</v>
      </c>
      <c r="AN518" s="31">
        <f t="shared" si="312"/>
        <v>2940.5308937973678</v>
      </c>
      <c r="AO518" s="31">
        <f t="shared" si="313"/>
        <v>1.5704562521432803</v>
      </c>
      <c r="AP518" s="58" t="str">
        <f t="shared" si="314"/>
        <v>-0.0000435118721387927+0.0236211861824651i</v>
      </c>
      <c r="AQ518" s="49">
        <f t="shared" si="315"/>
        <v>-32.533951208603156</v>
      </c>
      <c r="AR518" s="61">
        <f t="shared" si="316"/>
        <v>90.105542701928442</v>
      </c>
      <c r="AS518" s="58" t="str">
        <f t="shared" si="317"/>
        <v>-0.0000275696068058827-3.75831483815735E-06i</v>
      </c>
      <c r="AT518" s="64">
        <f t="shared" si="318"/>
        <v>-91.111422613070971</v>
      </c>
      <c r="AU518" s="61">
        <f t="shared" si="319"/>
        <v>-172.23723540687226</v>
      </c>
    </row>
    <row r="519" spans="14:47" x14ac:dyDescent="0.35">
      <c r="N519" s="10">
        <v>1</v>
      </c>
      <c r="O519" s="50">
        <f>10^(6+(N519/100))</f>
        <v>1023292.9922807553</v>
      </c>
      <c r="P519" s="48" t="str">
        <f t="shared" si="288"/>
        <v>547.187404092767</v>
      </c>
      <c r="Q519" s="17" t="str">
        <f t="shared" si="289"/>
        <v>1+123307.837102728i</v>
      </c>
      <c r="R519" s="17">
        <f t="shared" si="297"/>
        <v>123307.8371067829</v>
      </c>
      <c r="S519" s="17">
        <f t="shared" si="298"/>
        <v>1.5707882170102838</v>
      </c>
      <c r="T519" s="17" t="str">
        <f t="shared" si="290"/>
        <v>1+2.3332231733869i</v>
      </c>
      <c r="U519" s="17">
        <f t="shared" si="299"/>
        <v>2.538489782691598</v>
      </c>
      <c r="V519" s="17">
        <f t="shared" si="300"/>
        <v>1.1658874460432023</v>
      </c>
      <c r="W519" s="31" t="str">
        <f t="shared" si="291"/>
        <v>1-40.5169988911147i</v>
      </c>
      <c r="X519" s="17">
        <f t="shared" si="301"/>
        <v>40.529337511765348</v>
      </c>
      <c r="Y519" s="17">
        <f t="shared" si="302"/>
        <v>-1.5461203376797874</v>
      </c>
      <c r="Z519" s="31" t="str">
        <f t="shared" si="292"/>
        <v>-345.158197702778+193.860315755079i</v>
      </c>
      <c r="AA519" s="17">
        <f t="shared" si="303"/>
        <v>395.87372161598319</v>
      </c>
      <c r="AB519" s="17">
        <f t="shared" si="304"/>
        <v>2.6298442488663825</v>
      </c>
      <c r="AC519" s="66" t="str">
        <f t="shared" si="305"/>
        <v>-0.000151246243936288+0.00114331649361958i</v>
      </c>
      <c r="AD519" s="64">
        <f t="shared" si="306"/>
        <v>-58.761326754444063</v>
      </c>
      <c r="AE519" s="61">
        <f t="shared" si="307"/>
        <v>97.535748496803762</v>
      </c>
      <c r="AF519" s="31" t="str">
        <f t="shared" si="293"/>
        <v>-0.000106860158311346</v>
      </c>
      <c r="AG519" s="31" t="str">
        <f t="shared" si="294"/>
        <v>0.0297044724624568i</v>
      </c>
      <c r="AH519" s="31">
        <f t="shared" si="308"/>
        <v>2.9704472462456801E-2</v>
      </c>
      <c r="AI519" s="31">
        <f t="shared" si="309"/>
        <v>1.5707963267948966</v>
      </c>
      <c r="AJ519" s="31" t="str">
        <f t="shared" si="295"/>
        <v>1+468.938880500247i</v>
      </c>
      <c r="AK519" s="31">
        <f t="shared" si="310"/>
        <v>468.93994673606659</v>
      </c>
      <c r="AL519" s="31">
        <f t="shared" si="311"/>
        <v>1.5686638559638959</v>
      </c>
      <c r="AM519" s="31" t="str">
        <f t="shared" si="296"/>
        <v>1+3009.02448320991i</v>
      </c>
      <c r="AN519" s="31">
        <f t="shared" si="312"/>
        <v>3009.0246493767158</v>
      </c>
      <c r="AO519" s="31">
        <f t="shared" si="313"/>
        <v>1.5704639931868569</v>
      </c>
      <c r="AP519" s="58" t="str">
        <f t="shared" si="314"/>
        <v>-0.0000415535242019405+0.0230835065167583i</v>
      </c>
      <c r="AQ519" s="49">
        <f t="shared" si="315"/>
        <v>-32.733950300456989</v>
      </c>
      <c r="AR519" s="61">
        <f t="shared" si="316"/>
        <v>90.103140265420066</v>
      </c>
      <c r="AS519" s="58" t="str">
        <f t="shared" si="317"/>
        <v>-0.000026385468916727-3.53880248712662E-06i</v>
      </c>
      <c r="AT519" s="64">
        <f t="shared" si="318"/>
        <v>-91.495277054901038</v>
      </c>
      <c r="AU519" s="61">
        <f t="shared" si="319"/>
        <v>-172.36111123777619</v>
      </c>
    </row>
    <row r="520" spans="14:47" x14ac:dyDescent="0.35">
      <c r="N520" s="10">
        <v>2</v>
      </c>
      <c r="O520" s="50">
        <f t="shared" ref="O520:O560" si="321">10^(6+(N520/100))</f>
        <v>1047128.5480509007</v>
      </c>
      <c r="P520" s="48" t="str">
        <f t="shared" si="288"/>
        <v>547.187404092767</v>
      </c>
      <c r="Q520" s="17" t="str">
        <f t="shared" si="289"/>
        <v>1+126180.045600519i</v>
      </c>
      <c r="R520" s="17">
        <f t="shared" si="297"/>
        <v>126180.04560448159</v>
      </c>
      <c r="S520" s="17">
        <f t="shared" si="298"/>
        <v>1.570788401611519</v>
      </c>
      <c r="T520" s="17" t="str">
        <f t="shared" si="290"/>
        <v>1+2.38757092275387i</v>
      </c>
      <c r="U520" s="17">
        <f t="shared" si="299"/>
        <v>2.5885314197783589</v>
      </c>
      <c r="V520" s="17">
        <f t="shared" si="300"/>
        <v>1.1741584390759339</v>
      </c>
      <c r="W520" s="31" t="str">
        <f t="shared" si="291"/>
        <v>1-41.4607610335247i</v>
      </c>
      <c r="X520" s="17">
        <f t="shared" si="301"/>
        <v>41.472818875488073</v>
      </c>
      <c r="Y520" s="17">
        <f t="shared" si="302"/>
        <v>-1.5466818115051089</v>
      </c>
      <c r="Z520" s="31" t="str">
        <f t="shared" si="292"/>
        <v>-361.472130956426+198.375902593506i</v>
      </c>
      <c r="AA520" s="17">
        <f t="shared" si="303"/>
        <v>412.32887382278693</v>
      </c>
      <c r="AB520" s="17">
        <f t="shared" si="304"/>
        <v>2.6396712207750648</v>
      </c>
      <c r="AC520" s="66" t="str">
        <f t="shared" si="305"/>
        <v>-0.000145700230129927+0.00111962383977635i</v>
      </c>
      <c r="AD520" s="64">
        <f t="shared" si="306"/>
        <v>-58.945626807457217</v>
      </c>
      <c r="AE520" s="61">
        <f t="shared" si="307"/>
        <v>97.414416816830609</v>
      </c>
      <c r="AF520" s="31" t="str">
        <f t="shared" si="293"/>
        <v>-0.000106860158311346</v>
      </c>
      <c r="AG520" s="31" t="str">
        <f t="shared" si="294"/>
        <v>0.0303963785102287i</v>
      </c>
      <c r="AH520" s="31">
        <f t="shared" si="308"/>
        <v>3.0396378510228701E-2</v>
      </c>
      <c r="AI520" s="31">
        <f t="shared" si="309"/>
        <v>1.5707963267948966</v>
      </c>
      <c r="AJ520" s="31" t="str">
        <f t="shared" si="295"/>
        <v>1+479.861870223884i</v>
      </c>
      <c r="AK520" s="31">
        <f t="shared" si="310"/>
        <v>479.86291218926647</v>
      </c>
      <c r="AL520" s="31">
        <f t="shared" si="311"/>
        <v>1.5687123967840688</v>
      </c>
      <c r="AM520" s="31" t="str">
        <f t="shared" si="296"/>
        <v>1+3079.11366726992i</v>
      </c>
      <c r="AN520" s="31">
        <f t="shared" si="312"/>
        <v>3079.1138296543077</v>
      </c>
      <c r="AO520" s="31">
        <f t="shared" si="313"/>
        <v>1.5704715580228077</v>
      </c>
      <c r="AP520" s="58" t="str">
        <f t="shared" si="314"/>
        <v>-0.000039683315657814+0.0225580656557416i</v>
      </c>
      <c r="AQ520" s="49">
        <f t="shared" si="315"/>
        <v>-32.93394943318399</v>
      </c>
      <c r="AR520" s="61">
        <f t="shared" si="316"/>
        <v>90.100792514462725</v>
      </c>
      <c r="AS520" s="58" t="str">
        <f t="shared" si="317"/>
        <v>-0.0000252507662191848-3.33114574357941E-06i</v>
      </c>
      <c r="AT520" s="64">
        <f t="shared" si="318"/>
        <v>-91.879576240641185</v>
      </c>
      <c r="AU520" s="61">
        <f t="shared" si="319"/>
        <v>-172.48479066870667</v>
      </c>
    </row>
    <row r="521" spans="14:47" x14ac:dyDescent="0.35">
      <c r="N521" s="10">
        <v>3</v>
      </c>
      <c r="O521" s="50">
        <f t="shared" si="321"/>
        <v>1071519.3052376076</v>
      </c>
      <c r="P521" s="48" t="str">
        <f t="shared" si="288"/>
        <v>547.187404092767</v>
      </c>
      <c r="Q521" s="17" t="str">
        <f t="shared" si="289"/>
        <v>1+129119.156428677i</v>
      </c>
      <c r="R521" s="17">
        <f t="shared" si="297"/>
        <v>129119.15643254937</v>
      </c>
      <c r="S521" s="17">
        <f t="shared" si="298"/>
        <v>1.570788582010717</v>
      </c>
      <c r="T521" s="17" t="str">
        <f t="shared" si="290"/>
        <v>1+2.44318459382733i</v>
      </c>
      <c r="U521" s="17">
        <f t="shared" si="299"/>
        <v>2.6399149530837573</v>
      </c>
      <c r="V521" s="17">
        <f t="shared" si="300"/>
        <v>1.182296913094198</v>
      </c>
      <c r="W521" s="31" t="str">
        <f t="shared" si="291"/>
        <v>1-42.4265062202328i</v>
      </c>
      <c r="X521" s="17">
        <f t="shared" si="301"/>
        <v>42.438289669300438</v>
      </c>
      <c r="Y521" s="17">
        <f t="shared" si="302"/>
        <v>-1.5472305193207796</v>
      </c>
      <c r="Z521" s="31" t="str">
        <f t="shared" si="292"/>
        <v>-378.554916197318+202.996670961304i</v>
      </c>
      <c r="AA521" s="17">
        <f t="shared" si="303"/>
        <v>429.5479868402719</v>
      </c>
      <c r="AB521" s="17">
        <f t="shared" si="304"/>
        <v>2.6493742981756321</v>
      </c>
      <c r="AC521" s="66" t="str">
        <f t="shared" si="305"/>
        <v>-0.000140317181980606+0.00109636072687304i</v>
      </c>
      <c r="AD521" s="64">
        <f t="shared" si="306"/>
        <v>-59.130369351581031</v>
      </c>
      <c r="AE521" s="61">
        <f t="shared" si="307"/>
        <v>97.293322668276218</v>
      </c>
      <c r="AF521" s="31" t="str">
        <f t="shared" si="293"/>
        <v>-0.000106860158311346</v>
      </c>
      <c r="AG521" s="31" t="str">
        <f t="shared" si="294"/>
        <v>0.0311044011202304i</v>
      </c>
      <c r="AH521" s="31">
        <f t="shared" si="308"/>
        <v>3.1104401120230399E-2</v>
      </c>
      <c r="AI521" s="31">
        <f t="shared" si="309"/>
        <v>1.5707963267948966</v>
      </c>
      <c r="AJ521" s="31" t="str">
        <f t="shared" si="295"/>
        <v>1+491.039289062837i</v>
      </c>
      <c r="AK521" s="31">
        <f t="shared" si="310"/>
        <v>491.04030731024147</v>
      </c>
      <c r="AL521" s="31">
        <f t="shared" si="311"/>
        <v>1.5687598326897669</v>
      </c>
      <c r="AM521" s="31" t="str">
        <f t="shared" si="296"/>
        <v>1+3150.8354381532i</v>
      </c>
      <c r="AN521" s="31">
        <f t="shared" si="312"/>
        <v>3150.8355968412675</v>
      </c>
      <c r="AO521" s="31">
        <f t="shared" si="313"/>
        <v>1.5704789506621049</v>
      </c>
      <c r="AP521" s="58" t="str">
        <f t="shared" si="314"/>
        <v>-0.0000378972796492231+0.0220445850288125i</v>
      </c>
      <c r="AQ521" s="49">
        <f t="shared" si="315"/>
        <v>-33.133948604944528</v>
      </c>
      <c r="AR521" s="61">
        <f t="shared" si="316"/>
        <v>90.098498204300057</v>
      </c>
      <c r="AS521" s="58" t="str">
        <f t="shared" si="317"/>
        <v>-0.0000241634996263183-3.13478313823756E-06i</v>
      </c>
      <c r="AT521" s="64">
        <f t="shared" si="318"/>
        <v>-92.264317956525559</v>
      </c>
      <c r="AU521" s="61">
        <f t="shared" si="319"/>
        <v>-172.60817912742374</v>
      </c>
    </row>
    <row r="522" spans="14:47" x14ac:dyDescent="0.35">
      <c r="N522" s="10">
        <v>4</v>
      </c>
      <c r="O522" s="50">
        <f t="shared" si="321"/>
        <v>1096478.196143186</v>
      </c>
      <c r="P522" s="48" t="str">
        <f t="shared" si="288"/>
        <v>547.187404092767</v>
      </c>
      <c r="Q522" s="17" t="str">
        <f t="shared" si="289"/>
        <v>1+132126.727942667i</v>
      </c>
      <c r="R522" s="17">
        <f t="shared" si="297"/>
        <v>132126.72794645125</v>
      </c>
      <c r="S522" s="17">
        <f t="shared" si="298"/>
        <v>1.570788758303528</v>
      </c>
      <c r="T522" s="17" t="str">
        <f t="shared" si="290"/>
        <v>1+2.50009367371181i</v>
      </c>
      <c r="U522" s="17">
        <f t="shared" si="299"/>
        <v>2.6926693776499584</v>
      </c>
      <c r="V522" s="17">
        <f t="shared" si="300"/>
        <v>1.1903028697771691</v>
      </c>
      <c r="W522" s="31" t="str">
        <f t="shared" si="291"/>
        <v>1-43.4147465021201i</v>
      </c>
      <c r="X522" s="17">
        <f t="shared" si="301"/>
        <v>43.426261799092842</v>
      </c>
      <c r="Y522" s="17">
        <f t="shared" si="302"/>
        <v>-1.5477667507365487</v>
      </c>
      <c r="Z522" s="31" t="str">
        <f t="shared" si="292"/>
        <v>-396.442788303279+207.725070851025i</v>
      </c>
      <c r="AA522" s="17">
        <f t="shared" si="303"/>
        <v>447.56741331082384</v>
      </c>
      <c r="AB522" s="17">
        <f t="shared" si="304"/>
        <v>2.6589515752051307</v>
      </c>
      <c r="AC522" s="66" t="str">
        <f t="shared" si="305"/>
        <v>-0.000135094913573083+0.00107352099315117i</v>
      </c>
      <c r="AD522" s="64">
        <f t="shared" si="306"/>
        <v>-59.315551390149331</v>
      </c>
      <c r="AE522" s="61">
        <f t="shared" si="307"/>
        <v>97.172558746357325</v>
      </c>
      <c r="AF522" s="31" t="str">
        <f t="shared" si="293"/>
        <v>-0.000106860158311346</v>
      </c>
      <c r="AG522" s="31" t="str">
        <f t="shared" si="294"/>
        <v>0.0318289156954214i</v>
      </c>
      <c r="AH522" s="31">
        <f t="shared" si="308"/>
        <v>3.18289156954214E-2</v>
      </c>
      <c r="AI522" s="31">
        <f t="shared" si="309"/>
        <v>1.5707963267948966</v>
      </c>
      <c r="AJ522" s="31" t="str">
        <f t="shared" si="295"/>
        <v>1+502.477063432525i</v>
      </c>
      <c r="AK522" s="31">
        <f t="shared" si="310"/>
        <v>502.47805850183528</v>
      </c>
      <c r="AL522" s="31">
        <f t="shared" si="311"/>
        <v>1.5688061888312808</v>
      </c>
      <c r="AM522" s="31" t="str">
        <f t="shared" si="296"/>
        <v>1+3224.22782369203i</v>
      </c>
      <c r="AN522" s="31">
        <f t="shared" si="312"/>
        <v>3224.2279787679167</v>
      </c>
      <c r="AO522" s="31">
        <f t="shared" si="313"/>
        <v>1.5704861750244208</v>
      </c>
      <c r="AP522" s="58" t="str">
        <f t="shared" si="314"/>
        <v>-0.0000361916278508952+0.0215427924051676i</v>
      </c>
      <c r="AQ522" s="49">
        <f t="shared" si="315"/>
        <v>-33.333947813981879</v>
      </c>
      <c r="AR522" s="61">
        <f t="shared" si="316"/>
        <v>90.096256118507171</v>
      </c>
      <c r="AS522" s="58" t="str">
        <f t="shared" si="317"/>
        <v>-0.0000231217505932084-2.94917415037324E-06i</v>
      </c>
      <c r="AT522" s="64">
        <f t="shared" si="318"/>
        <v>-92.649499204131217</v>
      </c>
      <c r="AU522" s="61">
        <f t="shared" si="319"/>
        <v>-172.73118513513549</v>
      </c>
    </row>
    <row r="523" spans="14:47" x14ac:dyDescent="0.35">
      <c r="N523" s="10">
        <v>5</v>
      </c>
      <c r="O523" s="50">
        <f t="shared" si="321"/>
        <v>1122018.4543019643</v>
      </c>
      <c r="P523" s="48" t="str">
        <f t="shared" si="288"/>
        <v>547.187404092767</v>
      </c>
      <c r="Q523" s="17" t="str">
        <f t="shared" si="289"/>
        <v>1+135204.354796717i</v>
      </c>
      <c r="R523" s="17">
        <f t="shared" si="297"/>
        <v>135204.35480041511</v>
      </c>
      <c r="S523" s="17">
        <f t="shared" si="298"/>
        <v>1.5707889305834248</v>
      </c>
      <c r="T523" s="17" t="str">
        <f t="shared" si="290"/>
        <v>1+2.55832833635474i</v>
      </c>
      <c r="U523" s="17">
        <f t="shared" si="299"/>
        <v>2.7468243257615899</v>
      </c>
      <c r="V523" s="17">
        <f t="shared" si="300"/>
        <v>1.1981764477907104</v>
      </c>
      <c r="W523" s="31" t="str">
        <f t="shared" si="291"/>
        <v>1-44.4260058572648i</v>
      </c>
      <c r="X523" s="17">
        <f t="shared" si="301"/>
        <v>44.437259101228626</v>
      </c>
      <c r="Y523" s="17">
        <f t="shared" si="302"/>
        <v>-1.5482907888351818</v>
      </c>
      <c r="Z523" s="31" t="str">
        <f t="shared" si="292"/>
        <v>-415.173689849312+212.563609322877i</v>
      </c>
      <c r="AA523" s="17">
        <f t="shared" si="303"/>
        <v>466.4252145322564</v>
      </c>
      <c r="AB523" s="17">
        <f t="shared" si="304"/>
        <v>2.6684013474728387</v>
      </c>
      <c r="AC523" s="66" t="str">
        <f t="shared" si="305"/>
        <v>-0.000130031114841124+0.0010510986335176i</v>
      </c>
      <c r="AD523" s="64">
        <f t="shared" si="306"/>
        <v>-59.501169195765591</v>
      </c>
      <c r="AE523" s="61">
        <f t="shared" si="307"/>
        <v>97.052214425634048</v>
      </c>
      <c r="AF523" s="31" t="str">
        <f t="shared" si="293"/>
        <v>-0.000106860158311346</v>
      </c>
      <c r="AG523" s="31" t="str">
        <f t="shared" si="294"/>
        <v>0.0325703063830196i</v>
      </c>
      <c r="AH523" s="31">
        <f t="shared" si="308"/>
        <v>3.2570306383019602E-2</v>
      </c>
      <c r="AI523" s="31">
        <f t="shared" si="309"/>
        <v>1.5707963267948966</v>
      </c>
      <c r="AJ523" s="31" t="str">
        <f t="shared" si="295"/>
        <v>1+514.181257792315i</v>
      </c>
      <c r="AK523" s="31">
        <f t="shared" si="310"/>
        <v>514.18223021112567</v>
      </c>
      <c r="AL523" s="31">
        <f t="shared" si="311"/>
        <v>1.5688514897864527</v>
      </c>
      <c r="AM523" s="31" t="str">
        <f t="shared" si="296"/>
        <v>1+3299.32973750068i</v>
      </c>
      <c r="AN523" s="31">
        <f t="shared" si="312"/>
        <v>3299.3298890466085</v>
      </c>
      <c r="AO523" s="31">
        <f t="shared" si="313"/>
        <v>1.570493234940205</v>
      </c>
      <c r="AP523" s="58" t="str">
        <f t="shared" si="314"/>
        <v>-0.0000345627424347486+0.0210524217495745i</v>
      </c>
      <c r="AQ523" s="49">
        <f t="shared" si="315"/>
        <v>-33.533947058618253</v>
      </c>
      <c r="AR523" s="61">
        <f t="shared" si="316"/>
        <v>90.094065068346055</v>
      </c>
      <c r="AS523" s="58" t="str">
        <f t="shared" si="317"/>
        <v>-0.0000221236775012832-2.77379872154648E-06i</v>
      </c>
      <c r="AT523" s="64">
        <f t="shared" si="318"/>
        <v>-93.035116254383837</v>
      </c>
      <c r="AU523" s="61">
        <f t="shared" si="319"/>
        <v>-172.8537205060199</v>
      </c>
    </row>
    <row r="524" spans="14:47" x14ac:dyDescent="0.35">
      <c r="N524" s="10">
        <v>6</v>
      </c>
      <c r="O524" s="50">
        <f t="shared" si="321"/>
        <v>1148153.6214968837</v>
      </c>
      <c r="P524" s="48" t="str">
        <f t="shared" si="288"/>
        <v>547.187404092767</v>
      </c>
      <c r="Q524" s="17" t="str">
        <f t="shared" si="289"/>
        <v>1+138353.668789322i</v>
      </c>
      <c r="R524" s="17">
        <f t="shared" si="297"/>
        <v>138353.6687929359</v>
      </c>
      <c r="S524" s="17">
        <f t="shared" si="298"/>
        <v>1.5707890989417523</v>
      </c>
      <c r="T524" s="17" t="str">
        <f t="shared" si="290"/>
        <v>1+2.61791945854508i</v>
      </c>
      <c r="U524" s="17">
        <f t="shared" si="299"/>
        <v>2.8024100862345187</v>
      </c>
      <c r="V524" s="17">
        <f t="shared" si="300"/>
        <v>1.2059179159095248</v>
      </c>
      <c r="W524" s="31" t="str">
        <f t="shared" si="291"/>
        <v>1-45.4608204687629i</v>
      </c>
      <c r="X524" s="17">
        <f t="shared" si="301"/>
        <v>45.47181762029193</v>
      </c>
      <c r="Y524" s="17">
        <f t="shared" si="302"/>
        <v>-1.5488029103166823</v>
      </c>
      <c r="Z524" s="31" t="str">
        <f t="shared" si="292"/>
        <v>-434.787351588896+217.514851834004i</v>
      </c>
      <c r="AA524" s="17">
        <f t="shared" si="303"/>
        <v>486.16124060856083</v>
      </c>
      <c r="AB524" s="17">
        <f t="shared" si="304"/>
        <v>2.6777221079652476</v>
      </c>
      <c r="AC524" s="66" t="str">
        <f t="shared" si="305"/>
        <v>-0.000125123358185508+0.00102908778200067i</v>
      </c>
      <c r="AD524" s="64">
        <f t="shared" si="306"/>
        <v>-59.687218364360604</v>
      </c>
      <c r="AE524" s="61">
        <f t="shared" si="307"/>
        <v>96.932375592300303</v>
      </c>
      <c r="AF524" s="31" t="str">
        <f t="shared" si="293"/>
        <v>-0.000106860158311346</v>
      </c>
      <c r="AG524" s="31" t="str">
        <f t="shared" si="294"/>
        <v>0.033328966278181i</v>
      </c>
      <c r="AH524" s="31">
        <f t="shared" si="308"/>
        <v>3.3328966278181001E-2</v>
      </c>
      <c r="AI524" s="31">
        <f t="shared" si="309"/>
        <v>1.5707963267948966</v>
      </c>
      <c r="AJ524" s="31" t="str">
        <f t="shared" si="295"/>
        <v>1+526.158077860979i</v>
      </c>
      <c r="AK524" s="31">
        <f t="shared" si="310"/>
        <v>526.15902814487561</v>
      </c>
      <c r="AL524" s="31">
        <f t="shared" si="311"/>
        <v>1.568895759573705</v>
      </c>
      <c r="AM524" s="31" t="str">
        <f t="shared" si="296"/>
        <v>1+3376.18099960794i</v>
      </c>
      <c r="AN524" s="31">
        <f t="shared" si="312"/>
        <v>3376.1811477042625</v>
      </c>
      <c r="AO524" s="31">
        <f t="shared" si="313"/>
        <v>1.5705001341527152</v>
      </c>
      <c r="AP524" s="58" t="str">
        <f t="shared" si="314"/>
        <v>-0.0000330071683967429+0.0205732130814205i</v>
      </c>
      <c r="AQ524" s="49">
        <f t="shared" si="315"/>
        <v>-33.733946337251425</v>
      </c>
      <c r="AR524" s="61">
        <f t="shared" si="316"/>
        <v>90.091923892135355</v>
      </c>
      <c r="AS524" s="58" t="str">
        <f t="shared" si="317"/>
        <v>-0.0000211675122508322-2.60815678312888E-06i</v>
      </c>
      <c r="AT524" s="64">
        <f t="shared" si="318"/>
        <v>-93.421164701612028</v>
      </c>
      <c r="AU524" s="61">
        <f t="shared" si="319"/>
        <v>-172.97570051556431</v>
      </c>
    </row>
    <row r="525" spans="14:47" x14ac:dyDescent="0.35">
      <c r="N525" s="10">
        <v>7</v>
      </c>
      <c r="O525" s="50">
        <f t="shared" si="321"/>
        <v>1174897.5549395324</v>
      </c>
      <c r="P525" s="48" t="str">
        <f t="shared" si="288"/>
        <v>547.187404092767</v>
      </c>
      <c r="Q525" s="17" t="str">
        <f t="shared" si="289"/>
        <v>1+141576.339728445i</v>
      </c>
      <c r="R525" s="17">
        <f t="shared" si="297"/>
        <v>141576.33973197665</v>
      </c>
      <c r="S525" s="17">
        <f t="shared" si="298"/>
        <v>1.5707892634677765</v>
      </c>
      <c r="T525" s="17" t="str">
        <f t="shared" si="290"/>
        <v>1+2.67889863628461i</v>
      </c>
      <c r="U525" s="17">
        <f t="shared" si="299"/>
        <v>2.8594576240062635</v>
      </c>
      <c r="V525" s="17">
        <f t="shared" si="300"/>
        <v>1.2135276661531846</v>
      </c>
      <c r="W525" s="31" t="str">
        <f t="shared" si="291"/>
        <v>1-46.5197390090186i</v>
      </c>
      <c r="X525" s="17">
        <f t="shared" si="301"/>
        <v>46.530485893306626</v>
      </c>
      <c r="Y525" s="17">
        <f t="shared" si="302"/>
        <v>-1.5493033856395155</v>
      </c>
      <c r="Z525" s="31" t="str">
        <f t="shared" si="292"/>
        <v>-455.32537672823+222.581423598723i</v>
      </c>
      <c r="AA525" s="17">
        <f t="shared" si="303"/>
        <v>506.81721441160488</v>
      </c>
      <c r="AB525" s="17">
        <f t="shared" si="304"/>
        <v>2.6869125424460276</v>
      </c>
      <c r="AC525" s="66" t="str">
        <f t="shared" si="305"/>
        <v>-0.00012036910580771+0.00100748269558323i</v>
      </c>
      <c r="AD525" s="64">
        <f t="shared" si="306"/>
        <v>-59.873693868925514</v>
      </c>
      <c r="AE525" s="61">
        <f t="shared" si="307"/>
        <v>96.813124506374905</v>
      </c>
      <c r="AF525" s="31" t="str">
        <f t="shared" si="293"/>
        <v>-0.000106860158311346</v>
      </c>
      <c r="AG525" s="31" t="str">
        <f t="shared" si="294"/>
        <v>0.0341052976324243i</v>
      </c>
      <c r="AH525" s="31">
        <f t="shared" si="308"/>
        <v>3.41052976324243E-2</v>
      </c>
      <c r="AI525" s="31">
        <f t="shared" si="309"/>
        <v>1.5707963267948966</v>
      </c>
      <c r="AJ525" s="31" t="str">
        <f t="shared" si="295"/>
        <v>1+538.413873907053i</v>
      </c>
      <c r="AK525" s="31">
        <f t="shared" si="310"/>
        <v>538.41480255988506</v>
      </c>
      <c r="AL525" s="31">
        <f t="shared" si="311"/>
        <v>1.5689390216647698</v>
      </c>
      <c r="AM525" s="31" t="str">
        <f t="shared" si="296"/>
        <v>1+3454.82235757025i</v>
      </c>
      <c r="AN525" s="31">
        <f t="shared" si="312"/>
        <v>3454.8225022954884</v>
      </c>
      <c r="AO525" s="31">
        <f t="shared" si="313"/>
        <v>1.5705068763200027</v>
      </c>
      <c r="AP525" s="58" t="str">
        <f t="shared" si="314"/>
        <v>-0.0000315216062290311+0.0201049123369644i</v>
      </c>
      <c r="AQ525" s="49">
        <f t="shared" si="315"/>
        <v>-33.933945648351397</v>
      </c>
      <c r="AR525" s="61">
        <f t="shared" si="316"/>
        <v>90.089831454634776</v>
      </c>
      <c r="AS525" s="58" t="str">
        <f t="shared" si="317"/>
        <v>-0.000020251557048154-2.45176779315554E-06i</v>
      </c>
      <c r="AT525" s="64">
        <f t="shared" si="318"/>
        <v>-93.807639517276925</v>
      </c>
      <c r="AU525" s="61">
        <f t="shared" si="319"/>
        <v>-173.0970440389903</v>
      </c>
    </row>
    <row r="526" spans="14:47" x14ac:dyDescent="0.35">
      <c r="N526" s="10">
        <v>8</v>
      </c>
      <c r="O526" s="50">
        <f t="shared" si="321"/>
        <v>1202264.4346174158</v>
      </c>
      <c r="P526" s="48" t="str">
        <f t="shared" si="288"/>
        <v>547.187404092767</v>
      </c>
      <c r="Q526" s="17" t="str">
        <f t="shared" si="289"/>
        <v>1+144874.076316878i</v>
      </c>
      <c r="R526" s="17">
        <f t="shared" si="297"/>
        <v>144874.0763203293</v>
      </c>
      <c r="S526" s="17">
        <f t="shared" si="298"/>
        <v>1.570789424248731</v>
      </c>
      <c r="T526" s="17" t="str">
        <f t="shared" si="290"/>
        <v>1+2.74129820154052i</v>
      </c>
      <c r="U526" s="17">
        <f t="shared" si="299"/>
        <v>2.917998600028672</v>
      </c>
      <c r="V526" s="17">
        <f t="shared" si="300"/>
        <v>1.2210062069665073</v>
      </c>
      <c r="W526" s="31" t="str">
        <f t="shared" si="291"/>
        <v>1-47.6033229306584i</v>
      </c>
      <c r="X526" s="17">
        <f t="shared" si="301"/>
        <v>47.613825240580582</v>
      </c>
      <c r="Y526" s="17">
        <f t="shared" si="302"/>
        <v>-1.5497924791588933</v>
      </c>
      <c r="Z526" s="31" t="str">
        <f t="shared" si="292"/>
        <v>-476.831329172211+227.766010980447i</v>
      </c>
      <c r="AA526" s="17">
        <f t="shared" si="303"/>
        <v>528.4368195329339</v>
      </c>
      <c r="AB526" s="17">
        <f t="shared" si="304"/>
        <v>2.6959715244062812</v>
      </c>
      <c r="AC526" s="66" t="str">
        <f t="shared" si="305"/>
        <v>-0.000115765717624225+0.000986277739400446i</v>
      </c>
      <c r="AD526" s="64">
        <f t="shared" si="306"/>
        <v>-60.060590112583732</v>
      </c>
      <c r="AE526" s="61">
        <f t="shared" si="307"/>
        <v>96.694539692369247</v>
      </c>
      <c r="AF526" s="31" t="str">
        <f t="shared" si="293"/>
        <v>-0.000106860158311346</v>
      </c>
      <c r="AG526" s="31" t="str">
        <f t="shared" si="294"/>
        <v>0.0348997120669092i</v>
      </c>
      <c r="AH526" s="31">
        <f t="shared" si="308"/>
        <v>3.48997120669092E-2</v>
      </c>
      <c r="AI526" s="31">
        <f t="shared" si="309"/>
        <v>1.5707963267948966</v>
      </c>
      <c r="AJ526" s="31" t="str">
        <f t="shared" si="295"/>
        <v>1+550.955144115821i</v>
      </c>
      <c r="AK526" s="31">
        <f t="shared" si="310"/>
        <v>550.95605162996912</v>
      </c>
      <c r="AL526" s="31">
        <f t="shared" si="311"/>
        <v>1.568981298997133</v>
      </c>
      <c r="AM526" s="31" t="str">
        <f t="shared" si="296"/>
        <v>1+3535.29550807651i</v>
      </c>
      <c r="AN526" s="31">
        <f t="shared" si="312"/>
        <v>3535.2956495074</v>
      </c>
      <c r="AO526" s="31">
        <f t="shared" si="313"/>
        <v>1.5705134650168515</v>
      </c>
      <c r="AP526" s="58" t="str">
        <f t="shared" si="314"/>
        <v>-0.0000301029049218866+0.0196472712347205i</v>
      </c>
      <c r="AQ526" s="49">
        <f t="shared" si="315"/>
        <v>-34.133944990456797</v>
      </c>
      <c r="AR526" s="61">
        <f t="shared" si="316"/>
        <v>90.087786646443234</v>
      </c>
      <c r="AS526" s="58" t="str">
        <f t="shared" si="317"/>
        <v>-0.0000193741813743767-2.30417027886096E-06i</v>
      </c>
      <c r="AT526" s="64">
        <f t="shared" si="318"/>
        <v>-94.194535103040522</v>
      </c>
      <c r="AU526" s="61">
        <f t="shared" si="319"/>
        <v>-173.21767366118752</v>
      </c>
    </row>
    <row r="527" spans="14:47" x14ac:dyDescent="0.35">
      <c r="N527" s="10">
        <v>9</v>
      </c>
      <c r="O527" s="50">
        <f t="shared" si="321"/>
        <v>1230268.770812382</v>
      </c>
      <c r="P527" s="48" t="str">
        <f t="shared" si="288"/>
        <v>547.187404092767</v>
      </c>
      <c r="Q527" s="17" t="str">
        <f t="shared" si="289"/>
        <v>1+148248.627058208i</v>
      </c>
      <c r="R527" s="17">
        <f t="shared" si="297"/>
        <v>148248.62706158069</v>
      </c>
      <c r="S527" s="17">
        <f t="shared" si="298"/>
        <v>1.5707895813698642</v>
      </c>
      <c r="T527" s="17" t="str">
        <f t="shared" si="290"/>
        <v>1+2.80515123938824i</v>
      </c>
      <c r="U527" s="17">
        <f t="shared" si="299"/>
        <v>2.9780653914649653</v>
      </c>
      <c r="V527" s="17">
        <f t="shared" si="300"/>
        <v>1.228354156471859</v>
      </c>
      <c r="W527" s="31" t="str">
        <f t="shared" si="291"/>
        <v>1-48.7121467642203i</v>
      </c>
      <c r="X527" s="17">
        <f t="shared" si="301"/>
        <v>48.722410063326485</v>
      </c>
      <c r="Y527" s="17">
        <f t="shared" si="302"/>
        <v>-1.5502704492621584</v>
      </c>
      <c r="Z527" s="31" t="str">
        <f t="shared" si="292"/>
        <v>-499.350825929327+233.071362916033i</v>
      </c>
      <c r="AA527" s="17">
        <f t="shared" si="303"/>
        <v>551.06579241306406</v>
      </c>
      <c r="AB527" s="17">
        <f t="shared" si="304"/>
        <v>2.704898109619656</v>
      </c>
      <c r="AC527" s="66" t="str">
        <f t="shared" si="305"/>
        <v>-0.00011131045963373+0.000965467373279168i</v>
      </c>
      <c r="AD527" s="64">
        <f t="shared" si="306"/>
        <v>-60.247900980699285</v>
      </c>
      <c r="AE527" s="61">
        <f t="shared" si="307"/>
        <v>96.576695856882552</v>
      </c>
      <c r="AF527" s="31" t="str">
        <f t="shared" si="293"/>
        <v>-0.000106860158311346</v>
      </c>
      <c r="AG527" s="31" t="str">
        <f t="shared" si="294"/>
        <v>0.0357126307906842i</v>
      </c>
      <c r="AH527" s="31">
        <f t="shared" si="308"/>
        <v>3.5712630790684201E-2</v>
      </c>
      <c r="AI527" s="31">
        <f t="shared" si="309"/>
        <v>1.5707963267948966</v>
      </c>
      <c r="AJ527" s="31" t="str">
        <f t="shared" si="295"/>
        <v>1+563.788538034751i</v>
      </c>
      <c r="AK527" s="31">
        <f t="shared" si="310"/>
        <v>563.78942489138797</v>
      </c>
      <c r="AL527" s="31">
        <f t="shared" si="311"/>
        <v>1.5690226139861903</v>
      </c>
      <c r="AM527" s="31" t="str">
        <f t="shared" si="296"/>
        <v>1+3617.64311905631i</v>
      </c>
      <c r="AN527" s="31">
        <f t="shared" si="312"/>
        <v>3617.64325726784</v>
      </c>
      <c r="AO527" s="31">
        <f t="shared" si="313"/>
        <v>1.5705199037366733</v>
      </c>
      <c r="AP527" s="58" t="str">
        <f t="shared" si="314"/>
        <v>-0.0000287480552805532+0.0192000471438999i</v>
      </c>
      <c r="AQ527" s="49">
        <f t="shared" si="315"/>
        <v>-34.333944362172303</v>
      </c>
      <c r="AR527" s="61">
        <f t="shared" si="316"/>
        <v>90.085788383410872</v>
      </c>
      <c r="AS527" s="58" t="str">
        <f t="shared" si="317"/>
        <v>-0.0000185338191236104-2.16492138199538E-06i</v>
      </c>
      <c r="AT527" s="64">
        <f t="shared" si="318"/>
        <v>-94.581845342871574</v>
      </c>
      <c r="AU527" s="61">
        <f t="shared" si="319"/>
        <v>-173.33751575970658</v>
      </c>
    </row>
    <row r="528" spans="14:47" x14ac:dyDescent="0.35">
      <c r="N528" s="10">
        <v>10</v>
      </c>
      <c r="O528" s="50">
        <f t="shared" si="321"/>
        <v>1258925.4117941677</v>
      </c>
      <c r="P528" s="48" t="str">
        <f t="shared" si="288"/>
        <v>547.187404092767</v>
      </c>
      <c r="Q528" s="17" t="str">
        <f t="shared" si="289"/>
        <v>1+151701.781183907i</v>
      </c>
      <c r="R528" s="17">
        <f t="shared" si="297"/>
        <v>151701.78118720293</v>
      </c>
      <c r="S528" s="17">
        <f t="shared" si="298"/>
        <v>1.5707897349144837</v>
      </c>
      <c r="T528" s="17" t="str">
        <f t="shared" si="290"/>
        <v>1+2.87049160555365i</v>
      </c>
      <c r="U528" s="17">
        <f t="shared" si="299"/>
        <v>3.0396911121944559</v>
      </c>
      <c r="V528" s="17">
        <f t="shared" si="300"/>
        <v>1.2355722358181094</v>
      </c>
      <c r="W528" s="31" t="str">
        <f t="shared" si="291"/>
        <v>1-49.8467984227782i</v>
      </c>
      <c r="X528" s="17">
        <f t="shared" si="301"/>
        <v>49.856828148219407</v>
      </c>
      <c r="Y528" s="17">
        <f t="shared" si="302"/>
        <v>-1.5507375485013266</v>
      </c>
      <c r="Z528" s="31" t="str">
        <f t="shared" si="292"/>
        <v>-522.931633871444+238.500292373301i</v>
      </c>
      <c r="AA528" s="17">
        <f t="shared" si="303"/>
        <v>574.75201884430817</v>
      </c>
      <c r="AB528" s="17">
        <f t="shared" si="304"/>
        <v>2.7136915303557463</v>
      </c>
      <c r="AC528" s="66" t="str">
        <f t="shared" si="305"/>
        <v>-0.000107000512617206+0.000945046139585398i</v>
      </c>
      <c r="AD528" s="64">
        <f t="shared" si="306"/>
        <v>-60.435619891756467</v>
      </c>
      <c r="AE528" s="61">
        <f t="shared" si="307"/>
        <v>96.459663831475581</v>
      </c>
      <c r="AF528" s="31" t="str">
        <f t="shared" si="293"/>
        <v>-0.000106860158311346</v>
      </c>
      <c r="AG528" s="31" t="str">
        <f t="shared" si="294"/>
        <v>0.036544484824017i</v>
      </c>
      <c r="AH528" s="31">
        <f t="shared" si="308"/>
        <v>3.6544484824017003E-2</v>
      </c>
      <c r="AI528" s="31">
        <f t="shared" si="309"/>
        <v>1.5707963267948966</v>
      </c>
      <c r="AJ528" s="31" t="str">
        <f t="shared" si="295"/>
        <v>1+576.920860099172i</v>
      </c>
      <c r="AK528" s="31">
        <f t="shared" si="310"/>
        <v>576.92172676851794</v>
      </c>
      <c r="AL528" s="31">
        <f t="shared" si="311"/>
        <v>1.5690629885371314</v>
      </c>
      <c r="AM528" s="31" t="str">
        <f t="shared" si="296"/>
        <v>1+3701.90885230301i</v>
      </c>
      <c r="AN528" s="31">
        <f t="shared" si="312"/>
        <v>3701.908987368462</v>
      </c>
      <c r="AO528" s="31">
        <f t="shared" si="313"/>
        <v>1.5705261958933607</v>
      </c>
      <c r="AP528" s="58" t="str">
        <f t="shared" si="314"/>
        <v>-0.0000274541835428585+0.018763002955845i</v>
      </c>
      <c r="AQ528" s="49">
        <f t="shared" si="315"/>
        <v>-34.533943762165109</v>
      </c>
      <c r="AR528" s="61">
        <f t="shared" si="316"/>
        <v>90.083835606064426</v>
      </c>
      <c r="AS528" s="58" t="str">
        <f t="shared" si="317"/>
        <v>-0.0000177289658987382-2.03359640468621E-06i</v>
      </c>
      <c r="AT528" s="64">
        <f t="shared" si="318"/>
        <v>-94.96956365392154</v>
      </c>
      <c r="AU528" s="61">
        <f t="shared" si="319"/>
        <v>-173.45650056246001</v>
      </c>
    </row>
    <row r="529" spans="14:47" x14ac:dyDescent="0.35">
      <c r="N529" s="10">
        <v>11</v>
      </c>
      <c r="O529" s="50">
        <f t="shared" si="321"/>
        <v>1288249.5516931366</v>
      </c>
      <c r="P529" s="48" t="str">
        <f t="shared" si="288"/>
        <v>547.187404092767</v>
      </c>
      <c r="Q529" s="17" t="str">
        <f t="shared" si="289"/>
        <v>1+155235.369602i</v>
      </c>
      <c r="R529" s="17">
        <f t="shared" si="297"/>
        <v>155235.36960522094</v>
      </c>
      <c r="S529" s="17">
        <f t="shared" si="298"/>
        <v>1.570789884964001</v>
      </c>
      <c r="T529" s="17" t="str">
        <f t="shared" si="290"/>
        <v>1+2.93735394436379i</v>
      </c>
      <c r="U529" s="17">
        <f t="shared" si="299"/>
        <v>3.1029096336293001</v>
      </c>
      <c r="V529" s="17">
        <f t="shared" si="300"/>
        <v>1.242661262648171</v>
      </c>
      <c r="W529" s="31" t="str">
        <f t="shared" si="291"/>
        <v>1-51.0078795136604i</v>
      </c>
      <c r="X529" s="17">
        <f t="shared" si="301"/>
        <v>51.017680979049764</v>
      </c>
      <c r="Y529" s="17">
        <f t="shared" si="302"/>
        <v>-1.5511940237228299</v>
      </c>
      <c r="Z529" s="31" t="str">
        <f t="shared" si="292"/>
        <v>-547.623771053742+244.05567784251i</v>
      </c>
      <c r="AA529" s="17">
        <f t="shared" si="303"/>
        <v>599.54563505231874</v>
      </c>
      <c r="AB529" s="17">
        <f t="shared" si="304"/>
        <v>2.7223511893036196</v>
      </c>
      <c r="AC529" s="66" t="str">
        <f t="shared" si="305"/>
        <v>-0.000102832981059843+0.000925008652337994i</v>
      </c>
      <c r="AD529" s="64">
        <f t="shared" si="306"/>
        <v>-60.623739846778626</v>
      </c>
      <c r="AE529" s="61">
        <f t="shared" si="307"/>
        <v>96.343510539108834</v>
      </c>
      <c r="AF529" s="31" t="str">
        <f t="shared" si="293"/>
        <v>-0.000106860158311346</v>
      </c>
      <c r="AG529" s="31" t="str">
        <f t="shared" si="294"/>
        <v>0.037395715226927i</v>
      </c>
      <c r="AH529" s="31">
        <f t="shared" si="308"/>
        <v>3.7395715226927001E-2</v>
      </c>
      <c r="AI529" s="31">
        <f t="shared" si="309"/>
        <v>1.5707963267948966</v>
      </c>
      <c r="AJ529" s="31" t="str">
        <f t="shared" si="295"/>
        <v>1+590.359073240069i</v>
      </c>
      <c r="AK529" s="31">
        <f t="shared" si="310"/>
        <v>590.35992018164063</v>
      </c>
      <c r="AL529" s="31">
        <f t="shared" si="311"/>
        <v>1.5691024440565513</v>
      </c>
      <c r="AM529" s="31" t="str">
        <f t="shared" si="296"/>
        <v>1+3788.13738662376i</v>
      </c>
      <c r="AN529" s="31">
        <f t="shared" si="312"/>
        <v>3788.1375186147461</v>
      </c>
      <c r="AO529" s="31">
        <f t="shared" si="313"/>
        <v>1.5705323448230963</v>
      </c>
      <c r="AP529" s="58" t="str">
        <f t="shared" si="314"/>
        <v>-0.0000262185452840492+0.0183359069583839i</v>
      </c>
      <c r="AQ529" s="49">
        <f t="shared" si="315"/>
        <v>-34.733943189162659</v>
      </c>
      <c r="AR529" s="61">
        <f t="shared" si="316"/>
        <v>90.081927279045544</v>
      </c>
      <c r="AS529" s="58" t="str">
        <f t="shared" si="317"/>
        <v>-0.0000169581764537989-0.000001909788354206i</v>
      </c>
      <c r="AT529" s="64">
        <f t="shared" si="318"/>
        <v>-95.357683035941307</v>
      </c>
      <c r="AU529" s="61">
        <f t="shared" si="319"/>
        <v>-173.57456218184558</v>
      </c>
    </row>
    <row r="530" spans="14:47" x14ac:dyDescent="0.35">
      <c r="N530" s="10">
        <v>12</v>
      </c>
      <c r="O530" s="50">
        <f t="shared" si="321"/>
        <v>1318256.7385564097</v>
      </c>
      <c r="P530" s="48" t="str">
        <f t="shared" si="288"/>
        <v>547.187404092767</v>
      </c>
      <c r="Q530" s="17" t="str">
        <f t="shared" si="289"/>
        <v>1+158851.26586784i</v>
      </c>
      <c r="R530" s="17">
        <f t="shared" si="297"/>
        <v>158851.26587098761</v>
      </c>
      <c r="S530" s="17">
        <f t="shared" si="298"/>
        <v>1.5707900315979744</v>
      </c>
      <c r="T530" s="17" t="str">
        <f t="shared" si="290"/>
        <v>1+3.0057737071157i</v>
      </c>
      <c r="U530" s="17">
        <f t="shared" si="299"/>
        <v>3.1677556058490457</v>
      </c>
      <c r="V530" s="17">
        <f t="shared" si="300"/>
        <v>1.2496221447044236</v>
      </c>
      <c r="W530" s="31" t="str">
        <f t="shared" si="291"/>
        <v>1-52.1960056574298i</v>
      </c>
      <c r="X530" s="17">
        <f t="shared" si="301"/>
        <v>52.20558405563952</v>
      </c>
      <c r="Y530" s="17">
        <f t="shared" si="302"/>
        <v>-1.5516401161945119</v>
      </c>
      <c r="Z530" s="31" t="str">
        <f t="shared" si="292"/>
        <v>-573.479612809715+249.74046486257i</v>
      </c>
      <c r="AA530" s="17">
        <f t="shared" si="303"/>
        <v>625.49913357106527</v>
      </c>
      <c r="AB530" s="17">
        <f t="shared" si="304"/>
        <v>2.7308766532554305</v>
      </c>
      <c r="AC530" s="66" t="str">
        <f t="shared" si="305"/>
        <v>-0.0000988049021924732+0.000905349587539198i</v>
      </c>
      <c r="AD530" s="64">
        <f t="shared" si="306"/>
        <v>-60.812253477089484</v>
      </c>
      <c r="AE530" s="61">
        <f t="shared" si="307"/>
        <v>96.228298982383038</v>
      </c>
      <c r="AF530" s="31" t="str">
        <f t="shared" si="293"/>
        <v>-0.000106860158311346</v>
      </c>
      <c r="AG530" s="31" t="str">
        <f t="shared" si="294"/>
        <v>0.0382667733330411i</v>
      </c>
      <c r="AH530" s="31">
        <f t="shared" si="308"/>
        <v>3.8266773333041099E-2</v>
      </c>
      <c r="AI530" s="31">
        <f t="shared" si="309"/>
        <v>1.5707963267948966</v>
      </c>
      <c r="AJ530" s="31" t="str">
        <f t="shared" si="295"/>
        <v>1+604.110302575924i</v>
      </c>
      <c r="AK530" s="31">
        <f t="shared" si="310"/>
        <v>604.11113023877863</v>
      </c>
      <c r="AL530" s="31">
        <f t="shared" si="311"/>
        <v>1.5691410014637965</v>
      </c>
      <c r="AM530" s="31" t="str">
        <f t="shared" si="296"/>
        <v>1+3876.37444152883i</v>
      </c>
      <c r="AN530" s="31">
        <f t="shared" si="312"/>
        <v>3876.3745705153356</v>
      </c>
      <c r="AO530" s="31">
        <f t="shared" si="313"/>
        <v>1.5705383537861224</v>
      </c>
      <c r="AP530" s="58" t="str">
        <f t="shared" si="314"/>
        <v>-0.0000250385195959308+0.0179185327130435i</v>
      </c>
      <c r="AQ530" s="49">
        <f t="shared" si="315"/>
        <v>-34.933942641949528</v>
      </c>
      <c r="AR530" s="61">
        <f t="shared" si="316"/>
        <v>90.080062390562077</v>
      </c>
      <c r="AS530" s="58" t="str">
        <f t="shared" si="317"/>
        <v>-0.0000162200622725818-1.79310748553366E-06i</v>
      </c>
      <c r="AT530" s="64">
        <f t="shared" si="318"/>
        <v>-95.746196119039041</v>
      </c>
      <c r="AU530" s="61">
        <f t="shared" si="319"/>
        <v>-173.69163862705489</v>
      </c>
    </row>
    <row r="531" spans="14:47" x14ac:dyDescent="0.35">
      <c r="N531" s="10">
        <v>13</v>
      </c>
      <c r="O531" s="50">
        <f t="shared" si="321"/>
        <v>1348962.8825916562</v>
      </c>
      <c r="P531" s="48" t="str">
        <f t="shared" ref="P531:P560" si="322">COMPLEX(Adc,0)</f>
        <v>547.187404092767</v>
      </c>
      <c r="Q531" s="17" t="str">
        <f t="shared" ref="Q531:Q560" si="323">IMSUM(COMPLEX(1,0),IMDIV(COMPLEX(0,2*PI()*O531),COMPLEX(wp_lf,0)))</f>
        <v>1+162551.387177487i</v>
      </c>
      <c r="R531" s="17">
        <f t="shared" si="297"/>
        <v>162551.38718056298</v>
      </c>
      <c r="S531" s="17">
        <f t="shared" si="298"/>
        <v>1.5707901748941508</v>
      </c>
      <c r="T531" s="17" t="str">
        <f t="shared" ref="T531:T560" si="324">IMSUM(COMPLEX(1,0),IMDIV(COMPLEX(0,2*PI()*O531),COMPLEX(wz_esr,0)))</f>
        <v>1+3.07578717087324i</v>
      </c>
      <c r="U531" s="17">
        <f t="shared" si="299"/>
        <v>3.23426447905987</v>
      </c>
      <c r="V531" s="17">
        <f t="shared" si="300"/>
        <v>1.256455873588763</v>
      </c>
      <c r="W531" s="31" t="str">
        <f t="shared" ref="W531:W560" si="325">IMSUB(COMPLEX(1,0),IMDIV(COMPLEX(0,2*PI()*O531),COMPLEX(wz_rhp,0)))</f>
        <v>1-53.4118068142944i</v>
      </c>
      <c r="X531" s="17">
        <f t="shared" si="301"/>
        <v>53.421167220190036</v>
      </c>
      <c r="Y531" s="17">
        <f t="shared" si="302"/>
        <v>-1.5520760617299245</v>
      </c>
      <c r="Z531" s="31" t="str">
        <f t="shared" ref="Z531:Z560" si="326">IMSUM(COMPLEX(1,0),IMDIV(COMPLEX(0,2*PI()*O531),COMPLEX(Q*(wsl/2),0)),IMDIV(IMPOWER(COMPLEX(0,2*PI()*O531),2),IMPOWER(COMPLEX(wsl/2,0),2)))</f>
        <v>-600.554002846278+255.557667582805i</v>
      </c>
      <c r="AA531" s="17">
        <f t="shared" si="303"/>
        <v>652.66747413598807</v>
      </c>
      <c r="AB531" s="17">
        <f t="shared" si="304"/>
        <v>2.739267646597825</v>
      </c>
      <c r="AC531" s="66" t="str">
        <f t="shared" si="305"/>
        <v>-0.0000949132550596985+0.000886063674666749i</v>
      </c>
      <c r="AD531" s="64">
        <f t="shared" si="306"/>
        <v>-61.001153090250462</v>
      </c>
      <c r="AE531" s="61">
        <f t="shared" si="307"/>
        <v>96.114088251807885</v>
      </c>
      <c r="AF531" s="31" t="str">
        <f t="shared" ref="AF531:AF560" si="327">COMPLEX(Adc_ea,0)</f>
        <v>-0.000106860158311346</v>
      </c>
      <c r="AG531" s="31" t="str">
        <f t="shared" ref="AG531:AG560" si="328">COMPLEX(0,2*PI()*O531*wp0_ea)</f>
        <v>0.039158120988897i</v>
      </c>
      <c r="AH531" s="31">
        <f t="shared" si="308"/>
        <v>3.9158120988896997E-2</v>
      </c>
      <c r="AI531" s="31">
        <f t="shared" si="309"/>
        <v>1.5707963267948966</v>
      </c>
      <c r="AJ531" s="31" t="str">
        <f t="shared" ref="AJ531:AJ560" si="329">IMSUM(COMPLEX(1,0),IMDIV(COMPLEX(0,2*PI()*O531),COMPLEX(wp1_ea,0)))</f>
        <v>1+618.181839190548i</v>
      </c>
      <c r="AK531" s="31">
        <f t="shared" si="310"/>
        <v>618.18264801352075</v>
      </c>
      <c r="AL531" s="31">
        <f t="shared" si="311"/>
        <v>1.5691786812020558</v>
      </c>
      <c r="AM531" s="31" t="str">
        <f t="shared" ref="AM531:AM560" si="330">IMSUM(COMPLEX(1,0),IMDIV(COMPLEX(0,2*PI()*O531),COMPLEX(wz_ea,0)))</f>
        <v>1+3966.66680147267i</v>
      </c>
      <c r="AN531" s="31">
        <f t="shared" si="312"/>
        <v>3966.6669275230843</v>
      </c>
      <c r="AO531" s="31">
        <f t="shared" si="313"/>
        <v>1.5705442259684688</v>
      </c>
      <c r="AP531" s="58" t="str">
        <f t="shared" si="314"/>
        <v>-0.0000239116035279602+0.017510658935053i</v>
      </c>
      <c r="AQ531" s="49">
        <f t="shared" si="315"/>
        <v>-35.133942119364832</v>
      </c>
      <c r="AR531" s="61">
        <f t="shared" si="316"/>
        <v>90.078239951851643</v>
      </c>
      <c r="AS531" s="58" t="str">
        <f t="shared" si="317"/>
        <v>-0.0000155132892737047-1.68318084105523E-06i</v>
      </c>
      <c r="AT531" s="64">
        <f t="shared" si="318"/>
        <v>-96.135095209615272</v>
      </c>
      <c r="AU531" s="61">
        <f t="shared" si="319"/>
        <v>-173.80767179634049</v>
      </c>
    </row>
    <row r="532" spans="14:47" x14ac:dyDescent="0.35">
      <c r="N532" s="10">
        <v>14</v>
      </c>
      <c r="O532" s="50">
        <f t="shared" si="321"/>
        <v>1380384.2646028849</v>
      </c>
      <c r="P532" s="48" t="str">
        <f t="shared" si="322"/>
        <v>547.187404092767</v>
      </c>
      <c r="Q532" s="17" t="str">
        <f t="shared" si="323"/>
        <v>1+166337.695384238i</v>
      </c>
      <c r="R532" s="17">
        <f t="shared" ref="R532:R560" si="331">IMABS(Q532)</f>
        <v>166337.69538724393</v>
      </c>
      <c r="S532" s="17">
        <f t="shared" ref="S532:S560" si="332">IMARGUMENT(Q532)</f>
        <v>1.5707903149285083</v>
      </c>
      <c r="T532" s="17" t="str">
        <f t="shared" si="324"/>
        <v>1+3.14743145770163i</v>
      </c>
      <c r="U532" s="17">
        <f t="shared" ref="U532:U560" si="333">IMABS(T532)</f>
        <v>3.3024725253860638</v>
      </c>
      <c r="V532" s="17">
        <f t="shared" ref="V532:V560" si="334">IMARGUMENT(T532)</f>
        <v>1.2631635186915591</v>
      </c>
      <c r="W532" s="31" t="str">
        <f t="shared" si="325"/>
        <v>1-54.6559276181208i</v>
      </c>
      <c r="X532" s="17">
        <f t="shared" ref="X532:X560" si="335">IMABS(W532)</f>
        <v>54.665074991234206</v>
      </c>
      <c r="Y532" s="17">
        <f t="shared" ref="Y532:Y560" si="336">IMARGUMENT(W532)</f>
        <v>-1.5525020908099747</v>
      </c>
      <c r="Z532" s="31" t="str">
        <f t="shared" si="326"/>
        <v>-628.904369574628+261.510370361099i</v>
      </c>
      <c r="AA532" s="17">
        <f t="shared" ref="AA532:AA560" si="337">IMABS(Z532)</f>
        <v>681.10819983058457</v>
      </c>
      <c r="AB532" s="17">
        <f t="shared" ref="AB532:AB560" si="338">IMARGUMENT(Z532)</f>
        <v>2.7475240446563816</v>
      </c>
      <c r="AC532" s="66" t="str">
        <f t="shared" ref="AC532:AC560" si="339">(IMDIV(IMPRODUCT(P532,T532,W532),IMPRODUCT(Q532,Z532)))</f>
        <v>-0.0000911549695310937+0.0008671456892672i</v>
      </c>
      <c r="AD532" s="64">
        <f t="shared" ref="AD532:AD560" si="340">20*LOG(IMABS(AC532))</f>
        <v>-61.190430714041959</v>
      </c>
      <c r="AE532" s="61">
        <f t="shared" ref="AE532:AE560" si="341">(180/PI())*IMARGUMENT(AC532)</f>
        <v>96.00093355232012</v>
      </c>
      <c r="AF532" s="31" t="str">
        <f t="shared" si="327"/>
        <v>-0.000106860158311346</v>
      </c>
      <c r="AG532" s="31" t="str">
        <f t="shared" si="328"/>
        <v>0.0400702307988201i</v>
      </c>
      <c r="AH532" s="31">
        <f t="shared" ref="AH532:AH560" si="342">IMABS(AG532)</f>
        <v>4.0070230798820099E-2</v>
      </c>
      <c r="AI532" s="31">
        <f t="shared" ref="AI532:AI560" si="343">IMARGUMENT(AG532)</f>
        <v>1.5707963267948966</v>
      </c>
      <c r="AJ532" s="31" t="str">
        <f t="shared" si="329"/>
        <v>1+632.581143998915i</v>
      </c>
      <c r="AK532" s="31">
        <f t="shared" ref="AK532:AK560" si="344">IMABS(AJ532)</f>
        <v>632.58193441085234</v>
      </c>
      <c r="AL532" s="31">
        <f t="shared" ref="AL532:AL560" si="345">IMARGUMENT(AJ532)</f>
        <v>1.5692155032491975</v>
      </c>
      <c r="AM532" s="31" t="str">
        <f t="shared" si="330"/>
        <v>1+4059.06234065969i</v>
      </c>
      <c r="AN532" s="31">
        <f t="shared" ref="AN532:AN560" si="346">IMABS(AM532)</f>
        <v>4059.0624638408462</v>
      </c>
      <c r="AO532" s="31">
        <f t="shared" ref="AO532:AO560" si="347">IMARGUMENT(AM532)</f>
        <v>1.5705499644836427</v>
      </c>
      <c r="AP532" s="58" t="str">
        <f t="shared" ref="AP532:AP560" si="348">IMPRODUCT(AF532,IMDIV(AM532,IMPRODUCT(AG532,AJ532)))</f>
        <v>-0.0000228354067785093+0.0171120693760747i</v>
      </c>
      <c r="AQ532" s="49">
        <f t="shared" ref="AQ532:AQ560" si="349">20*LOG(IMABS(AP532))</f>
        <v>-35.333941620300408</v>
      </c>
      <c r="AR532" s="61">
        <f t="shared" ref="AR532:AR560" si="350">(180/PI())*IMARGUMENT(AP532)</f>
        <v>90.076458996657536</v>
      </c>
      <c r="AS532" s="58" t="str">
        <f t="shared" ref="AS532:AS560" si="351">IMPRODUCT(AC532,AP532)</f>
        <v>-0.0000148365756330953-0.0000015796517871407i</v>
      </c>
      <c r="AT532" s="64">
        <f t="shared" ref="AT532:AT560" si="352">20*LOG(IMABS(AS532))</f>
        <v>-96.524372334342388</v>
      </c>
      <c r="AU532" s="61">
        <f t="shared" ref="AU532:AU560" si="353">(180/PI())*IMARGUMENT(AS532)</f>
        <v>-173.92260745102232</v>
      </c>
    </row>
    <row r="533" spans="14:47" x14ac:dyDescent="0.35">
      <c r="N533" s="10">
        <v>15</v>
      </c>
      <c r="O533" s="50">
        <f t="shared" si="321"/>
        <v>1412537.5446227565</v>
      </c>
      <c r="P533" s="48" t="str">
        <f t="shared" si="322"/>
        <v>547.187404092767</v>
      </c>
      <c r="Q533" s="17" t="str">
        <f t="shared" si="323"/>
        <v>1+170212.198038822i</v>
      </c>
      <c r="R533" s="17">
        <f t="shared" si="331"/>
        <v>170212.19804175952</v>
      </c>
      <c r="S533" s="17">
        <f t="shared" si="332"/>
        <v>1.5707904517752946</v>
      </c>
      <c r="T533" s="17" t="str">
        <f t="shared" si="324"/>
        <v>1+3.22074455435008i</v>
      </c>
      <c r="U533" s="17">
        <f t="shared" si="333"/>
        <v>3.3724168610027578</v>
      </c>
      <c r="V533" s="17">
        <f t="shared" si="334"/>
        <v>1.2697462213015636</v>
      </c>
      <c r="W533" s="31" t="str">
        <f t="shared" si="325"/>
        <v>1-55.9290277182273i</v>
      </c>
      <c r="X533" s="17">
        <f t="shared" si="335"/>
        <v>55.937966905369713</v>
      </c>
      <c r="Y533" s="17">
        <f t="shared" si="336"/>
        <v>-1.5529184287019679</v>
      </c>
      <c r="Z533" s="31" t="str">
        <f t="shared" si="326"/>
        <v>-658.5908479236+267.601729399257i</v>
      </c>
      <c r="AA533" s="17">
        <f t="shared" si="337"/>
        <v>710.88155873267635</v>
      </c>
      <c r="AB533" s="17">
        <f t="shared" si="338"/>
        <v>2.7556458669357298</v>
      </c>
      <c r="AC533" s="66" t="str">
        <f t="shared" si="339"/>
        <v>-0.0000875269351812699+0.000848590446586785i</v>
      </c>
      <c r="AD533" s="64">
        <f t="shared" si="340"/>
        <v>-61.380078138381286</v>
      </c>
      <c r="AE533" s="61">
        <f t="shared" si="341"/>
        <v>95.888886246295186</v>
      </c>
      <c r="AF533" s="31" t="str">
        <f t="shared" si="327"/>
        <v>-0.000106860158311346</v>
      </c>
      <c r="AG533" s="31" t="str">
        <f t="shared" si="328"/>
        <v>0.0410035863755051i</v>
      </c>
      <c r="AH533" s="31">
        <f t="shared" si="342"/>
        <v>4.1003586375505101E-2</v>
      </c>
      <c r="AI533" s="31">
        <f t="shared" si="343"/>
        <v>1.5707963267948966</v>
      </c>
      <c r="AJ533" s="31" t="str">
        <f t="shared" si="329"/>
        <v>1+647.315851703033i</v>
      </c>
      <c r="AK533" s="31">
        <f t="shared" si="344"/>
        <v>647.31662412301989</v>
      </c>
      <c r="AL533" s="31">
        <f t="shared" si="345"/>
        <v>1.569251487128358</v>
      </c>
      <c r="AM533" s="31" t="str">
        <f t="shared" si="330"/>
        <v>1+4153.61004842779i</v>
      </c>
      <c r="AN533" s="31">
        <f t="shared" si="346"/>
        <v>4153.6101688050012</v>
      </c>
      <c r="AO533" s="31">
        <f t="shared" si="347"/>
        <v>1.5705555723742795</v>
      </c>
      <c r="AP533" s="58" t="str">
        <f t="shared" si="348"/>
        <v>-0.0000218076466250439+0.0167225527096042i</v>
      </c>
      <c r="AQ533" s="49">
        <f t="shared" si="349"/>
        <v>-35.533941143697461</v>
      </c>
      <c r="AR533" s="61">
        <f t="shared" si="350"/>
        <v>90.074718580716564</v>
      </c>
      <c r="AS533" s="58" t="str">
        <f t="shared" si="351"/>
        <v>-0.0000141886897154415-1.48217954766745E-06i</v>
      </c>
      <c r="AT533" s="64">
        <f t="shared" si="352"/>
        <v>-96.914019282078726</v>
      </c>
      <c r="AU533" s="61">
        <f t="shared" si="353"/>
        <v>-174.03639517298825</v>
      </c>
    </row>
    <row r="534" spans="14:47" x14ac:dyDescent="0.35">
      <c r="N534" s="10">
        <v>16</v>
      </c>
      <c r="O534" s="50">
        <f t="shared" si="321"/>
        <v>1445439.7707459298</v>
      </c>
      <c r="P534" s="48" t="str">
        <f t="shared" si="322"/>
        <v>547.187404092767</v>
      </c>
      <c r="Q534" s="17" t="str">
        <f t="shared" si="323"/>
        <v>1+174176.949453831i</v>
      </c>
      <c r="R534" s="17">
        <f t="shared" si="331"/>
        <v>174176.94945670164</v>
      </c>
      <c r="S534" s="17">
        <f t="shared" si="332"/>
        <v>1.5707905855070676</v>
      </c>
      <c r="T534" s="17" t="str">
        <f t="shared" si="324"/>
        <v>1+3.29576533239284i</v>
      </c>
      <c r="U534" s="17">
        <f t="shared" si="333"/>
        <v>3.4441354686194461</v>
      </c>
      <c r="V534" s="17">
        <f t="shared" si="334"/>
        <v>1.2762051889066348</v>
      </c>
      <c r="W534" s="31" t="str">
        <f t="shared" si="325"/>
        <v>1-57.2317821291381i</v>
      </c>
      <c r="X534" s="17">
        <f t="shared" si="335"/>
        <v>57.240517866954441</v>
      </c>
      <c r="Y534" s="17">
        <f t="shared" si="336"/>
        <v>-1.5533252955760997</v>
      </c>
      <c r="Z534" s="31" t="str">
        <f t="shared" si="326"/>
        <v>-689.676406893901+273.834974416471i</v>
      </c>
      <c r="AA534" s="17">
        <f t="shared" si="337"/>
        <v>742.05063131820805</v>
      </c>
      <c r="AB534" s="17">
        <f t="shared" si="338"/>
        <v>2.7636332702951414</v>
      </c>
      <c r="AC534" s="66" t="str">
        <f t="shared" si="339"/>
        <v>-0.0000840260099737302+0.000830392796173307i</v>
      </c>
      <c r="AD534" s="64">
        <f t="shared" si="340"/>
        <v>-61.57008695510018</v>
      </c>
      <c r="AE534" s="61">
        <f t="shared" si="341"/>
        <v>95.777993911337006</v>
      </c>
      <c r="AF534" s="31" t="str">
        <f t="shared" si="327"/>
        <v>-0.000106860158311346</v>
      </c>
      <c r="AG534" s="31" t="str">
        <f t="shared" si="328"/>
        <v>0.041958682596433i</v>
      </c>
      <c r="AH534" s="31">
        <f t="shared" si="342"/>
        <v>4.1958682596432997E-2</v>
      </c>
      <c r="AI534" s="31">
        <f t="shared" si="343"/>
        <v>1.5707963267948966</v>
      </c>
      <c r="AJ534" s="31" t="str">
        <f t="shared" si="329"/>
        <v>1+662.393774839962i</v>
      </c>
      <c r="AK534" s="31">
        <f t="shared" si="344"/>
        <v>662.39452967754369</v>
      </c>
      <c r="AL534" s="31">
        <f t="shared" si="345"/>
        <v>1.5692866519182942</v>
      </c>
      <c r="AM534" s="31" t="str">
        <f t="shared" si="330"/>
        <v>1+4250.36005522308i</v>
      </c>
      <c r="AN534" s="31">
        <f t="shared" si="346"/>
        <v>4250.3601728601707</v>
      </c>
      <c r="AO534" s="31">
        <f t="shared" si="347"/>
        <v>1.5705610526137552</v>
      </c>
      <c r="AP534" s="58" t="str">
        <f t="shared" si="348"/>
        <v>-0.0000208261430824584+0.0163419024189731i</v>
      </c>
      <c r="AQ534" s="49">
        <f t="shared" si="349"/>
        <v>-35.733940688545104</v>
      </c>
      <c r="AR534" s="61">
        <f t="shared" si="350"/>
        <v>90.073017781258457</v>
      </c>
      <c r="AS534" s="58" t="str">
        <f t="shared" si="351"/>
        <v>-0.000013568448106776-1.39043873483411E-06i</v>
      </c>
      <c r="AT534" s="64">
        <f t="shared" si="352"/>
        <v>-97.304027643645298</v>
      </c>
      <c r="AU534" s="61">
        <f t="shared" si="353"/>
        <v>-174.14898830740449</v>
      </c>
    </row>
    <row r="535" spans="14:47" x14ac:dyDescent="0.35">
      <c r="N535" s="10">
        <v>17</v>
      </c>
      <c r="O535" s="50">
        <f t="shared" si="321"/>
        <v>1479108.3881682095</v>
      </c>
      <c r="P535" s="48" t="str">
        <f t="shared" si="322"/>
        <v>547.187404092767</v>
      </c>
      <c r="Q535" s="17" t="str">
        <f t="shared" si="323"/>
        <v>1+178234.051792944i</v>
      </c>
      <c r="R535" s="17">
        <f t="shared" si="331"/>
        <v>178234.05179574928</v>
      </c>
      <c r="S535" s="17">
        <f t="shared" si="332"/>
        <v>1.5707907161947339</v>
      </c>
      <c r="T535" s="17" t="str">
        <f t="shared" si="324"/>
        <v>1+3.37253356883944i</v>
      </c>
      <c r="U535" s="17">
        <f t="shared" si="333"/>
        <v>3.517667220324983</v>
      </c>
      <c r="V535" s="17">
        <f t="shared" si="334"/>
        <v>1.2825416896931803</v>
      </c>
      <c r="W535" s="31" t="str">
        <f t="shared" si="325"/>
        <v>1-58.5648815884858i</v>
      </c>
      <c r="X535" s="17">
        <f t="shared" si="335"/>
        <v>58.573418505951679</v>
      </c>
      <c r="Y535" s="17">
        <f t="shared" si="336"/>
        <v>-1.5537229066194387</v>
      </c>
      <c r="Z535" s="31" t="str">
        <f t="shared" si="326"/>
        <v>-722.226983123822+280.213410361754i</v>
      </c>
      <c r="AA535" s="17">
        <f t="shared" si="337"/>
        <v>774.68146389254866</v>
      </c>
      <c r="AB535" s="17">
        <f t="shared" si="338"/>
        <v>2.7714865420966155</v>
      </c>
      <c r="AC535" s="66" t="str">
        <f t="shared" si="339"/>
        <v>-0.0000806490286921637+0.000812547617381069i</v>
      </c>
      <c r="AD535" s="64">
        <f t="shared" si="340"/>
        <v>-61.760448595528707</v>
      </c>
      <c r="AE535" s="61">
        <f t="shared" si="341"/>
        <v>95.668300411170947</v>
      </c>
      <c r="AF535" s="31" t="str">
        <f t="shared" si="327"/>
        <v>-0.000106860158311346</v>
      </c>
      <c r="AG535" s="31" t="str">
        <f t="shared" si="328"/>
        <v>0.0429360258662623i</v>
      </c>
      <c r="AH535" s="31">
        <f t="shared" si="342"/>
        <v>4.2936025866262301E-2</v>
      </c>
      <c r="AI535" s="31">
        <f t="shared" si="343"/>
        <v>1.5707963267948966</v>
      </c>
      <c r="AJ535" s="31" t="str">
        <f t="shared" si="329"/>
        <v>1+677.822907924128i</v>
      </c>
      <c r="AK535" s="31">
        <f t="shared" si="344"/>
        <v>677.82364557952758</v>
      </c>
      <c r="AL535" s="31">
        <f t="shared" si="345"/>
        <v>1.5693210162634943</v>
      </c>
      <c r="AM535" s="31" t="str">
        <f t="shared" si="330"/>
        <v>1+4349.36365917981i</v>
      </c>
      <c r="AN535" s="31">
        <f t="shared" si="346"/>
        <v>4349.363774139154</v>
      </c>
      <c r="AO535" s="31">
        <f t="shared" si="347"/>
        <v>1.5705664081077644</v>
      </c>
      <c r="AP535" s="58" t="str">
        <f t="shared" si="348"/>
        <v>-0.0000198888142793071+0.0159699166879004i</v>
      </c>
      <c r="AQ535" s="49">
        <f t="shared" si="349"/>
        <v>-35.93394025387795</v>
      </c>
      <c r="AR535" s="61">
        <f t="shared" si="350"/>
        <v>90.07135569651669</v>
      </c>
      <c r="AS535" s="58" t="str">
        <f t="shared" si="351"/>
        <v>-0.0000129747137409742-1.30411887782913E-06i</v>
      </c>
      <c r="AT535" s="64">
        <f t="shared" si="352"/>
        <v>-97.694388849406636</v>
      </c>
      <c r="AU535" s="61">
        <f t="shared" si="353"/>
        <v>-174.26034389231236</v>
      </c>
    </row>
    <row r="536" spans="14:47" x14ac:dyDescent="0.35">
      <c r="N536" s="10">
        <v>18</v>
      </c>
      <c r="O536" s="50">
        <f t="shared" si="321"/>
        <v>1513561.2484362102</v>
      </c>
      <c r="P536" s="48" t="str">
        <f t="shared" si="322"/>
        <v>547.187404092767</v>
      </c>
      <c r="Q536" s="17" t="str">
        <f t="shared" si="323"/>
        <v>1+182385.656185525i</v>
      </c>
      <c r="R536" s="17">
        <f t="shared" si="331"/>
        <v>182385.65618826647</v>
      </c>
      <c r="S536" s="17">
        <f t="shared" si="332"/>
        <v>1.5707908439075857</v>
      </c>
      <c r="T536" s="17" t="str">
        <f t="shared" si="324"/>
        <v>1+3.451089967225i</v>
      </c>
      <c r="U536" s="17">
        <f t="shared" si="333"/>
        <v>3.5930519008053659</v>
      </c>
      <c r="V536" s="17">
        <f t="shared" si="334"/>
        <v>1.2887570472503569</v>
      </c>
      <c r="W536" s="31" t="str">
        <f t="shared" si="325"/>
        <v>1-59.9290329232497i</v>
      </c>
      <c r="X536" s="17">
        <f t="shared" si="335"/>
        <v>59.937375544112257</v>
      </c>
      <c r="Y536" s="17">
        <f t="shared" si="336"/>
        <v>-1.5541114721474536</v>
      </c>
      <c r="Z536" s="31" t="str">
        <f t="shared" si="326"/>
        <v>-756.311620749681+286.740419166274i</v>
      </c>
      <c r="AA536" s="17">
        <f t="shared" si="337"/>
        <v>808.84320833191134</v>
      </c>
      <c r="AB536" s="17">
        <f t="shared" si="338"/>
        <v>2.779206093359432</v>
      </c>
      <c r="AC536" s="66" t="str">
        <f t="shared" si="339"/>
        <v>-0.0000773928110715195+0.000795049815710221i</v>
      </c>
      <c r="AD536" s="64">
        <f t="shared" si="340"/>
        <v>-61.951154365854478</v>
      </c>
      <c r="AE536" s="61">
        <f t="shared" si="341"/>
        <v>95.559845978040826</v>
      </c>
      <c r="AF536" s="31" t="str">
        <f t="shared" si="327"/>
        <v>-0.000106860158311346</v>
      </c>
      <c r="AG536" s="31" t="str">
        <f t="shared" si="328"/>
        <v>0.0439361343853314i</v>
      </c>
      <c r="AH536" s="31">
        <f t="shared" si="342"/>
        <v>4.39361343853314E-2</v>
      </c>
      <c r="AI536" s="31">
        <f t="shared" si="343"/>
        <v>1.5707963267948966</v>
      </c>
      <c r="AJ536" s="31" t="str">
        <f t="shared" si="329"/>
        <v>1+693.611431686124i</v>
      </c>
      <c r="AK536" s="31">
        <f t="shared" si="344"/>
        <v>693.61215255045431</v>
      </c>
      <c r="AL536" s="31">
        <f t="shared" si="345"/>
        <v>1.5693545983840649</v>
      </c>
      <c r="AM536" s="31" t="str">
        <f t="shared" si="330"/>
        <v>1+4450.67335331928i</v>
      </c>
      <c r="AN536" s="31">
        <f t="shared" si="346"/>
        <v>4450.6734656618301</v>
      </c>
      <c r="AO536" s="31">
        <f t="shared" si="347"/>
        <v>1.5705716416958595</v>
      </c>
      <c r="AP536" s="58" t="str">
        <f t="shared" si="348"/>
        <v>-0.0000189936720421235+0.0156063982935325i</v>
      </c>
      <c r="AQ536" s="49">
        <f t="shared" si="349"/>
        <v>-36.133939838774012</v>
      </c>
      <c r="AR536" s="61">
        <f t="shared" si="350"/>
        <v>90.069731445250454</v>
      </c>
      <c r="AS536" s="58" t="str">
        <f t="shared" si="351"/>
        <v>-0.0000124063941135014-0.000001222923950095i</v>
      </c>
      <c r="AT536" s="64">
        <f t="shared" si="352"/>
        <v>-98.085094204628518</v>
      </c>
      <c r="AU536" s="61">
        <f t="shared" si="353"/>
        <v>-174.37042257670871</v>
      </c>
    </row>
    <row r="537" spans="14:47" x14ac:dyDescent="0.35">
      <c r="N537" s="10">
        <v>19</v>
      </c>
      <c r="O537" s="50">
        <f t="shared" si="321"/>
        <v>1548816.6189124861</v>
      </c>
      <c r="P537" s="48" t="str">
        <f t="shared" si="322"/>
        <v>547.187404092767</v>
      </c>
      <c r="Q537" s="17" t="str">
        <f t="shared" si="323"/>
        <v>1+186633.963867175i</v>
      </c>
      <c r="R537" s="17">
        <f t="shared" si="331"/>
        <v>186633.96386985405</v>
      </c>
      <c r="S537" s="17">
        <f t="shared" si="332"/>
        <v>1.5707909687133381</v>
      </c>
      <c r="T537" s="17" t="str">
        <f t="shared" si="324"/>
        <v>1+3.53147617919177i</v>
      </c>
      <c r="U537" s="17">
        <f t="shared" si="333"/>
        <v>3.6703302309463792</v>
      </c>
      <c r="V537" s="17">
        <f t="shared" si="334"/>
        <v>1.2948526354833825</v>
      </c>
      <c r="W537" s="31" t="str">
        <f t="shared" si="325"/>
        <v>1-61.3249594245242i</v>
      </c>
      <c r="X537" s="17">
        <f t="shared" si="335"/>
        <v>61.333112169688071</v>
      </c>
      <c r="Y537" s="17">
        <f t="shared" si="336"/>
        <v>-1.5544911977131268</v>
      </c>
      <c r="Z537" s="31" t="str">
        <f t="shared" si="326"/>
        <v>-792.00261785769+293.419461536495i</v>
      </c>
      <c r="AA537" s="17">
        <f t="shared" si="337"/>
        <v>844.60826843087489</v>
      </c>
      <c r="AB537" s="17">
        <f t="shared" si="338"/>
        <v>2.7867924519523277</v>
      </c>
      <c r="AC537" s="66" t="str">
        <f t="shared" si="339"/>
        <v>-0.0000742541695890301+0.000777894319912033i</v>
      </c>
      <c r="AD537" s="64">
        <f t="shared" si="340"/>
        <v>-62.142195480247047</v>
      </c>
      <c r="AE537" s="61">
        <f t="shared" si="341"/>
        <v>95.452667305067692</v>
      </c>
      <c r="AF537" s="31" t="str">
        <f t="shared" si="327"/>
        <v>-0.000106860158311346</v>
      </c>
      <c r="AG537" s="31" t="str">
        <f t="shared" si="328"/>
        <v>0.0449595384244152i</v>
      </c>
      <c r="AH537" s="31">
        <f t="shared" si="342"/>
        <v>4.4959538424415198E-2</v>
      </c>
      <c r="AI537" s="31">
        <f t="shared" si="343"/>
        <v>1.5707963267948966</v>
      </c>
      <c r="AJ537" s="31" t="str">
        <f t="shared" si="329"/>
        <v>1+709.767717410233i</v>
      </c>
      <c r="AK537" s="31">
        <f t="shared" si="344"/>
        <v>709.76842186570434</v>
      </c>
      <c r="AL537" s="31">
        <f t="shared" si="345"/>
        <v>1.5693874160853871</v>
      </c>
      <c r="AM537" s="31" t="str">
        <f t="shared" si="330"/>
        <v>1+4554.34285338232i</v>
      </c>
      <c r="AN537" s="31">
        <f t="shared" si="346"/>
        <v>4554.3429631676418</v>
      </c>
      <c r="AO537" s="31">
        <f t="shared" si="347"/>
        <v>1.5705767561529571</v>
      </c>
      <c r="AP537" s="58" t="str">
        <f t="shared" si="348"/>
        <v>-0.0000181388176784639+0.0152511545019154i</v>
      </c>
      <c r="AQ537" s="49">
        <f t="shared" si="349"/>
        <v>-36.333939442352829</v>
      </c>
      <c r="AR537" s="61">
        <f t="shared" si="350"/>
        <v>90.068144166277563</v>
      </c>
      <c r="AS537" s="58" t="str">
        <f t="shared" si="351"/>
        <v>-0.0000118624395762968-1.14657189605572E-06i</v>
      </c>
      <c r="AT537" s="64">
        <f t="shared" si="352"/>
        <v>-98.476134922599869</v>
      </c>
      <c r="AU537" s="61">
        <f t="shared" si="353"/>
        <v>-174.47918852865476</v>
      </c>
    </row>
    <row r="538" spans="14:47" x14ac:dyDescent="0.35">
      <c r="N538" s="10">
        <v>20</v>
      </c>
      <c r="O538" s="50">
        <f t="shared" si="321"/>
        <v>1584893.1924611153</v>
      </c>
      <c r="P538" s="48" t="str">
        <f t="shared" si="322"/>
        <v>547.187404092767</v>
      </c>
      <c r="Q538" s="17" t="str">
        <f t="shared" si="323"/>
        <v>1+190981.227346859i</v>
      </c>
      <c r="R538" s="17">
        <f t="shared" si="331"/>
        <v>190981.22734947709</v>
      </c>
      <c r="S538" s="17">
        <f t="shared" si="332"/>
        <v>1.5707910906781648</v>
      </c>
      <c r="T538" s="17" t="str">
        <f t="shared" si="324"/>
        <v>1+3.61373482657334i</v>
      </c>
      <c r="U538" s="17">
        <f t="shared" si="333"/>
        <v>3.7495438918339183</v>
      </c>
      <c r="V538" s="17">
        <f t="shared" si="334"/>
        <v>1.3008298737387738</v>
      </c>
      <c r="W538" s="31" t="str">
        <f t="shared" si="325"/>
        <v>1-62.753401231017i</v>
      </c>
      <c r="X538" s="17">
        <f t="shared" si="335"/>
        <v>62.7613684208766</v>
      </c>
      <c r="Y538" s="17">
        <f t="shared" si="336"/>
        <v>-1.5548622842137021</v>
      </c>
      <c r="Z538" s="31" t="str">
        <f t="shared" si="326"/>
        <v>-829.375679837881+300.254078789087i</v>
      </c>
      <c r="AA538" s="17">
        <f t="shared" si="337"/>
        <v>882.05245316592732</v>
      </c>
      <c r="AB538" s="17">
        <f t="shared" si="338"/>
        <v>2.7942462558514678</v>
      </c>
      <c r="AC538" s="66" t="str">
        <f t="shared" si="339"/>
        <v>-0.000071229916883094+0.000761076079792437i</v>
      </c>
      <c r="AD538" s="64">
        <f t="shared" si="340"/>
        <v>-62.333563091755494</v>
      </c>
      <c r="AE538" s="61">
        <f t="shared" si="341"/>
        <v>95.346797647119956</v>
      </c>
      <c r="AF538" s="31" t="str">
        <f t="shared" si="327"/>
        <v>-0.000106860158311346</v>
      </c>
      <c r="AG538" s="31" t="str">
        <f t="shared" si="328"/>
        <v>0.0460067806058813i</v>
      </c>
      <c r="AH538" s="31">
        <f t="shared" si="342"/>
        <v>4.6006780605881301E-2</v>
      </c>
      <c r="AI538" s="31">
        <f t="shared" si="343"/>
        <v>1.5707963267948966</v>
      </c>
      <c r="AJ538" s="31" t="str">
        <f t="shared" si="329"/>
        <v>1+726.300331372996i</v>
      </c>
      <c r="AK538" s="31">
        <f t="shared" si="344"/>
        <v>726.30101979311848</v>
      </c>
      <c r="AL538" s="31">
        <f t="shared" si="345"/>
        <v>1.5694194867675579</v>
      </c>
      <c r="AM538" s="31" t="str">
        <f t="shared" si="330"/>
        <v>1+4660.42712631005i</v>
      </c>
      <c r="AN538" s="31">
        <f t="shared" si="346"/>
        <v>4660.4272335963524</v>
      </c>
      <c r="AO538" s="31">
        <f t="shared" si="347"/>
        <v>1.5705817541908089</v>
      </c>
      <c r="AP538" s="58" t="str">
        <f t="shared" si="348"/>
        <v>-0.0000173224379497313+0.0149039969658446i</v>
      </c>
      <c r="AQ538" s="49">
        <f t="shared" si="349"/>
        <v>-36.53393906377341</v>
      </c>
      <c r="AR538" s="61">
        <f t="shared" si="350"/>
        <v>90.066593018017841</v>
      </c>
      <c r="AS538" s="58" t="str">
        <f t="shared" si="351"/>
        <v>-0.000011341841708188-1.07479415827023E-06i</v>
      </c>
      <c r="AT538" s="64">
        <f t="shared" si="352"/>
        <v>-98.867502155528925</v>
      </c>
      <c r="AU538" s="61">
        <f t="shared" si="353"/>
        <v>-174.58660933486217</v>
      </c>
    </row>
    <row r="539" spans="14:47" x14ac:dyDescent="0.35">
      <c r="N539" s="10">
        <v>21</v>
      </c>
      <c r="O539" s="50">
        <f t="shared" si="321"/>
        <v>1621810.0973589318</v>
      </c>
      <c r="P539" s="48" t="str">
        <f t="shared" si="322"/>
        <v>547.187404092767</v>
      </c>
      <c r="Q539" s="17" t="str">
        <f t="shared" si="323"/>
        <v>1+195429.751601217i</v>
      </c>
      <c r="R539" s="17">
        <f t="shared" si="331"/>
        <v>195429.75160377545</v>
      </c>
      <c r="S539" s="17">
        <f t="shared" si="332"/>
        <v>1.5707912098667329</v>
      </c>
      <c r="T539" s="17" t="str">
        <f t="shared" si="324"/>
        <v>1+3.69790952399339i</v>
      </c>
      <c r="U539" s="17">
        <f t="shared" si="333"/>
        <v>3.8307355491655932</v>
      </c>
      <c r="V539" s="17">
        <f t="shared" si="334"/>
        <v>1.3066902221429344</v>
      </c>
      <c r="W539" s="31" t="str">
        <f t="shared" si="325"/>
        <v>1-64.215115721482i</v>
      </c>
      <c r="X539" s="17">
        <f t="shared" si="335"/>
        <v>64.222901578201245</v>
      </c>
      <c r="Y539" s="17">
        <f t="shared" si="336"/>
        <v>-1.5552249279951151</v>
      </c>
      <c r="Z539" s="31" t="str">
        <f t="shared" si="326"/>
        <v>-868.510079965413+307.247894728585i</v>
      </c>
      <c r="AA539" s="17">
        <f t="shared" si="337"/>
        <v>921.2551371996118</v>
      </c>
      <c r="AB539" s="17">
        <f t="shared" si="338"/>
        <v>2.8015682464895466</v>
      </c>
      <c r="AC539" s="66" t="str">
        <f t="shared" si="339"/>
        <v>-0.0000683168727747467+0.000744590064647541i</v>
      </c>
      <c r="AD539" s="64">
        <f t="shared" si="340"/>
        <v>-62.525248321005087</v>
      </c>
      <c r="AE539" s="61">
        <f t="shared" si="341"/>
        <v>95.242266928814772</v>
      </c>
      <c r="AF539" s="31" t="str">
        <f t="shared" si="327"/>
        <v>-0.000106860158311346</v>
      </c>
      <c r="AG539" s="31" t="str">
        <f t="shared" si="328"/>
        <v>0.0470784161913964i</v>
      </c>
      <c r="AH539" s="31">
        <f t="shared" si="342"/>
        <v>4.7078416191396397E-2</v>
      </c>
      <c r="AI539" s="31">
        <f t="shared" si="343"/>
        <v>1.5707963267948966</v>
      </c>
      <c r="AJ539" s="31" t="str">
        <f t="shared" si="329"/>
        <v>1+743.218039385174i</v>
      </c>
      <c r="AK539" s="31">
        <f t="shared" si="344"/>
        <v>743.21871213495569</v>
      </c>
      <c r="AL539" s="31">
        <f t="shared" si="345"/>
        <v>1.5694508274346133</v>
      </c>
      <c r="AM539" s="31" t="str">
        <f t="shared" si="330"/>
        <v>1+4768.98241938819i</v>
      </c>
      <c r="AN539" s="31">
        <f t="shared" si="346"/>
        <v>4768.9825242323577</v>
      </c>
      <c r="AO539" s="31">
        <f t="shared" si="347"/>
        <v>1.57058663845944</v>
      </c>
      <c r="AP539" s="58" t="str">
        <f t="shared" si="348"/>
        <v>-0.0000165428012252412+0.0145647416250371i</v>
      </c>
      <c r="AQ539" s="49">
        <f t="shared" si="349"/>
        <v>-36.733938702232926</v>
      </c>
      <c r="AR539" s="61">
        <f t="shared" si="350"/>
        <v>90.065077178046991</v>
      </c>
      <c r="AS539" s="58" t="str">
        <f t="shared" si="351"/>
        <v>-0.0000108436317557145-1.00733520602847E-06i</v>
      </c>
      <c r="AT539" s="64">
        <f t="shared" si="352"/>
        <v>-99.259187023237985</v>
      </c>
      <c r="AU539" s="61">
        <f t="shared" si="353"/>
        <v>-174.69265589313827</v>
      </c>
    </row>
    <row r="540" spans="14:47" x14ac:dyDescent="0.35">
      <c r="N540" s="10">
        <v>22</v>
      </c>
      <c r="O540" s="50">
        <f t="shared" si="321"/>
        <v>1659586.9074375622</v>
      </c>
      <c r="P540" s="48" t="str">
        <f t="shared" si="322"/>
        <v>547.187404092767</v>
      </c>
      <c r="Q540" s="17" t="str">
        <f t="shared" si="323"/>
        <v>1+199981.895296695i</v>
      </c>
      <c r="R540" s="17">
        <f t="shared" si="331"/>
        <v>199981.89529919522</v>
      </c>
      <c r="S540" s="17">
        <f t="shared" si="332"/>
        <v>1.5707913263422382</v>
      </c>
      <c r="T540" s="17" t="str">
        <f t="shared" si="324"/>
        <v>1+3.78404490199071i</v>
      </c>
      <c r="U540" s="17">
        <f t="shared" si="333"/>
        <v>3.9139488780874334</v>
      </c>
      <c r="V540" s="17">
        <f t="shared" si="334"/>
        <v>1.3124351771542324</v>
      </c>
      <c r="W540" s="31" t="str">
        <f t="shared" si="325"/>
        <v>1-65.7108779162904i</v>
      </c>
      <c r="X540" s="17">
        <f t="shared" si="335"/>
        <v>65.718486566031189</v>
      </c>
      <c r="Y540" s="17">
        <f t="shared" si="336"/>
        <v>-1.5555793209541489</v>
      </c>
      <c r="Z540" s="31" t="str">
        <f t="shared" si="326"/>
        <v>-909.488827549809+314.404617568777i</v>
      </c>
      <c r="AA540" s="17">
        <f t="shared" si="337"/>
        <v>962.29942896506759</v>
      </c>
      <c r="AB540" s="17">
        <f t="shared" si="338"/>
        <v>2.8087592622185595</v>
      </c>
      <c r="AC540" s="66" t="str">
        <f t="shared" si="339"/>
        <v>-0.0000655118708731596+0.000728431262267134i</v>
      </c>
      <c r="AD540" s="64">
        <f t="shared" si="340"/>
        <v>-62.717242282728655</v>
      </c>
      <c r="AE540" s="61">
        <f t="shared" si="341"/>
        <v>95.139101858373451</v>
      </c>
      <c r="AF540" s="31" t="str">
        <f t="shared" si="327"/>
        <v>-0.000106860158311346</v>
      </c>
      <c r="AG540" s="31" t="str">
        <f t="shared" si="328"/>
        <v>0.0481750133763328i</v>
      </c>
      <c r="AH540" s="31">
        <f t="shared" si="342"/>
        <v>4.8175013376332801E-2</v>
      </c>
      <c r="AI540" s="31">
        <f t="shared" si="343"/>
        <v>1.5707963267948966</v>
      </c>
      <c r="AJ540" s="31" t="str">
        <f t="shared" si="329"/>
        <v>1+760.529811439492i</v>
      </c>
      <c r="AK540" s="31">
        <f t="shared" si="344"/>
        <v>760.53046887563244</v>
      </c>
      <c r="AL540" s="31">
        <f t="shared" si="345"/>
        <v>1.5694814547035436</v>
      </c>
      <c r="AM540" s="31" t="str">
        <f t="shared" si="330"/>
        <v>1+4880.06629007006i</v>
      </c>
      <c r="AN540" s="31">
        <f t="shared" si="346"/>
        <v>4880.0663925276831</v>
      </c>
      <c r="AO540" s="31">
        <f t="shared" si="347"/>
        <v>1.5705914115485529</v>
      </c>
      <c r="AP540" s="58" t="str">
        <f t="shared" si="348"/>
        <v>-0.0000157982538093727+0.0142332086085759i</v>
      </c>
      <c r="AQ540" s="49">
        <f t="shared" si="349"/>
        <v>-36.933938356964362</v>
      </c>
      <c r="AR540" s="61">
        <f t="shared" si="350"/>
        <v>90.063595842660689</v>
      </c>
      <c r="AS540" s="58" t="str">
        <f t="shared" si="351"/>
        <v>-0.0000103668791396928-9.43952066439746E-07i</v>
      </c>
      <c r="AT540" s="64">
        <f t="shared" si="352"/>
        <v>-99.65118063969301</v>
      </c>
      <c r="AU540" s="61">
        <f t="shared" si="353"/>
        <v>-174.79730229896586</v>
      </c>
    </row>
    <row r="541" spans="14:47" x14ac:dyDescent="0.35">
      <c r="N541" s="10">
        <v>23</v>
      </c>
      <c r="O541" s="50">
        <f t="shared" si="321"/>
        <v>1698243.6524617488</v>
      </c>
      <c r="P541" s="48" t="str">
        <f t="shared" si="322"/>
        <v>547.187404092767</v>
      </c>
      <c r="Q541" s="17" t="str">
        <f t="shared" si="323"/>
        <v>1+204640.072040133i</v>
      </c>
      <c r="R541" s="17">
        <f t="shared" si="331"/>
        <v>204640.07204257633</v>
      </c>
      <c r="S541" s="17">
        <f t="shared" si="332"/>
        <v>1.5707914401664371</v>
      </c>
      <c r="T541" s="17" t="str">
        <f t="shared" si="324"/>
        <v>1+3.87218663068283i</v>
      </c>
      <c r="U541" s="17">
        <f t="shared" si="333"/>
        <v>3.9992285884703875</v>
      </c>
      <c r="V541" s="17">
        <f t="shared" si="334"/>
        <v>1.3180662673276031</v>
      </c>
      <c r="W541" s="31" t="str">
        <f t="shared" si="325"/>
        <v>1-67.2414808883565i</v>
      </c>
      <c r="X541" s="17">
        <f t="shared" si="335"/>
        <v>67.248916363456829</v>
      </c>
      <c r="Y541" s="17">
        <f t="shared" si="336"/>
        <v>-1.5559256506383581</v>
      </c>
      <c r="Z541" s="31" t="str">
        <f t="shared" si="326"/>
        <v>-952.398844008807+321.728041898842i</v>
      </c>
      <c r="AA541" s="17">
        <f t="shared" si="337"/>
        <v>1005.272346686894</v>
      </c>
      <c r="AB541" s="17">
        <f t="shared" si="338"/>
        <v>2.8158202319060934</v>
      </c>
      <c r="AC541" s="66" t="str">
        <f t="shared" si="339"/>
        <v>-0.0000628117647522379+0.000712594678444204i</v>
      </c>
      <c r="AD541" s="64">
        <f t="shared" si="340"/>
        <v>-62.909536110185577</v>
      </c>
      <c r="AE541" s="61">
        <f t="shared" si="341"/>
        <v>95.037326046128143</v>
      </c>
      <c r="AF541" s="31" t="str">
        <f t="shared" si="327"/>
        <v>-0.000106860158311346</v>
      </c>
      <c r="AG541" s="31" t="str">
        <f t="shared" si="328"/>
        <v>0.049297153591033i</v>
      </c>
      <c r="AH541" s="31">
        <f t="shared" si="342"/>
        <v>4.9297153591032997E-2</v>
      </c>
      <c r="AI541" s="31">
        <f t="shared" si="343"/>
        <v>1.5707963267948966</v>
      </c>
      <c r="AJ541" s="31" t="str">
        <f t="shared" si="329"/>
        <v>1+778.24482646664i</v>
      </c>
      <c r="AK541" s="31">
        <f t="shared" si="344"/>
        <v>778.24546893771935</v>
      </c>
      <c r="AL541" s="31">
        <f t="shared" si="345"/>
        <v>1.5695113848131022</v>
      </c>
      <c r="AM541" s="31" t="str">
        <f t="shared" si="330"/>
        <v>1+4993.73763649426i</v>
      </c>
      <c r="AN541" s="31">
        <f t="shared" si="346"/>
        <v>4993.7377366196642</v>
      </c>
      <c r="AO541" s="31">
        <f t="shared" si="347"/>
        <v>1.5705960759889022</v>
      </c>
      <c r="AP541" s="58" t="str">
        <f t="shared" si="348"/>
        <v>-0.0000150872164340137+0.0139092221395712i</v>
      </c>
      <c r="AQ541" s="49">
        <f t="shared" si="349"/>
        <v>-37.133938027235502</v>
      </c>
      <c r="AR541" s="61">
        <f t="shared" si="350"/>
        <v>90.062148226448414</v>
      </c>
      <c r="AS541" s="58" t="str">
        <f t="shared" si="351"/>
        <v>-9.91069002326732E-06-8.8441385906078E-07i</v>
      </c>
      <c r="AT541" s="64">
        <f t="shared" si="352"/>
        <v>-100.04347413742109</v>
      </c>
      <c r="AU541" s="61">
        <f t="shared" si="353"/>
        <v>-174.90052572742343</v>
      </c>
    </row>
    <row r="542" spans="14:47" x14ac:dyDescent="0.35">
      <c r="N542" s="10">
        <v>24</v>
      </c>
      <c r="O542" s="50">
        <f t="shared" si="321"/>
        <v>1737800.8287493798</v>
      </c>
      <c r="P542" s="48" t="str">
        <f t="shared" si="322"/>
        <v>547.187404092767</v>
      </c>
      <c r="Q542" s="17" t="str">
        <f t="shared" si="323"/>
        <v>1+209406.751658495i</v>
      </c>
      <c r="R542" s="17">
        <f t="shared" si="331"/>
        <v>209406.7516608827</v>
      </c>
      <c r="S542" s="17">
        <f t="shared" si="332"/>
        <v>1.5707915513996811</v>
      </c>
      <c r="T542" s="17" t="str">
        <f t="shared" si="324"/>
        <v>1+3.96238144398094i</v>
      </c>
      <c r="U542" s="17">
        <f t="shared" si="333"/>
        <v>4.0866204506418855</v>
      </c>
      <c r="V542" s="17">
        <f t="shared" si="334"/>
        <v>1.3235850492897263</v>
      </c>
      <c r="W542" s="31" t="str">
        <f t="shared" si="325"/>
        <v>1-68.8077361836351i</v>
      </c>
      <c r="X542" s="17">
        <f t="shared" si="335"/>
        <v>68.815002424738225</v>
      </c>
      <c r="Y542" s="17">
        <f t="shared" si="336"/>
        <v>-1.5562641003438129</v>
      </c>
      <c r="Z542" s="31" t="str">
        <f t="shared" si="326"/>
        <v>-997.331147240342+329.222050695292i</v>
      </c>
      <c r="AA542" s="17">
        <f t="shared" si="337"/>
        <v>1050.2650027111015</v>
      </c>
      <c r="AB542" s="17">
        <f t="shared" si="338"/>
        <v>2.8227521686824191</v>
      </c>
      <c r="AC542" s="66" t="str">
        <f t="shared" si="339"/>
        <v>-0.0000602134336909182+0.000697075336931544i</v>
      </c>
      <c r="AD542" s="64">
        <f t="shared" si="340"/>
        <v>-63.102120977528074</v>
      </c>
      <c r="AE542" s="61">
        <f t="shared" si="341"/>
        <v>94.936960126580303</v>
      </c>
      <c r="AF542" s="31" t="str">
        <f t="shared" si="327"/>
        <v>-0.000106860158311346</v>
      </c>
      <c r="AG542" s="31" t="str">
        <f t="shared" si="328"/>
        <v>0.0504454318090921i</v>
      </c>
      <c r="AH542" s="31">
        <f t="shared" si="342"/>
        <v>5.0445431809092098E-2</v>
      </c>
      <c r="AI542" s="31">
        <f t="shared" si="343"/>
        <v>1.5707963267948966</v>
      </c>
      <c r="AJ542" s="31" t="str">
        <f t="shared" si="329"/>
        <v>1+796.37247720206i</v>
      </c>
      <c r="AK542" s="31">
        <f t="shared" si="344"/>
        <v>796.3731050487238</v>
      </c>
      <c r="AL542" s="31">
        <f t="shared" si="345"/>
        <v>1.5695406336324147</v>
      </c>
      <c r="AM542" s="31" t="str">
        <f t="shared" si="330"/>
        <v>1+5110.05672871321i</v>
      </c>
      <c r="AN542" s="31">
        <f t="shared" si="346"/>
        <v>5110.0568265594802</v>
      </c>
      <c r="AO542" s="31">
        <f t="shared" si="347"/>
        <v>1.5706006342536347</v>
      </c>
      <c r="AP542" s="58" t="str">
        <f t="shared" si="348"/>
        <v>-0.0000144081809088647+0.0135926104419924i</v>
      </c>
      <c r="AQ542" s="49">
        <f t="shared" si="349"/>
        <v>-37.333937712346739</v>
      </c>
      <c r="AR542" s="61">
        <f t="shared" si="350"/>
        <v>90.060733561877157</v>
      </c>
      <c r="AS542" s="58" t="str">
        <f t="shared" si="351"/>
        <v>-9.47420593758531E-06-8.28501335097009E-07i</v>
      </c>
      <c r="AT542" s="64">
        <f t="shared" si="352"/>
        <v>-100.43605868987483</v>
      </c>
      <c r="AU542" s="61">
        <f t="shared" si="353"/>
        <v>-175.00230631154255</v>
      </c>
    </row>
    <row r="543" spans="14:47" x14ac:dyDescent="0.35">
      <c r="N543" s="10">
        <v>25</v>
      </c>
      <c r="O543" s="50">
        <f t="shared" si="321"/>
        <v>1778279.4100389241</v>
      </c>
      <c r="P543" s="48" t="str">
        <f t="shared" si="322"/>
        <v>547.187404092767</v>
      </c>
      <c r="Q543" s="17" t="str">
        <f t="shared" si="323"/>
        <v>1+214284.461508413i</v>
      </c>
      <c r="R543" s="17">
        <f t="shared" si="331"/>
        <v>214284.46151074636</v>
      </c>
      <c r="S543" s="17">
        <f t="shared" si="332"/>
        <v>1.5707916601009471</v>
      </c>
      <c r="T543" s="17" t="str">
        <f t="shared" si="324"/>
        <v>1+4.05467716436897i</v>
      </c>
      <c r="U543" s="17">
        <f t="shared" si="333"/>
        <v>4.1761713215881349</v>
      </c>
      <c r="V543" s="17">
        <f t="shared" si="334"/>
        <v>1.3289931039219385</v>
      </c>
      <c r="W543" s="31" t="str">
        <f t="shared" si="325"/>
        <v>1-70.4104742514163i</v>
      </c>
      <c r="X543" s="17">
        <f t="shared" si="335"/>
        <v>70.41757510955172</v>
      </c>
      <c r="Y543" s="17">
        <f t="shared" si="336"/>
        <v>-1.5565948492106989</v>
      </c>
      <c r="Z543" s="31" t="str">
        <f t="shared" si="326"/>
        <v>-1044.38104468376+336.89061738079i</v>
      </c>
      <c r="AA543" s="17">
        <f t="shared" si="337"/>
        <v>1097.372796534501</v>
      </c>
      <c r="AB543" s="17">
        <f t="shared" si="338"/>
        <v>2.8295561638531974</v>
      </c>
      <c r="AC543" s="66" t="str">
        <f t="shared" si="339"/>
        <v>-0.0000577137879743997+0.000681868279789375i</v>
      </c>
      <c r="AD543" s="64">
        <f t="shared" si="340"/>
        <v>-63.294988120184868</v>
      </c>
      <c r="AE543" s="61">
        <f t="shared" si="341"/>
        <v>94.838021882994241</v>
      </c>
      <c r="AF543" s="31" t="str">
        <f t="shared" si="327"/>
        <v>-0.000106860158311346</v>
      </c>
      <c r="AG543" s="31" t="str">
        <f t="shared" si="328"/>
        <v>0.0516204568628205i</v>
      </c>
      <c r="AH543" s="31">
        <f t="shared" si="342"/>
        <v>5.1620456862820498E-2</v>
      </c>
      <c r="AI543" s="31">
        <f t="shared" si="343"/>
        <v>1.5707963267948966</v>
      </c>
      <c r="AJ543" s="31" t="str">
        <f t="shared" si="329"/>
        <v>1+814.922375166129i</v>
      </c>
      <c r="AK543" s="31">
        <f t="shared" si="344"/>
        <v>814.92298872126878</v>
      </c>
      <c r="AL543" s="31">
        <f t="shared" si="345"/>
        <v>1.5695692166693918</v>
      </c>
      <c r="AM543" s="31" t="str">
        <f t="shared" si="330"/>
        <v>1+5229.08524064931i</v>
      </c>
      <c r="AN543" s="31">
        <f t="shared" si="346"/>
        <v>5229.0853362683283</v>
      </c>
      <c r="AO543" s="31">
        <f t="shared" si="347"/>
        <v>1.5706050887596021</v>
      </c>
      <c r="AP543" s="58" t="str">
        <f t="shared" si="348"/>
        <v>-0.0000137597069224941+0.0132832056496169i</v>
      </c>
      <c r="AQ543" s="49">
        <f t="shared" si="349"/>
        <v>-37.53393741163039</v>
      </c>
      <c r="AR543" s="61">
        <f t="shared" si="350"/>
        <v>90.059351098884449</v>
      </c>
      <c r="AS543" s="58" t="str">
        <f t="shared" si="351"/>
        <v>-9.05660246158487E-06-7.76006422171985E-07i</v>
      </c>
      <c r="AT543" s="64">
        <f t="shared" si="352"/>
        <v>-100.82892553181526</v>
      </c>
      <c r="AU543" s="61">
        <f t="shared" si="353"/>
        <v>-175.1026270181213</v>
      </c>
    </row>
    <row r="544" spans="14:47" x14ac:dyDescent="0.35">
      <c r="N544" s="10">
        <v>26</v>
      </c>
      <c r="O544" s="50">
        <f t="shared" si="321"/>
        <v>1819700.8586099846</v>
      </c>
      <c r="P544" s="48" t="str">
        <f t="shared" si="322"/>
        <v>547.187404092767</v>
      </c>
      <c r="Q544" s="17" t="str">
        <f t="shared" si="323"/>
        <v>1+219275.787816215i</v>
      </c>
      <c r="R544" s="17">
        <f t="shared" si="331"/>
        <v>219275.78781849518</v>
      </c>
      <c r="S544" s="17">
        <f t="shared" si="332"/>
        <v>1.5707917663278703</v>
      </c>
      <c r="T544" s="17" t="str">
        <f t="shared" si="324"/>
        <v>1+4.14912272825957i</v>
      </c>
      <c r="U544" s="17">
        <f t="shared" si="333"/>
        <v>4.2679291716428631</v>
      </c>
      <c r="V544" s="17">
        <f t="shared" si="334"/>
        <v>1.3342920327472576</v>
      </c>
      <c r="W544" s="31" t="str">
        <f t="shared" si="325"/>
        <v>1-72.0505448846389i</v>
      </c>
      <c r="X544" s="17">
        <f t="shared" si="335"/>
        <v>72.057484123256515</v>
      </c>
      <c r="Y544" s="17">
        <f t="shared" si="336"/>
        <v>-1.5569180723168192</v>
      </c>
      <c r="Z544" s="31" t="str">
        <f t="shared" si="326"/>
        <v>-1093.64833547964+344.737807930899i</v>
      </c>
      <c r="AA544" s="17">
        <f t="shared" si="337"/>
        <v>1146.6956169421721</v>
      </c>
      <c r="AB544" s="17">
        <f t="shared" si="338"/>
        <v>2.8362333809903015</v>
      </c>
      <c r="AC544" s="66" t="str">
        <f t="shared" si="339"/>
        <v>-0.0000553097737577936+0.000666968568071355i</v>
      </c>
      <c r="AD544" s="64">
        <f t="shared" si="340"/>
        <v>-63.488128853336832</v>
      </c>
      <c r="AE544" s="61">
        <f t="shared" si="341"/>
        <v>94.740526373600588</v>
      </c>
      <c r="AF544" s="31" t="str">
        <f t="shared" si="327"/>
        <v>-0.000106860158311346</v>
      </c>
      <c r="AG544" s="31" t="str">
        <f t="shared" si="328"/>
        <v>0.0528228517660551i</v>
      </c>
      <c r="AH544" s="31">
        <f t="shared" si="342"/>
        <v>5.2822851766055098E-2</v>
      </c>
      <c r="AI544" s="31">
        <f t="shared" si="343"/>
        <v>1.5707963267948966</v>
      </c>
      <c r="AJ544" s="31" t="str">
        <f t="shared" si="329"/>
        <v>1+833.904355760288i</v>
      </c>
      <c r="AK544" s="31">
        <f t="shared" si="344"/>
        <v>833.90495534921786</v>
      </c>
      <c r="AL544" s="31">
        <f t="shared" si="345"/>
        <v>1.5695971490789511</v>
      </c>
      <c r="AM544" s="31" t="str">
        <f t="shared" si="330"/>
        <v>1+5350.88628279517i</v>
      </c>
      <c r="AN544" s="31">
        <f t="shared" si="346"/>
        <v>5350.8863762376341</v>
      </c>
      <c r="AO544" s="31">
        <f t="shared" si="347"/>
        <v>1.5706094418686418</v>
      </c>
      <c r="AP544" s="58" t="str">
        <f t="shared" si="348"/>
        <v>-0.0000131404189873634+0.0129808437170529i</v>
      </c>
      <c r="AQ544" s="49">
        <f t="shared" si="349"/>
        <v>-37.733937124448367</v>
      </c>
      <c r="AR544" s="61">
        <f t="shared" si="350"/>
        <v>90.058000104480783</v>
      </c>
      <c r="AS544" s="58" t="str">
        <f t="shared" si="351"/>
        <v>-8.65708795271955E-06-7.26731775611332E-07i</v>
      </c>
      <c r="AT544" s="64">
        <f t="shared" si="352"/>
        <v>-101.22206597778521</v>
      </c>
      <c r="AU544" s="61">
        <f t="shared" si="353"/>
        <v>-175.20147352191862</v>
      </c>
    </row>
    <row r="545" spans="14:47" x14ac:dyDescent="0.35">
      <c r="N545" s="10">
        <v>27</v>
      </c>
      <c r="O545" s="50">
        <f t="shared" si="321"/>
        <v>1862087.1366628683</v>
      </c>
      <c r="P545" s="48" t="str">
        <f t="shared" si="322"/>
        <v>547.187404092767</v>
      </c>
      <c r="Q545" s="17" t="str">
        <f t="shared" si="323"/>
        <v>1+224383.377049174i</v>
      </c>
      <c r="R545" s="17">
        <f t="shared" si="331"/>
        <v>224383.37705140235</v>
      </c>
      <c r="S545" s="17">
        <f t="shared" si="332"/>
        <v>1.5707918701367736</v>
      </c>
      <c r="T545" s="17" t="str">
        <f t="shared" si="324"/>
        <v>1+4.24576821194082i</v>
      </c>
      <c r="U545" s="17">
        <f t="shared" si="333"/>
        <v>4.3619431116793752</v>
      </c>
      <c r="V545" s="17">
        <f t="shared" si="334"/>
        <v>1.3394834545172958</v>
      </c>
      <c r="W545" s="31" t="str">
        <f t="shared" si="325"/>
        <v>1-73.7288176704609i</v>
      </c>
      <c r="X545" s="17">
        <f t="shared" si="335"/>
        <v>73.735598967419165</v>
      </c>
      <c r="Y545" s="17">
        <f t="shared" si="336"/>
        <v>-1.557233940769043</v>
      </c>
      <c r="Z545" s="31" t="str">
        <f t="shared" si="326"/>
        <v>-1145.23752215713+352.767783029918i</v>
      </c>
      <c r="AA545" s="17">
        <f t="shared" si="337"/>
        <v>1198.3380536811997</v>
      </c>
      <c r="AB545" s="17">
        <f t="shared" si="338"/>
        <v>2.842785050211083</v>
      </c>
      <c r="AC545" s="66" t="str">
        <f t="shared" si="339"/>
        <v>-0.0000529983774973577+0.000652371282799442i</v>
      </c>
      <c r="AD545" s="64">
        <f t="shared" si="340"/>
        <v>-63.681534588567629</v>
      </c>
      <c r="AE545" s="61">
        <f t="shared" si="341"/>
        <v>94.64448605857379</v>
      </c>
      <c r="AF545" s="31" t="str">
        <f t="shared" si="327"/>
        <v>-0.000106860158311346</v>
      </c>
      <c r="AG545" s="31" t="str">
        <f t="shared" si="328"/>
        <v>0.0540532540444893i</v>
      </c>
      <c r="AH545" s="31">
        <f t="shared" si="342"/>
        <v>5.4053254044489303E-2</v>
      </c>
      <c r="AI545" s="31">
        <f t="shared" si="343"/>
        <v>1.5707963267948966</v>
      </c>
      <c r="AJ545" s="31" t="str">
        <f t="shared" si="329"/>
        <v>1+853.3284834819i</v>
      </c>
      <c r="AK545" s="31">
        <f t="shared" si="344"/>
        <v>853.32906942252896</v>
      </c>
      <c r="AL545" s="31">
        <f t="shared" si="345"/>
        <v>1.569624445671052</v>
      </c>
      <c r="AM545" s="31" t="str">
        <f t="shared" si="330"/>
        <v>1+5475.52443567551i</v>
      </c>
      <c r="AN545" s="31">
        <f t="shared" si="346"/>
        <v>5475.5245269909637</v>
      </c>
      <c r="AO545" s="31">
        <f t="shared" si="347"/>
        <v>1.570613695888829</v>
      </c>
      <c r="AP545" s="58" t="str">
        <f t="shared" si="348"/>
        <v>-0.0000125490035223421+0.0126853643327834i</v>
      </c>
      <c r="AQ545" s="49">
        <f t="shared" si="349"/>
        <v>-37.933936850191714</v>
      </c>
      <c r="AR545" s="61">
        <f t="shared" si="350"/>
        <v>90.056679862361037</v>
      </c>
      <c r="AS545" s="58" t="str">
        <f t="shared" si="351"/>
        <v>-0.0000082749023257303-6.80490337126097E-07i</v>
      </c>
      <c r="AT545" s="64">
        <f t="shared" si="352"/>
        <v>-101.61547143875934</v>
      </c>
      <c r="AU545" s="61">
        <f t="shared" si="353"/>
        <v>-175.29883407906519</v>
      </c>
    </row>
    <row r="546" spans="14:47" x14ac:dyDescent="0.35">
      <c r="N546" s="10">
        <v>28</v>
      </c>
      <c r="O546" s="50">
        <f t="shared" si="321"/>
        <v>1905460.7179632513</v>
      </c>
      <c r="P546" s="48" t="str">
        <f t="shared" si="322"/>
        <v>547.187404092767</v>
      </c>
      <c r="Q546" s="17" t="str">
        <f t="shared" si="323"/>
        <v>1+229609.937318712i</v>
      </c>
      <c r="R546" s="17">
        <f t="shared" si="331"/>
        <v>229609.93732088961</v>
      </c>
      <c r="S546" s="17">
        <f t="shared" si="332"/>
        <v>1.5707919715826977</v>
      </c>
      <c r="T546" s="17" t="str">
        <f t="shared" si="324"/>
        <v>1+4.34466485812747i</v>
      </c>
      <c r="U546" s="17">
        <f t="shared" si="333"/>
        <v>4.4582634208229326</v>
      </c>
      <c r="V546" s="17">
        <f t="shared" si="334"/>
        <v>1.3445690019942502</v>
      </c>
      <c r="W546" s="31" t="str">
        <f t="shared" si="325"/>
        <v>1-75.4461824513287i</v>
      </c>
      <c r="X546" s="17">
        <f t="shared" si="335"/>
        <v>75.45280940083795</v>
      </c>
      <c r="Y546" s="17">
        <f t="shared" si="336"/>
        <v>-1.5575426217927393</v>
      </c>
      <c r="Z546" s="31" t="str">
        <f t="shared" si="326"/>
        <v>-1199.25803229787+360.984800276935i</v>
      </c>
      <c r="AA546" s="17">
        <f t="shared" si="337"/>
        <v>1252.4096191190554</v>
      </c>
      <c r="AB546" s="17">
        <f t="shared" si="338"/>
        <v>2.8492124626544104</v>
      </c>
      <c r="AC546" s="66" t="str">
        <f t="shared" si="339"/>
        <v>-0.000050776629957602+0.000638071526181672i</v>
      </c>
      <c r="AD546" s="64">
        <f t="shared" si="340"/>
        <v>-63.875196848774287</v>
      </c>
      <c r="AE546" s="61">
        <f t="shared" si="341"/>
        <v>94.549910927027184</v>
      </c>
      <c r="AF546" s="31" t="str">
        <f t="shared" si="327"/>
        <v>-0.000106860158311346</v>
      </c>
      <c r="AG546" s="31" t="str">
        <f t="shared" si="328"/>
        <v>0.0553123160736973i</v>
      </c>
      <c r="AH546" s="31">
        <f t="shared" si="342"/>
        <v>5.5312316073697299E-2</v>
      </c>
      <c r="AI546" s="31">
        <f t="shared" si="343"/>
        <v>1.5707963267948966</v>
      </c>
      <c r="AJ546" s="31" t="str">
        <f t="shared" si="329"/>
        <v>1+873.205057260598i</v>
      </c>
      <c r="AK546" s="31">
        <f t="shared" si="344"/>
        <v>873.20562986359869</v>
      </c>
      <c r="AL546" s="31">
        <f t="shared" si="345"/>
        <v>1.5696511209185453</v>
      </c>
      <c r="AM546" s="31" t="str">
        <f t="shared" si="330"/>
        <v>1+5603.06578408883i</v>
      </c>
      <c r="AN546" s="31">
        <f t="shared" si="346"/>
        <v>5603.0658733256896</v>
      </c>
      <c r="AO546" s="31">
        <f t="shared" si="347"/>
        <v>1.5706178530757013</v>
      </c>
      <c r="AP546" s="58" t="str">
        <f t="shared" si="348"/>
        <v>-0.0000119842060665241+0.0123966108341909i</v>
      </c>
      <c r="AQ546" s="49">
        <f t="shared" si="349"/>
        <v>-38.133936588278601</v>
      </c>
      <c r="AR546" s="61">
        <f t="shared" si="350"/>
        <v>90.055389672524612</v>
      </c>
      <c r="AS546" s="58" t="str">
        <f t="shared" si="351"/>
        <v>-7.90931587685566E-06-6.37104901711054E-07i</v>
      </c>
      <c r="AT546" s="64">
        <f t="shared" si="352"/>
        <v>-102.00913343705288</v>
      </c>
      <c r="AU546" s="61">
        <f t="shared" si="353"/>
        <v>-175.39469940044822</v>
      </c>
    </row>
    <row r="547" spans="14:47" x14ac:dyDescent="0.35">
      <c r="N547" s="10">
        <v>29</v>
      </c>
      <c r="O547" s="50">
        <f t="shared" si="321"/>
        <v>1949844.5997580495</v>
      </c>
      <c r="P547" s="48" t="str">
        <f t="shared" si="322"/>
        <v>547.187404092767</v>
      </c>
      <c r="Q547" s="17" t="str">
        <f t="shared" si="323"/>
        <v>1+234958.239816259i</v>
      </c>
      <c r="R547" s="17">
        <f t="shared" si="331"/>
        <v>234958.23981838708</v>
      </c>
      <c r="S547" s="17">
        <f t="shared" si="332"/>
        <v>1.5707920707194307</v>
      </c>
      <c r="T547" s="17" t="str">
        <f t="shared" si="324"/>
        <v>1+4.44586510313027i</v>
      </c>
      <c r="U547" s="17">
        <f t="shared" si="333"/>
        <v>4.5569415747002431</v>
      </c>
      <c r="V547" s="17">
        <f t="shared" si="334"/>
        <v>1.3495503189226798</v>
      </c>
      <c r="W547" s="31" t="str">
        <f t="shared" si="325"/>
        <v>1-77.2035497967793i</v>
      </c>
      <c r="X547" s="17">
        <f t="shared" si="335"/>
        <v>77.210025911301059</v>
      </c>
      <c r="Y547" s="17">
        <f t="shared" si="336"/>
        <v>-1.5578442788192381</v>
      </c>
      <c r="Z547" s="31" t="str">
        <f t="shared" si="326"/>
        <v>-1255.82445064648+369.393216443253i</v>
      </c>
      <c r="AA547" s="17">
        <f t="shared" si="337"/>
        <v>1309.0249803559232</v>
      </c>
      <c r="AB547" s="17">
        <f t="shared" si="338"/>
        <v>2.8555169651598753</v>
      </c>
      <c r="AC547" s="66" t="str">
        <f t="shared" si="339"/>
        <v>-0.0000486416098053037+0.000624064423030397i</v>
      </c>
      <c r="AD547" s="64">
        <f t="shared" si="340"/>
        <v>-64.06910728142546</v>
      </c>
      <c r="AE547" s="61">
        <f t="shared" si="341"/>
        <v>94.456808623355215</v>
      </c>
      <c r="AF547" s="31" t="str">
        <f t="shared" si="327"/>
        <v>-0.000106860158311346</v>
      </c>
      <c r="AG547" s="31" t="str">
        <f t="shared" si="328"/>
        <v>0.0566007054250326i</v>
      </c>
      <c r="AH547" s="31">
        <f t="shared" si="342"/>
        <v>5.6600705425032601E-2</v>
      </c>
      <c r="AI547" s="31">
        <f t="shared" si="343"/>
        <v>1.5707963267948966</v>
      </c>
      <c r="AJ547" s="31" t="str">
        <f t="shared" si="329"/>
        <v>1+893.544615918879i</v>
      </c>
      <c r="AK547" s="31">
        <f t="shared" si="344"/>
        <v>893.54517548785236</v>
      </c>
      <c r="AL547" s="31">
        <f t="shared" si="345"/>
        <v>1.5696771889648491</v>
      </c>
      <c r="AM547" s="31" t="str">
        <f t="shared" si="330"/>
        <v>1+5733.57795214613i</v>
      </c>
      <c r="AN547" s="31">
        <f t="shared" si="346"/>
        <v>5733.5780393517098</v>
      </c>
      <c r="AO547" s="31">
        <f t="shared" si="347"/>
        <v>1.5706219156334531</v>
      </c>
      <c r="AP547" s="58" t="str">
        <f t="shared" si="348"/>
        <v>-0.0000114448286184381+0.0121144301245132i</v>
      </c>
      <c r="AQ547" s="49">
        <f t="shared" si="349"/>
        <v>-38.333936338153649</v>
      </c>
      <c r="AR547" s="61">
        <f t="shared" si="350"/>
        <v>90.054128850904462</v>
      </c>
      <c r="AS547" s="58" t="str">
        <f t="shared" si="351"/>
        <v>-7.55962815110844E-06-5.96407693498635E-07i</v>
      </c>
      <c r="AT547" s="64">
        <f t="shared" si="352"/>
        <v>-102.40304361957911</v>
      </c>
      <c r="AU547" s="61">
        <f t="shared" si="353"/>
        <v>-175.48906252574031</v>
      </c>
    </row>
    <row r="548" spans="14:47" x14ac:dyDescent="0.35">
      <c r="N548" s="10">
        <v>30</v>
      </c>
      <c r="O548" s="50">
        <f t="shared" si="321"/>
        <v>1995262.31496888</v>
      </c>
      <c r="P548" s="48" t="str">
        <f t="shared" si="322"/>
        <v>547.187404092767</v>
      </c>
      <c r="Q548" s="17" t="str">
        <f t="shared" si="323"/>
        <v>1+240431.1202826i</v>
      </c>
      <c r="R548" s="17">
        <f t="shared" si="331"/>
        <v>240431.12028467961</v>
      </c>
      <c r="S548" s="17">
        <f t="shared" si="332"/>
        <v>1.5707921675995362</v>
      </c>
      <c r="T548" s="17" t="str">
        <f t="shared" si="324"/>
        <v>1+4.54942260465876i</v>
      </c>
      <c r="U548" s="17">
        <f t="shared" si="333"/>
        <v>4.6580302742446946</v>
      </c>
      <c r="V548" s="17">
        <f t="shared" si="334"/>
        <v>1.3544290571854627</v>
      </c>
      <c r="W548" s="31" t="str">
        <f t="shared" si="325"/>
        <v>1-79.0018514862427i</v>
      </c>
      <c r="X548" s="17">
        <f t="shared" si="335"/>
        <v>79.008180198346224</v>
      </c>
      <c r="Y548" s="17">
        <f t="shared" si="336"/>
        <v>-1.5581390715713634</v>
      </c>
      <c r="Z548" s="31" t="str">
        <f t="shared" si="326"/>
        <v>-1315.05676216032+377.99748978243i</v>
      </c>
      <c r="AA548" s="17">
        <f t="shared" si="337"/>
        <v>1368.3042022830311</v>
      </c>
      <c r="AB548" s="17">
        <f t="shared" si="338"/>
        <v>2.8616999551549354</v>
      </c>
      <c r="AC548" s="66" t="str">
        <f t="shared" si="339"/>
        <v>-0.0000465904468036415+0.000610345122341769i</v>
      </c>
      <c r="AD548" s="64">
        <f t="shared" si="340"/>
        <v>-64.263257670258881</v>
      </c>
      <c r="AE548" s="61">
        <f t="shared" si="341"/>
        <v>94.365184572324168</v>
      </c>
      <c r="AF548" s="31" t="str">
        <f t="shared" si="327"/>
        <v>-0.000106860158311346</v>
      </c>
      <c r="AG548" s="31" t="str">
        <f t="shared" si="328"/>
        <v>0.057919105219583i</v>
      </c>
      <c r="AH548" s="31">
        <f t="shared" si="342"/>
        <v>5.7919105219583003E-2</v>
      </c>
      <c r="AI548" s="31">
        <f t="shared" si="343"/>
        <v>1.5707963267948966</v>
      </c>
      <c r="AJ548" s="31" t="str">
        <f t="shared" si="329"/>
        <v>1+914.357943759989i</v>
      </c>
      <c r="AK548" s="31">
        <f t="shared" si="344"/>
        <v>914.35849059162524</v>
      </c>
      <c r="AL548" s="31">
        <f t="shared" si="345"/>
        <v>1.5697026636314444</v>
      </c>
      <c r="AM548" s="31" t="str">
        <f t="shared" si="330"/>
        <v>1+5867.13013912658i</v>
      </c>
      <c r="AN548" s="31">
        <f t="shared" si="346"/>
        <v>5867.13022434712</v>
      </c>
      <c r="AO548" s="31">
        <f t="shared" si="347"/>
        <v>1.5706258857161062</v>
      </c>
      <c r="AP548" s="58" t="str">
        <f t="shared" si="348"/>
        <v>-0.0000109297270950072+0.0118386725916905i</v>
      </c>
      <c r="AQ548" s="49">
        <f t="shared" si="349"/>
        <v>-38.533936099285981</v>
      </c>
      <c r="AR548" s="61">
        <f t="shared" si="350"/>
        <v>90.052896729004388</v>
      </c>
      <c r="AS548" s="58" t="str">
        <f t="shared" si="351"/>
        <v>-7.22516685047069E-06-5.58239951229849E-07i</v>
      </c>
      <c r="AT548" s="64">
        <f t="shared" si="352"/>
        <v>-102.79719376954486</v>
      </c>
      <c r="AU548" s="61">
        <f t="shared" si="353"/>
        <v>-175.58191869867142</v>
      </c>
    </row>
    <row r="549" spans="14:47" x14ac:dyDescent="0.35">
      <c r="N549" s="10">
        <v>31</v>
      </c>
      <c r="O549" s="50">
        <f t="shared" si="321"/>
        <v>2041737.9446695296</v>
      </c>
      <c r="P549" s="48" t="str">
        <f t="shared" si="322"/>
        <v>547.187404092767</v>
      </c>
      <c r="Q549" s="17" t="str">
        <f t="shared" si="323"/>
        <v>1+246031.480511394i</v>
      </c>
      <c r="R549" s="17">
        <f t="shared" si="331"/>
        <v>246031.48051342624</v>
      </c>
      <c r="S549" s="17">
        <f t="shared" si="332"/>
        <v>1.5707922622743811</v>
      </c>
      <c r="T549" s="17" t="str">
        <f t="shared" si="324"/>
        <v>1+4.65539227027095i</v>
      </c>
      <c r="U549" s="17">
        <f t="shared" si="333"/>
        <v>4.7615834750740751</v>
      </c>
      <c r="V549" s="17">
        <f t="shared" si="334"/>
        <v>1.35920687413792</v>
      </c>
      <c r="W549" s="31" t="str">
        <f t="shared" si="325"/>
        <v>1-80.8420410030767i</v>
      </c>
      <c r="X549" s="17">
        <f t="shared" si="335"/>
        <v>80.848225667253416</v>
      </c>
      <c r="Y549" s="17">
        <f t="shared" si="336"/>
        <v>-1.5584271561470702</v>
      </c>
      <c r="Z549" s="31" t="str">
        <f t="shared" si="326"/>
        <v>-1377.0806065135+386.802182394075i</v>
      </c>
      <c r="AA549" s="17">
        <f t="shared" si="337"/>
        <v>1430.3730021013428</v>
      </c>
      <c r="AB549" s="17">
        <f t="shared" si="338"/>
        <v>2.8677628757530549</v>
      </c>
      <c r="AC549" s="66" t="str">
        <f t="shared" si="339"/>
        <v>-0.0000446203246215726+0.000596908799000979i</v>
      </c>
      <c r="AD549" s="64">
        <f t="shared" si="340"/>
        <v>-64.457639945506102</v>
      </c>
      <c r="AE549" s="61">
        <f t="shared" si="341"/>
        <v>94.275042102391012</v>
      </c>
      <c r="AF549" s="31" t="str">
        <f t="shared" si="327"/>
        <v>-0.000106860158311346</v>
      </c>
      <c r="AG549" s="31" t="str">
        <f t="shared" si="328"/>
        <v>0.0592682144903709i</v>
      </c>
      <c r="AH549" s="31">
        <f t="shared" si="342"/>
        <v>5.9268214490370903E-2</v>
      </c>
      <c r="AI549" s="31">
        <f t="shared" si="343"/>
        <v>1.5707963267948966</v>
      </c>
      <c r="AJ549" s="31" t="str">
        <f t="shared" si="329"/>
        <v>1+935.656076285833i</v>
      </c>
      <c r="AK549" s="31">
        <f t="shared" si="344"/>
        <v>935.65661067006874</v>
      </c>
      <c r="AL549" s="31">
        <f t="shared" si="345"/>
        <v>1.5697275584252044</v>
      </c>
      <c r="AM549" s="31" t="str">
        <f t="shared" si="330"/>
        <v>1+6003.79315616742i</v>
      </c>
      <c r="AN549" s="31">
        <f t="shared" si="346"/>
        <v>6003.793239448104</v>
      </c>
      <c r="AO549" s="31">
        <f t="shared" si="347"/>
        <v>1.5706297654286501</v>
      </c>
      <c r="AP549" s="58" t="str">
        <f t="shared" si="348"/>
        <v>-0.0000104378089048713+0.0115691920290562i</v>
      </c>
      <c r="AQ549" s="49">
        <f t="shared" si="349"/>
        <v>-38.733935871169145</v>
      </c>
      <c r="AR549" s="61">
        <f t="shared" si="350"/>
        <v>90.051692653544578</v>
      </c>
      <c r="AS549" s="58" t="str">
        <f t="shared" si="351"/>
        <v>-6.90528678105396E-06-5.22451523923406E-07i</v>
      </c>
      <c r="AT549" s="64">
        <f t="shared" si="352"/>
        <v>-103.19157581667525</v>
      </c>
      <c r="AU549" s="61">
        <f t="shared" si="353"/>
        <v>-175.6732652440644</v>
      </c>
    </row>
    <row r="550" spans="14:47" x14ac:dyDescent="0.35">
      <c r="N550" s="10">
        <v>32</v>
      </c>
      <c r="O550" s="50">
        <f t="shared" si="321"/>
        <v>2089296.1308540432</v>
      </c>
      <c r="P550" s="48" t="str">
        <f t="shared" si="322"/>
        <v>547.187404092767</v>
      </c>
      <c r="Q550" s="17" t="str">
        <f t="shared" si="323"/>
        <v>1+251762.28988777i</v>
      </c>
      <c r="R550" s="17">
        <f t="shared" si="331"/>
        <v>251762.28988975598</v>
      </c>
      <c r="S550" s="17">
        <f t="shared" si="332"/>
        <v>1.5707923547941636</v>
      </c>
      <c r="T550" s="17" t="str">
        <f t="shared" si="324"/>
        <v>1+4.76383028648628i</v>
      </c>
      <c r="U550" s="17">
        <f t="shared" si="333"/>
        <v>4.867656417460454</v>
      </c>
      <c r="V550" s="17">
        <f t="shared" si="334"/>
        <v>1.3638854301139818</v>
      </c>
      <c r="W550" s="31" t="str">
        <f t="shared" si="325"/>
        <v>1-82.7250940401223i</v>
      </c>
      <c r="X550" s="17">
        <f t="shared" si="335"/>
        <v>82.731137934559314</v>
      </c>
      <c r="Y550" s="17">
        <f t="shared" si="336"/>
        <v>-1.5587086851012324</v>
      </c>
      <c r="Z550" s="31" t="str">
        <f t="shared" si="326"/>
        <v>-1442.0275445956+395.811962642761i</v>
      </c>
      <c r="AA550" s="17">
        <f t="shared" si="337"/>
        <v>1495.3630158404778</v>
      </c>
      <c r="AB550" s="17">
        <f t="shared" si="338"/>
        <v>2.8737072110646178</v>
      </c>
      <c r="AC550" s="66" t="str">
        <f t="shared" si="339"/>
        <v>-0.0000427284832749603+0.000583750655580625i</v>
      </c>
      <c r="AD550" s="64">
        <f t="shared" si="340"/>
        <v>-64.652246192738147</v>
      </c>
      <c r="AE550" s="61">
        <f t="shared" si="341"/>
        <v>94.186382566794634</v>
      </c>
      <c r="AF550" s="31" t="str">
        <f t="shared" si="327"/>
        <v>-0.000106860158311346</v>
      </c>
      <c r="AG550" s="31" t="str">
        <f t="shared" si="328"/>
        <v>0.0606487485529893i</v>
      </c>
      <c r="AH550" s="31">
        <f t="shared" si="342"/>
        <v>6.0648748552989303E-2</v>
      </c>
      <c r="AI550" s="31">
        <f t="shared" si="343"/>
        <v>1.5707963267948966</v>
      </c>
      <c r="AJ550" s="31" t="str">
        <f t="shared" si="329"/>
        <v>1+957.450306048205i</v>
      </c>
      <c r="AK550" s="31">
        <f t="shared" si="344"/>
        <v>957.45082826837722</v>
      </c>
      <c r="AL550" s="31">
        <f t="shared" si="345"/>
        <v>1.5697518865455546</v>
      </c>
      <c r="AM550" s="31" t="str">
        <f t="shared" si="330"/>
        <v>1+6143.6394638093i</v>
      </c>
      <c r="AN550" s="31">
        <f t="shared" si="346"/>
        <v>6143.6395451942835</v>
      </c>
      <c r="AO550" s="31">
        <f t="shared" si="347"/>
        <v>1.5706335568281595</v>
      </c>
      <c r="AP550" s="58" t="str">
        <f t="shared" si="348"/>
        <v>-9.96803063092113E-06+0.0113058455578345i</v>
      </c>
      <c r="AQ550" s="49">
        <f t="shared" si="349"/>
        <v>-38.933935653319281</v>
      </c>
      <c r="AR550" s="61">
        <f t="shared" si="350"/>
        <v>90.050515986115371</v>
      </c>
      <c r="AS550" s="58" t="str">
        <f t="shared" si="351"/>
        <v>-6.59936883744909E-06-4.88900477242864E-07i</v>
      </c>
      <c r="AT550" s="64">
        <f t="shared" si="352"/>
        <v>-103.58618184605744</v>
      </c>
      <c r="AU550" s="61">
        <f t="shared" si="353"/>
        <v>-175.76310144708998</v>
      </c>
    </row>
    <row r="551" spans="14:47" x14ac:dyDescent="0.35">
      <c r="N551" s="10">
        <v>33</v>
      </c>
      <c r="O551" s="50">
        <f t="shared" si="321"/>
        <v>2137962.0895022359</v>
      </c>
      <c r="P551" s="48" t="str">
        <f t="shared" si="322"/>
        <v>547.187404092767</v>
      </c>
      <c r="Q551" s="17" t="str">
        <f t="shared" si="323"/>
        <v>1+257626.58696271i</v>
      </c>
      <c r="R551" s="17">
        <f t="shared" si="331"/>
        <v>257626.58696465078</v>
      </c>
      <c r="S551" s="17">
        <f t="shared" si="332"/>
        <v>1.5707924452079387</v>
      </c>
      <c r="T551" s="17" t="str">
        <f t="shared" si="324"/>
        <v>1+4.87479414857622i</v>
      </c>
      <c r="U551" s="17">
        <f t="shared" si="333"/>
        <v>4.9763056569098483</v>
      </c>
      <c r="V551" s="17">
        <f t="shared" si="334"/>
        <v>1.36846638609799</v>
      </c>
      <c r="W551" s="31" t="str">
        <f t="shared" si="325"/>
        <v>1-84.6520090170233i</v>
      </c>
      <c r="X551" s="17">
        <f t="shared" si="335"/>
        <v>84.65791534533669</v>
      </c>
      <c r="Y551" s="17">
        <f t="shared" si="336"/>
        <v>-1.5589838075256168</v>
      </c>
      <c r="Z551" s="31" t="str">
        <f t="shared" si="326"/>
        <v>-1510.03533756984+405.031607633228i</v>
      </c>
      <c r="AA551" s="17">
        <f t="shared" si="337"/>
        <v>1563.4120774420346</v>
      </c>
      <c r="AB551" s="17">
        <f t="shared" si="338"/>
        <v>2.8795344817209925</v>
      </c>
      <c r="AC551" s="66" t="str">
        <f t="shared" si="339"/>
        <v>-0.0000409122212171059+0.000570865924203192i</v>
      </c>
      <c r="AD551" s="64">
        <f t="shared" si="340"/>
        <v>-64.847068660418842</v>
      </c>
      <c r="AE551" s="61">
        <f t="shared" si="341"/>
        <v>94.099205462028522</v>
      </c>
      <c r="AF551" s="31" t="str">
        <f t="shared" si="327"/>
        <v>-0.000106860158311346</v>
      </c>
      <c r="AG551" s="31" t="str">
        <f t="shared" si="328"/>
        <v>0.0620614393848715i</v>
      </c>
      <c r="AH551" s="31">
        <f t="shared" si="342"/>
        <v>6.2061439384871499E-2</v>
      </c>
      <c r="AI551" s="31">
        <f t="shared" si="343"/>
        <v>1.5707963267948966</v>
      </c>
      <c r="AJ551" s="31" t="str">
        <f t="shared" si="329"/>
        <v>1+979.752188636189i</v>
      </c>
      <c r="AK551" s="31">
        <f t="shared" si="344"/>
        <v>979.75269896918508</v>
      </c>
      <c r="AL551" s="31">
        <f t="shared" si="345"/>
        <v>1.5697756608914717</v>
      </c>
      <c r="AM551" s="31" t="str">
        <f t="shared" si="330"/>
        <v>1+6286.74321041553i</v>
      </c>
      <c r="AN551" s="31">
        <f t="shared" si="346"/>
        <v>6286.7432899479654</v>
      </c>
      <c r="AO551" s="31">
        <f t="shared" si="347"/>
        <v>1.5706372619248843</v>
      </c>
      <c r="AP551" s="58" t="str">
        <f t="shared" si="348"/>
        <v>-9.51939581713391E-06+0.0110484935514001i</v>
      </c>
      <c r="AQ551" s="49">
        <f t="shared" si="349"/>
        <v>-39.133935445274346</v>
      </c>
      <c r="AR551" s="61">
        <f t="shared" si="350"/>
        <v>90.049366102838647</v>
      </c>
      <c r="AS551" s="58" t="str">
        <f t="shared" si="351"/>
        <v>-0.0000063068190226455-4.57452710981653E-07i</v>
      </c>
      <c r="AT551" s="64">
        <f t="shared" si="352"/>
        <v>-103.9810041056932</v>
      </c>
      <c r="AU551" s="61">
        <f t="shared" si="353"/>
        <v>-175.85142843513285</v>
      </c>
    </row>
    <row r="552" spans="14:47" x14ac:dyDescent="0.35">
      <c r="N552" s="10">
        <v>34</v>
      </c>
      <c r="O552" s="50">
        <f t="shared" si="321"/>
        <v>2187761.6239495561</v>
      </c>
      <c r="P552" s="48" t="str">
        <f t="shared" si="322"/>
        <v>547.187404092767</v>
      </c>
      <c r="Q552" s="17" t="str">
        <f t="shared" si="323"/>
        <v>1+263627.48106415i</v>
      </c>
      <c r="R552" s="17">
        <f t="shared" si="331"/>
        <v>263627.48106604657</v>
      </c>
      <c r="S552" s="17">
        <f t="shared" si="332"/>
        <v>1.5707925335636448</v>
      </c>
      <c r="T552" s="17" t="str">
        <f t="shared" si="324"/>
        <v>1+4.98834269104927i</v>
      </c>
      <c r="U552" s="17">
        <f t="shared" si="333"/>
        <v>5.0875890953716638</v>
      </c>
      <c r="V552" s="17">
        <f t="shared" si="334"/>
        <v>1.3729514015557098</v>
      </c>
      <c r="W552" s="31" t="str">
        <f t="shared" si="325"/>
        <v>1-86.6238076096072i</v>
      </c>
      <c r="X552" s="17">
        <f t="shared" si="335"/>
        <v>86.629579502536203</v>
      </c>
      <c r="Y552" s="17">
        <f t="shared" si="336"/>
        <v>-1.559252669127082</v>
      </c>
      <c r="Z552" s="31" t="str">
        <f t="shared" si="326"/>
        <v>-1581.24823908311+414.466005743291i</v>
      </c>
      <c r="AA552" s="17">
        <f t="shared" si="337"/>
        <v>1634.6645109991941</v>
      </c>
      <c r="AB552" s="17">
        <f t="shared" si="338"/>
        <v>2.8852462406110444</v>
      </c>
      <c r="AC552" s="66" t="str">
        <f t="shared" si="339"/>
        <v>-0.0000391688970971295+0.000558249868441288i</v>
      </c>
      <c r="AD552" s="64">
        <f t="shared" si="340"/>
        <v>-65.042099766256683</v>
      </c>
      <c r="AE552" s="61">
        <f t="shared" si="341"/>
        <v>94.013508543364182</v>
      </c>
      <c r="AF552" s="31" t="str">
        <f t="shared" si="327"/>
        <v>-0.000106860158311346</v>
      </c>
      <c r="AG552" s="31" t="str">
        <f t="shared" si="328"/>
        <v>0.0635070360133958i</v>
      </c>
      <c r="AH552" s="31">
        <f t="shared" si="342"/>
        <v>6.3507036013395801E-2</v>
      </c>
      <c r="AI552" s="31">
        <f t="shared" si="343"/>
        <v>1.5707963267948966</v>
      </c>
      <c r="AJ552" s="31" t="str">
        <f t="shared" si="329"/>
        <v>1+1002.57354880314i</v>
      </c>
      <c r="AK552" s="31">
        <f t="shared" si="344"/>
        <v>1002.5740475195447</v>
      </c>
      <c r="AL552" s="31">
        <f t="shared" si="345"/>
        <v>1.5697988940683203</v>
      </c>
      <c r="AM552" s="31" t="str">
        <f t="shared" si="330"/>
        <v>1+6433.18027148683i</v>
      </c>
      <c r="AN552" s="31">
        <f t="shared" si="346"/>
        <v>6433.1803492088866</v>
      </c>
      <c r="AO552" s="31">
        <f t="shared" si="347"/>
        <v>1.5706408826833149</v>
      </c>
      <c r="AP552" s="58" t="str">
        <f t="shared" si="348"/>
        <v>-9.09095285501265E-06+0.0107969995612617i</v>
      </c>
      <c r="AQ552" s="49">
        <f t="shared" si="349"/>
        <v>-39.333935246592802</v>
      </c>
      <c r="AR552" s="61">
        <f t="shared" si="350"/>
        <v>90.04824239403726</v>
      </c>
      <c r="AS552" s="58" t="str">
        <f t="shared" si="351"/>
        <v>-0.0000060270675020381-4.27981588008129E-07i</v>
      </c>
      <c r="AT552" s="64">
        <f t="shared" si="352"/>
        <v>-104.37603501284947</v>
      </c>
      <c r="AU552" s="61">
        <f t="shared" si="353"/>
        <v>-175.93824906259854</v>
      </c>
    </row>
    <row r="553" spans="14:47" x14ac:dyDescent="0.35">
      <c r="N553" s="10">
        <v>35</v>
      </c>
      <c r="O553" s="50">
        <f t="shared" si="321"/>
        <v>2238721.1385683389</v>
      </c>
      <c r="P553" s="48" t="str">
        <f t="shared" si="322"/>
        <v>547.187404092767</v>
      </c>
      <c r="Q553" s="17" t="str">
        <f t="shared" si="323"/>
        <v>1+269768.153945571i</v>
      </c>
      <c r="R553" s="17">
        <f t="shared" si="331"/>
        <v>269768.15394742443</v>
      </c>
      <c r="S553" s="17">
        <f t="shared" si="332"/>
        <v>1.5707926199081297</v>
      </c>
      <c r="T553" s="17" t="str">
        <f t="shared" si="324"/>
        <v>1+5.10453611884562i</v>
      </c>
      <c r="U553" s="17">
        <f t="shared" si="333"/>
        <v>5.201566013096393</v>
      </c>
      <c r="V553" s="17">
        <f t="shared" si="334"/>
        <v>1.3773421324179755</v>
      </c>
      <c r="W553" s="31" t="str">
        <f t="shared" si="325"/>
        <v>1-88.6415352915869i</v>
      </c>
      <c r="X553" s="17">
        <f t="shared" si="335"/>
        <v>88.647175808649692</v>
      </c>
      <c r="Y553" s="17">
        <f t="shared" si="336"/>
        <v>-1.5595154123040376</v>
      </c>
      <c r="Z553" s="31" t="str">
        <f t="shared" si="326"/>
        <v>-1655.81730124718+424.120159215702i</v>
      </c>
      <c r="AA553" s="17">
        <f t="shared" si="337"/>
        <v>1709.2714367714236</v>
      </c>
      <c r="AB553" s="17">
        <f t="shared" si="338"/>
        <v>2.8908440688283115</v>
      </c>
      <c r="AC553" s="66" t="str">
        <f t="shared" si="339"/>
        <v>-0.0000374959312052034+0.000545897785232549i</v>
      </c>
      <c r="AD553" s="64">
        <f t="shared" si="340"/>
        <v>-65.237332102438771</v>
      </c>
      <c r="AE553" s="61">
        <f t="shared" si="341"/>
        <v>93.929287937151344</v>
      </c>
      <c r="AF553" s="31" t="str">
        <f t="shared" si="327"/>
        <v>-0.000106860158311346</v>
      </c>
      <c r="AG553" s="31" t="str">
        <f t="shared" si="328"/>
        <v>0.0649863049130292i</v>
      </c>
      <c r="AH553" s="31">
        <f t="shared" si="342"/>
        <v>6.4986304913029203E-2</v>
      </c>
      <c r="AI553" s="31">
        <f t="shared" si="343"/>
        <v>1.5707963267948966</v>
      </c>
      <c r="AJ553" s="31" t="str">
        <f t="shared" si="329"/>
        <v>1+1025.9264867363i</v>
      </c>
      <c r="AK553" s="31">
        <f t="shared" si="344"/>
        <v>1025.9269741005387</v>
      </c>
      <c r="AL553" s="31">
        <f t="shared" si="345"/>
        <v>1.5698215983945385</v>
      </c>
      <c r="AM553" s="31" t="str">
        <f t="shared" si="330"/>
        <v>1+6583.02828989124i</v>
      </c>
      <c r="AN553" s="31">
        <f t="shared" si="346"/>
        <v>6583.0283658441267</v>
      </c>
      <c r="AO553" s="31">
        <f t="shared" si="347"/>
        <v>1.5706444210232255</v>
      </c>
      <c r="AP553" s="58" t="str">
        <f t="shared" si="348"/>
        <v>-8.68179296514864E-06+0.0105512302447284i</v>
      </c>
      <c r="AQ553" s="49">
        <f t="shared" si="349"/>
        <v>-39.533935056853458</v>
      </c>
      <c r="AR553" s="61">
        <f t="shared" si="350"/>
        <v>90.047144263911633</v>
      </c>
      <c r="AS553" s="58" t="str">
        <f t="shared" si="351"/>
        <v>-5.75956769016416E-06-4.0036757493812E-07i</v>
      </c>
      <c r="AT553" s="64">
        <f t="shared" si="352"/>
        <v>-104.77126715929222</v>
      </c>
      <c r="AU553" s="61">
        <f t="shared" si="353"/>
        <v>-176.02356779893702</v>
      </c>
    </row>
    <row r="554" spans="14:47" x14ac:dyDescent="0.35">
      <c r="N554" s="10">
        <v>36</v>
      </c>
      <c r="O554" s="50">
        <f t="shared" si="321"/>
        <v>2290867.6527677765</v>
      </c>
      <c r="P554" s="48" t="str">
        <f t="shared" si="322"/>
        <v>547.187404092767</v>
      </c>
      <c r="Q554" s="17" t="str">
        <f t="shared" si="323"/>
        <v>1+276051.86147302i</v>
      </c>
      <c r="R554" s="17">
        <f t="shared" si="331"/>
        <v>276051.8614748313</v>
      </c>
      <c r="S554" s="17">
        <f t="shared" si="332"/>
        <v>1.5707927042871741</v>
      </c>
      <c r="T554" s="17" t="str">
        <f t="shared" si="324"/>
        <v>1+5.22343603925875i</v>
      </c>
      <c r="U554" s="17">
        <f t="shared" si="333"/>
        <v>5.3182971011619067</v>
      </c>
      <c r="V554" s="17">
        <f t="shared" si="334"/>
        <v>1.381640229210447</v>
      </c>
      <c r="W554" s="31" t="str">
        <f t="shared" si="325"/>
        <v>1-90.7062618888886i</v>
      </c>
      <c r="X554" s="17">
        <f t="shared" si="335"/>
        <v>90.711774020000547</v>
      </c>
      <c r="Y554" s="17">
        <f t="shared" si="336"/>
        <v>-1.5597721762212049</v>
      </c>
      <c r="Z554" s="31" t="str">
        <f t="shared" si="326"/>
        <v>-1733.90069504059+433.999186810428i</v>
      </c>
      <c r="AA554" s="17">
        <f t="shared" si="337"/>
        <v>1787.3910916233062</v>
      </c>
      <c r="AB554" s="17">
        <f t="shared" si="338"/>
        <v>2.8963295718262105</v>
      </c>
      <c r="AC554" s="66" t="str">
        <f t="shared" si="339"/>
        <v>-0.0000358908066238501+0.000533805006788514i</v>
      </c>
      <c r="AD554" s="64">
        <f t="shared" si="340"/>
        <v>-65.43275843983298</v>
      </c>
      <c r="AE554" s="61">
        <f t="shared" si="341"/>
        <v>93.846538249664633</v>
      </c>
      <c r="AF554" s="31" t="str">
        <f t="shared" si="327"/>
        <v>-0.000106860158311346</v>
      </c>
      <c r="AG554" s="31" t="str">
        <f t="shared" si="328"/>
        <v>0.0665000304117233i</v>
      </c>
      <c r="AH554" s="31">
        <f t="shared" si="342"/>
        <v>6.6500030411723296E-2</v>
      </c>
      <c r="AI554" s="31">
        <f t="shared" si="343"/>
        <v>1.5707963267948966</v>
      </c>
      <c r="AJ554" s="31" t="str">
        <f t="shared" si="329"/>
        <v>1+1049.82338447248i</v>
      </c>
      <c r="AK554" s="31">
        <f t="shared" si="344"/>
        <v>1049.8238607429594</v>
      </c>
      <c r="AL554" s="31">
        <f t="shared" si="345"/>
        <v>1.5698437859081666</v>
      </c>
      <c r="AM554" s="31" t="str">
        <f t="shared" si="330"/>
        <v>1+6736.36671703171i</v>
      </c>
      <c r="AN554" s="31">
        <f t="shared" si="346"/>
        <v>6736.3667912556975</v>
      </c>
      <c r="AO554" s="31">
        <f t="shared" si="347"/>
        <v>1.5706478788206903</v>
      </c>
      <c r="AP554" s="58" t="str">
        <f t="shared" si="348"/>
        <v>-0.0000082910482696261+0.0103110552942236i</v>
      </c>
      <c r="AQ554" s="49">
        <f t="shared" si="349"/>
        <v>-39.733934875653873</v>
      </c>
      <c r="AR554" s="61">
        <f t="shared" si="350"/>
        <v>90.046071130223979</v>
      </c>
      <c r="AS554" s="58" t="str">
        <f t="shared" si="351"/>
        <v>-5.50379536891962E-06-3.74497894730657E-07i</v>
      </c>
      <c r="AT554" s="64">
        <f t="shared" si="352"/>
        <v>-105.16669331548684</v>
      </c>
      <c r="AU554" s="61">
        <f t="shared" si="353"/>
        <v>-176.10739062011137</v>
      </c>
    </row>
    <row r="555" spans="14:47" x14ac:dyDescent="0.35">
      <c r="N555" s="10">
        <v>37</v>
      </c>
      <c r="O555" s="50">
        <f t="shared" si="321"/>
        <v>2344228.8153199251</v>
      </c>
      <c r="P555" s="48" t="str">
        <f t="shared" si="322"/>
        <v>547.187404092767</v>
      </c>
      <c r="Q555" s="17" t="str">
        <f t="shared" si="323"/>
        <v>1+282481.935351399i</v>
      </c>
      <c r="R555" s="17">
        <f t="shared" si="331"/>
        <v>282481.93535316904</v>
      </c>
      <c r="S555" s="17">
        <f t="shared" si="332"/>
        <v>1.5707927867455169</v>
      </c>
      <c r="T555" s="17" t="str">
        <f t="shared" si="324"/>
        <v>1+5.34510549460022i</v>
      </c>
      <c r="U555" s="17">
        <f t="shared" si="333"/>
        <v>5.4378444946877122</v>
      </c>
      <c r="V555" s="17">
        <f t="shared" si="334"/>
        <v>1.3858473353229184</v>
      </c>
      <c r="W555" s="31" t="str">
        <f t="shared" si="325"/>
        <v>1-92.8190821468827i</v>
      </c>
      <c r="X555" s="17">
        <f t="shared" si="335"/>
        <v>92.824468813938068</v>
      </c>
      <c r="Y555" s="17">
        <f t="shared" si="336"/>
        <v>-1.5600230968827111</v>
      </c>
      <c r="Z555" s="31" t="str">
        <f t="shared" si="326"/>
        <v>-1815.66404581035+444.108326518658i</v>
      </c>
      <c r="AA555" s="17">
        <f t="shared" si="337"/>
        <v>1869.1891645661792</v>
      </c>
      <c r="AB555" s="17">
        <f t="shared" si="338"/>
        <v>2.9017043757778271</v>
      </c>
      <c r="AC555" s="66" t="str">
        <f t="shared" si="339"/>
        <v>-0.0000343510701046931+0.000521966902479659i</v>
      </c>
      <c r="AD555" s="64">
        <f t="shared" si="340"/>
        <v>-65.628371731236896</v>
      </c>
      <c r="AE555" s="61">
        <f t="shared" si="341"/>
        <v>93.765252672323058</v>
      </c>
      <c r="AF555" s="31" t="str">
        <f t="shared" si="327"/>
        <v>-0.000106860158311346</v>
      </c>
      <c r="AG555" s="31" t="str">
        <f t="shared" si="328"/>
        <v>0.0680490151067734i</v>
      </c>
      <c r="AH555" s="31">
        <f t="shared" si="342"/>
        <v>6.80490151067734E-2</v>
      </c>
      <c r="AI555" s="31">
        <f t="shared" si="343"/>
        <v>1.5707963267948966</v>
      </c>
      <c r="AJ555" s="31" t="str">
        <f t="shared" si="329"/>
        <v>1+1074.27691246315i</v>
      </c>
      <c r="AK555" s="31">
        <f t="shared" si="344"/>
        <v>1074.2773778923945</v>
      </c>
      <c r="AL555" s="31">
        <f t="shared" si="345"/>
        <v>1.5698654683732307</v>
      </c>
      <c r="AM555" s="31" t="str">
        <f t="shared" si="330"/>
        <v>1+6893.27685497186i</v>
      </c>
      <c r="AN555" s="31">
        <f t="shared" si="346"/>
        <v>6893.2769275063029</v>
      </c>
      <c r="AO555" s="31">
        <f t="shared" si="347"/>
        <v>1.5706512579090788</v>
      </c>
      <c r="AP555" s="58" t="str">
        <f t="shared" si="348"/>
        <v>-7.91788995117972E-06+0.0100763473682065i</v>
      </c>
      <c r="AQ555" s="49">
        <f t="shared" si="349"/>
        <v>-39.93393470260947</v>
      </c>
      <c r="AR555" s="61">
        <f t="shared" si="350"/>
        <v>90.045022423989622</v>
      </c>
      <c r="AS555" s="58" t="str">
        <f t="shared" si="351"/>
        <v>-5.25924783609902E-06-3.50266191336493E-07i</v>
      </c>
      <c r="AT555" s="64">
        <f t="shared" si="352"/>
        <v>-105.56230643384636</v>
      </c>
      <c r="AU555" s="61">
        <f t="shared" si="353"/>
        <v>-176.18972490368733</v>
      </c>
    </row>
    <row r="556" spans="14:47" x14ac:dyDescent="0.35">
      <c r="N556" s="10">
        <v>38</v>
      </c>
      <c r="O556" s="50">
        <f t="shared" si="321"/>
        <v>2398832.9190194933</v>
      </c>
      <c r="P556" s="48" t="str">
        <f t="shared" si="322"/>
        <v>547.187404092767</v>
      </c>
      <c r="Q556" s="17" t="str">
        <f t="shared" si="323"/>
        <v>1+289061.784890991i</v>
      </c>
      <c r="R556" s="17">
        <f t="shared" si="331"/>
        <v>289061.78489272075</v>
      </c>
      <c r="S556" s="17">
        <f t="shared" si="332"/>
        <v>1.5707928673268787</v>
      </c>
      <c r="T556" s="17" t="str">
        <f t="shared" si="324"/>
        <v>1+5.46960899562575i</v>
      </c>
      <c r="U556" s="17">
        <f t="shared" si="333"/>
        <v>5.5602718067582018</v>
      </c>
      <c r="V556" s="17">
        <f t="shared" si="334"/>
        <v>1.3899650854117258</v>
      </c>
      <c r="W556" s="31" t="str">
        <f t="shared" si="325"/>
        <v>1-94.9811163108364i</v>
      </c>
      <c r="X556" s="17">
        <f t="shared" si="335"/>
        <v>94.98638036925415</v>
      </c>
      <c r="Y556" s="17">
        <f t="shared" si="336"/>
        <v>-1.5602683072035533</v>
      </c>
      <c r="Z556" s="31" t="str">
        <f t="shared" si="326"/>
        <v>-1901.28078458565+454.452938340074i</v>
      </c>
      <c r="AA556" s="17">
        <f t="shared" si="337"/>
        <v>1954.8391481143792</v>
      </c>
      <c r="AB556" s="17">
        <f t="shared" si="338"/>
        <v>2.9069701241361887</v>
      </c>
      <c r="AC556" s="66" t="str">
        <f t="shared" si="339"/>
        <v>-0.0000328743326898345+0.000510378880680892i</v>
      </c>
      <c r="AD556" s="64">
        <f t="shared" si="340"/>
        <v>-65.824165113753466</v>
      </c>
      <c r="AE556" s="61">
        <f t="shared" si="341"/>
        <v>93.685423083140066</v>
      </c>
      <c r="AF556" s="31" t="str">
        <f t="shared" si="327"/>
        <v>-0.000106860158311346</v>
      </c>
      <c r="AG556" s="31" t="str">
        <f t="shared" si="328"/>
        <v>0.0696340802903684i</v>
      </c>
      <c r="AH556" s="31">
        <f t="shared" si="342"/>
        <v>6.9634080290368397E-2</v>
      </c>
      <c r="AI556" s="31">
        <f t="shared" si="343"/>
        <v>1.5707963267948966</v>
      </c>
      <c r="AJ556" s="31" t="str">
        <f t="shared" si="329"/>
        <v>1+1099.30003629254i</v>
      </c>
      <c r="AK556" s="31">
        <f t="shared" si="344"/>
        <v>1099.3004911273258</v>
      </c>
      <c r="AL556" s="31">
        <f t="shared" si="345"/>
        <v>1.5698866572859793</v>
      </c>
      <c r="AM556" s="31" t="str">
        <f t="shared" si="330"/>
        <v>1+7053.84189954381i</v>
      </c>
      <c r="AN556" s="31">
        <f t="shared" si="346"/>
        <v>7053.8419704271673</v>
      </c>
      <c r="AO556" s="31">
        <f t="shared" si="347"/>
        <v>1.5706545600800281</v>
      </c>
      <c r="AP556" s="58" t="str">
        <f t="shared" si="348"/>
        <v>-7.56152649520079E-06+0.0098469820236646i</v>
      </c>
      <c r="AQ556" s="49">
        <f t="shared" si="349"/>
        <v>-40.133934537353383</v>
      </c>
      <c r="AR556" s="61">
        <f t="shared" si="350"/>
        <v>90.043997589175305</v>
      </c>
      <c r="AS556" s="58" t="str">
        <f t="shared" si="351"/>
        <v>-5.02544308318516E-06-3.27572206465629E-07i</v>
      </c>
      <c r="AT556" s="64">
        <f t="shared" si="352"/>
        <v>-105.95809965110683</v>
      </c>
      <c r="AU556" s="61">
        <f t="shared" si="353"/>
        <v>-176.27057932768463</v>
      </c>
    </row>
    <row r="557" spans="14:47" x14ac:dyDescent="0.35">
      <c r="N557" s="10">
        <v>39</v>
      </c>
      <c r="O557" s="50">
        <f t="shared" si="321"/>
        <v>2454708.915685033</v>
      </c>
      <c r="P557" s="48" t="str">
        <f t="shared" si="322"/>
        <v>547.187404092767</v>
      </c>
      <c r="Q557" s="17" t="str">
        <f t="shared" si="323"/>
        <v>1+295794.898815117i</v>
      </c>
      <c r="R557" s="17">
        <f t="shared" si="331"/>
        <v>295794.89881680737</v>
      </c>
      <c r="S557" s="17">
        <f t="shared" si="332"/>
        <v>1.5707929460739849</v>
      </c>
      <c r="T557" s="17" t="str">
        <f t="shared" si="324"/>
        <v>1+5.59701255573959i</v>
      </c>
      <c r="U557" s="17">
        <f t="shared" si="333"/>
        <v>5.6856441630748069</v>
      </c>
      <c r="V557" s="17">
        <f t="shared" si="334"/>
        <v>1.3939951039288285</v>
      </c>
      <c r="W557" s="31" t="str">
        <f t="shared" si="325"/>
        <v>1-97.1935107198819i</v>
      </c>
      <c r="X557" s="17">
        <f t="shared" si="335"/>
        <v>97.198654960116585</v>
      </c>
      <c r="Y557" s="17">
        <f t="shared" si="336"/>
        <v>-1.5605079370794694</v>
      </c>
      <c r="Z557" s="31" t="str">
        <f t="shared" si="326"/>
        <v>-1990.93251594829+465.038507124795i</v>
      </c>
      <c r="AA557" s="17">
        <f t="shared" si="337"/>
        <v>2044.5227062004096</v>
      </c>
      <c r="AB557" s="17">
        <f t="shared" si="338"/>
        <v>2.9121284743903106</v>
      </c>
      <c r="AC557" s="66" t="str">
        <f t="shared" si="339"/>
        <v>-0.0000314582700968264+0.000499036390564321i</v>
      </c>
      <c r="AD557" s="64">
        <f t="shared" si="340"/>
        <v>-66.020131910365706</v>
      </c>
      <c r="AE557" s="61">
        <f t="shared" si="341"/>
        <v>93.607040144306126</v>
      </c>
      <c r="AF557" s="31" t="str">
        <f t="shared" si="327"/>
        <v>-0.000106860158311346</v>
      </c>
      <c r="AG557" s="31" t="str">
        <f t="shared" si="328"/>
        <v>0.0712560663850494i</v>
      </c>
      <c r="AH557" s="31">
        <f t="shared" si="342"/>
        <v>7.1256066385049402E-2</v>
      </c>
      <c r="AI557" s="31">
        <f t="shared" si="343"/>
        <v>1.5707963267948966</v>
      </c>
      <c r="AJ557" s="31" t="str">
        <f t="shared" si="329"/>
        <v>1+1124.90602355214i</v>
      </c>
      <c r="AK557" s="31">
        <f t="shared" si="344"/>
        <v>1124.9064680336262</v>
      </c>
      <c r="AL557" s="31">
        <f t="shared" si="345"/>
        <v>1.569907363880978</v>
      </c>
      <c r="AM557" s="31" t="str">
        <f t="shared" si="330"/>
        <v>1+7218.14698445952i</v>
      </c>
      <c r="AN557" s="31">
        <f t="shared" si="346"/>
        <v>7218.1470537293753</v>
      </c>
      <c r="AO557" s="31">
        <f t="shared" si="347"/>
        <v>1.5706577870843927</v>
      </c>
      <c r="AP557" s="58" t="str">
        <f t="shared" si="348"/>
        <v>-0.0000072212020108646+0.00962283765014366i</v>
      </c>
      <c r="AQ557" s="49">
        <f t="shared" si="349"/>
        <v>-40.33393437953513</v>
      </c>
      <c r="AR557" s="61">
        <f t="shared" si="350"/>
        <v>90.042996082404343</v>
      </c>
      <c r="AS557" s="58" t="str">
        <f t="shared" si="351"/>
        <v>-4.80191900139086E-06-3.06321468483167E-07i</v>
      </c>
      <c r="AT557" s="64">
        <f t="shared" si="352"/>
        <v>-106.35406628990084</v>
      </c>
      <c r="AU557" s="61">
        <f t="shared" si="353"/>
        <v>-176.34996377328952</v>
      </c>
    </row>
    <row r="558" spans="14:47" x14ac:dyDescent="0.35">
      <c r="N558" s="10">
        <v>40</v>
      </c>
      <c r="O558" s="50">
        <f t="shared" si="321"/>
        <v>2511886.431509587</v>
      </c>
      <c r="P558" s="48" t="str">
        <f t="shared" si="322"/>
        <v>547.187404092767</v>
      </c>
      <c r="Q558" s="17" t="str">
        <f t="shared" si="323"/>
        <v>1+302684.847109905i</v>
      </c>
      <c r="R558" s="17">
        <f t="shared" si="331"/>
        <v>302684.84711155685</v>
      </c>
      <c r="S558" s="17">
        <f t="shared" si="332"/>
        <v>1.570793023028588</v>
      </c>
      <c r="T558" s="17" t="str">
        <f t="shared" si="324"/>
        <v>1+5.72738372599574i</v>
      </c>
      <c r="U558" s="17">
        <f t="shared" si="333"/>
        <v>5.8140282373584018</v>
      </c>
      <c r="V558" s="17">
        <f t="shared" si="334"/>
        <v>1.3979390037712947</v>
      </c>
      <c r="W558" s="31" t="str">
        <f t="shared" si="325"/>
        <v>1-99.4574384148199i</v>
      </c>
      <c r="X558" s="17">
        <f t="shared" si="335"/>
        <v>99.462465563838165</v>
      </c>
      <c r="Y558" s="17">
        <f t="shared" si="336"/>
        <v>-1.5607421134552475</v>
      </c>
      <c r="Z558" s="31" t="str">
        <f t="shared" si="326"/>
        <v>-2084.80940324032+475.870645481508i</v>
      </c>
      <c r="AA558" s="17">
        <f t="shared" si="337"/>
        <v>2138.4300594291708</v>
      </c>
      <c r="AB558" s="17">
        <f t="shared" si="338"/>
        <v>2.9171810950118569</v>
      </c>
      <c r="AC558" s="66" t="str">
        <f t="shared" si="339"/>
        <v>-0.0000301006228857819+0.000487934923827902i</v>
      </c>
      <c r="AD558" s="64">
        <f t="shared" si="340"/>
        <v>-66.216265630783184</v>
      </c>
      <c r="AE558" s="61">
        <f t="shared" si="341"/>
        <v>93.530093395838605</v>
      </c>
      <c r="AF558" s="31" t="str">
        <f t="shared" si="327"/>
        <v>-0.000106860158311346</v>
      </c>
      <c r="AG558" s="31" t="str">
        <f t="shared" si="328"/>
        <v>0.0729158333893134i</v>
      </c>
      <c r="AH558" s="31">
        <f t="shared" si="342"/>
        <v>7.29158333893134E-2</v>
      </c>
      <c r="AI558" s="31">
        <f t="shared" si="343"/>
        <v>1.5707963267948966</v>
      </c>
      <c r="AJ558" s="31" t="str">
        <f t="shared" si="329"/>
        <v>1+1151.10845087531i</v>
      </c>
      <c r="AK558" s="31">
        <f t="shared" si="344"/>
        <v>1151.1088852391661</v>
      </c>
      <c r="AL558" s="31">
        <f t="shared" si="345"/>
        <v>1.5699275991370665</v>
      </c>
      <c r="AM558" s="31" t="str">
        <f t="shared" si="330"/>
        <v>1+7386.27922644992i</v>
      </c>
      <c r="AN558" s="31">
        <f t="shared" si="346"/>
        <v>7386.2792941430016</v>
      </c>
      <c r="AO558" s="31">
        <f t="shared" si="347"/>
        <v>1.5706609406331726</v>
      </c>
      <c r="AP558" s="58" t="str">
        <f t="shared" si="348"/>
        <v>-6.89619462781806E-06+0.00940379540527837i</v>
      </c>
      <c r="AQ558" s="49">
        <f t="shared" si="349"/>
        <v>-40.533934228819732</v>
      </c>
      <c r="AR558" s="61">
        <f t="shared" si="350"/>
        <v>90.042017372668695</v>
      </c>
      <c r="AS558" s="58" t="str">
        <f t="shared" si="351"/>
        <v>-4.58823261501384E-06-2.8642499338976E-07i</v>
      </c>
      <c r="AT558" s="64">
        <f t="shared" si="352"/>
        <v>-106.7501998596029</v>
      </c>
      <c r="AU558" s="61">
        <f t="shared" si="353"/>
        <v>-176.42788923149268</v>
      </c>
    </row>
    <row r="559" spans="14:47" x14ac:dyDescent="0.35">
      <c r="N559" s="10">
        <v>41</v>
      </c>
      <c r="O559" s="50">
        <f t="shared" si="321"/>
        <v>2570395.782768866</v>
      </c>
      <c r="P559" s="48" t="str">
        <f t="shared" si="322"/>
        <v>547.187404092767</v>
      </c>
      <c r="Q559" s="17" t="str">
        <f t="shared" si="323"/>
        <v>1+309735.282917137i</v>
      </c>
      <c r="R559" s="17">
        <f t="shared" si="331"/>
        <v>309735.2829187513</v>
      </c>
      <c r="S559" s="17">
        <f t="shared" si="332"/>
        <v>1.5707930982314906</v>
      </c>
      <c r="T559" s="17" t="str">
        <f t="shared" si="324"/>
        <v>1+5.86079163091426i</v>
      </c>
      <c r="U559" s="17">
        <f t="shared" si="333"/>
        <v>5.9454922875229288</v>
      </c>
      <c r="V559" s="17">
        <f t="shared" si="334"/>
        <v>1.4017983850450189</v>
      </c>
      <c r="W559" s="31" t="str">
        <f t="shared" si="325"/>
        <v>1-101.77409976008i</v>
      </c>
      <c r="X559" s="17">
        <f t="shared" si="335"/>
        <v>101.77901248280372</v>
      </c>
      <c r="Y559" s="17">
        <f t="shared" si="336"/>
        <v>-1.560970960391507</v>
      </c>
      <c r="Z559" s="31" t="str">
        <f t="shared" si="326"/>
        <v>-2183.11057192594+486.955096753345i</v>
      </c>
      <c r="AA559" s="17">
        <f t="shared" si="337"/>
        <v>2236.7603884879723</v>
      </c>
      <c r="AB559" s="17">
        <f t="shared" si="338"/>
        <v>2.9221296625868431</v>
      </c>
      <c r="AC559" s="66" t="str">
        <f t="shared" si="339"/>
        <v>-0.0000287991964266462+0.000477070016350664i</v>
      </c>
      <c r="AD559" s="64">
        <f t="shared" si="340"/>
        <v>-66.412559971626251</v>
      </c>
      <c r="AE559" s="61">
        <f t="shared" si="341"/>
        <v>93.454571345261769</v>
      </c>
      <c r="AF559" s="31" t="str">
        <f t="shared" si="327"/>
        <v>-0.000106860158311346</v>
      </c>
      <c r="AG559" s="31" t="str">
        <f t="shared" si="328"/>
        <v>0.0746142613335953i</v>
      </c>
      <c r="AH559" s="31">
        <f t="shared" si="342"/>
        <v>7.4614261333595305E-2</v>
      </c>
      <c r="AI559" s="31">
        <f t="shared" si="343"/>
        <v>1.5707963267948966</v>
      </c>
      <c r="AJ559" s="31" t="str">
        <f t="shared" si="329"/>
        <v>1+1177.92121113586i</v>
      </c>
      <c r="AK559" s="31">
        <f t="shared" si="344"/>
        <v>1177.9216356123914</v>
      </c>
      <c r="AL559" s="31">
        <f t="shared" si="345"/>
        <v>1.5699473737831793</v>
      </c>
      <c r="AM559" s="31" t="str">
        <f t="shared" si="330"/>
        <v>1+7558.32777145509i</v>
      </c>
      <c r="AN559" s="31">
        <f t="shared" si="346"/>
        <v>7558.3278376072885</v>
      </c>
      <c r="AO559" s="31">
        <f t="shared" si="347"/>
        <v>1.5706640223984212</v>
      </c>
      <c r="AP559" s="58" t="str">
        <f t="shared" si="348"/>
        <v>-6.58581496502441E-06+0.00918973915178905i</v>
      </c>
      <c r="AQ559" s="49">
        <f t="shared" si="349"/>
        <v>-40.733934084887707</v>
      </c>
      <c r="AR559" s="61">
        <f t="shared" si="350"/>
        <v>90.041060941047249</v>
      </c>
      <c r="AS559" s="58" t="str">
        <f t="shared" si="351"/>
        <v>-4.38395934122353E-06-2.67798997795061E-07i</v>
      </c>
      <c r="AT559" s="64">
        <f t="shared" si="352"/>
        <v>-107.14649405651394</v>
      </c>
      <c r="AU559" s="61">
        <f t="shared" si="353"/>
        <v>-176.50436771369095</v>
      </c>
    </row>
    <row r="560" spans="14:47" ht="15" thickBot="1" x14ac:dyDescent="0.4">
      <c r="N560" s="10">
        <v>42</v>
      </c>
      <c r="O560" s="50">
        <f t="shared" si="321"/>
        <v>2630267.9918953842</v>
      </c>
      <c r="P560" s="48" t="str">
        <f t="shared" si="322"/>
        <v>547.187404092767</v>
      </c>
      <c r="Q560" s="17" t="str">
        <f t="shared" si="323"/>
        <v>1+316949.944471202i</v>
      </c>
      <c r="R560" s="17">
        <f t="shared" si="331"/>
        <v>316949.94447277952</v>
      </c>
      <c r="S560" s="17">
        <f t="shared" si="332"/>
        <v>1.5707931717225661</v>
      </c>
      <c r="T560" s="17" t="str">
        <f t="shared" si="324"/>
        <v>1+5.99730700513224i</v>
      </c>
      <c r="U560" s="17">
        <f t="shared" si="333"/>
        <v>6.0801061926423818</v>
      </c>
      <c r="V560" s="17">
        <f t="shared" si="334"/>
        <v>1.4055748339366834</v>
      </c>
      <c r="W560" s="31" t="str">
        <f t="shared" si="325"/>
        <v>1-104.144723080172i</v>
      </c>
      <c r="X560" s="17">
        <f t="shared" si="335"/>
        <v>104.1495239808887</v>
      </c>
      <c r="Y560" s="17">
        <f t="shared" si="336"/>
        <v>-1.5611945991299887</v>
      </c>
      <c r="Z560" s="31" t="str">
        <f t="shared" si="326"/>
        <v>-2286.04453196343+498.297738063094i</v>
      </c>
      <c r="AA560" s="17">
        <f t="shared" si="337"/>
        <v>2339.7222565677948</v>
      </c>
      <c r="AB560" s="17">
        <f t="shared" si="338"/>
        <v>2.9269758591265069</v>
      </c>
      <c r="AC560" s="59" t="str">
        <f t="shared" si="339"/>
        <v>-0.0000275518606840532+0.000466437249766786i</v>
      </c>
      <c r="AD560" s="65">
        <f t="shared" si="340"/>
        <v>-66.609008816012945</v>
      </c>
      <c r="AE560" s="63">
        <f t="shared" si="341"/>
        <v>93.380461553308251</v>
      </c>
      <c r="AF560" s="31" t="str">
        <f t="shared" si="327"/>
        <v>-0.000106860158311346</v>
      </c>
      <c r="AG560" s="31" t="str">
        <f t="shared" si="328"/>
        <v>0.0763522507468729i</v>
      </c>
      <c r="AH560" s="31">
        <f t="shared" si="342"/>
        <v>7.6352250746872893E-2</v>
      </c>
      <c r="AI560" s="31">
        <f t="shared" si="343"/>
        <v>1.5707963267948966</v>
      </c>
      <c r="AJ560" s="31" t="str">
        <f t="shared" si="329"/>
        <v>1+1205.35852081418i</v>
      </c>
      <c r="AK560" s="31">
        <f t="shared" si="344"/>
        <v>1205.3589356284492</v>
      </c>
      <c r="AL560" s="31">
        <f t="shared" si="345"/>
        <v>1.5699666983040335</v>
      </c>
      <c r="AM560" s="31" t="str">
        <f t="shared" si="330"/>
        <v>1+7734.38384189099i</v>
      </c>
      <c r="AN560" s="31">
        <f t="shared" si="346"/>
        <v>7734.3839065373804</v>
      </c>
      <c r="AO560" s="31">
        <f t="shared" si="347"/>
        <v>1.5706670340141309</v>
      </c>
      <c r="AP560" s="62" t="str">
        <f t="shared" si="348"/>
        <v>-6.28940466852174E-06+0.00898055539591363i</v>
      </c>
      <c r="AQ560" s="55">
        <f t="shared" si="349"/>
        <v>-40.933933947433665</v>
      </c>
      <c r="AR560" s="63">
        <f t="shared" si="350"/>
        <v>90.040126280430883</v>
      </c>
      <c r="AS560" s="62" t="str">
        <f t="shared" si="351"/>
        <v>-4.18869227544701E-06-2.5036462374989E-07i</v>
      </c>
      <c r="AT560" s="65">
        <f t="shared" si="352"/>
        <v>-107.54294276344663</v>
      </c>
      <c r="AU560" s="63">
        <f t="shared" si="353"/>
        <v>-176.57941216626085</v>
      </c>
    </row>
    <row r="561" spans="14:31" x14ac:dyDescent="0.35">
      <c r="N561" s="10"/>
      <c r="P561" s="48"/>
      <c r="Q561" s="17"/>
      <c r="R561" s="17"/>
      <c r="S561" s="17"/>
      <c r="T561" s="17"/>
      <c r="U561" s="17"/>
      <c r="V561" s="17"/>
      <c r="W561" s="31"/>
      <c r="X561" s="17"/>
      <c r="Y561" s="17"/>
      <c r="Z561" s="31"/>
      <c r="AA561" s="17"/>
      <c r="AB561" s="17"/>
      <c r="AC561" s="17"/>
      <c r="AD561" s="32"/>
      <c r="AE561" s="31"/>
    </row>
    <row r="562" spans="14:31" x14ac:dyDescent="0.35">
      <c r="N562" s="10"/>
      <c r="P562" s="48"/>
      <c r="Q562" s="17"/>
      <c r="R562" s="17"/>
      <c r="S562" s="17"/>
      <c r="T562" s="17"/>
      <c r="U562" s="17"/>
      <c r="V562" s="17"/>
      <c r="W562" s="31"/>
      <c r="X562" s="17"/>
      <c r="Y562" s="17"/>
      <c r="Z562" s="31"/>
      <c r="AA562" s="17"/>
      <c r="AB562" s="17"/>
      <c r="AC562" s="17"/>
      <c r="AD562" s="32"/>
      <c r="AE562" s="31"/>
    </row>
    <row r="563" spans="14:31" x14ac:dyDescent="0.35">
      <c r="N563" s="10"/>
      <c r="P563" s="48"/>
      <c r="Q563" s="17"/>
      <c r="R563" s="17"/>
      <c r="S563" s="17"/>
      <c r="T563" s="17"/>
      <c r="U563" s="17"/>
      <c r="V563" s="17"/>
      <c r="W563" s="31"/>
      <c r="X563" s="17"/>
      <c r="Y563" s="17"/>
      <c r="Z563" s="31"/>
      <c r="AA563" s="17"/>
      <c r="AB563" s="17"/>
      <c r="AC563" s="17"/>
      <c r="AD563" s="32"/>
      <c r="AE563" s="31"/>
    </row>
    <row r="564" spans="14:31" x14ac:dyDescent="0.35">
      <c r="N564" s="10"/>
      <c r="P564" s="48"/>
      <c r="Q564" s="17"/>
      <c r="R564" s="17"/>
      <c r="S564" s="17"/>
      <c r="T564" s="17"/>
      <c r="U564" s="17"/>
      <c r="V564" s="17"/>
      <c r="W564" s="31"/>
      <c r="X564" s="17"/>
      <c r="Y564" s="17"/>
      <c r="Z564" s="31"/>
      <c r="AA564" s="17"/>
      <c r="AB564" s="17"/>
      <c r="AC564" s="17"/>
      <c r="AD564" s="32"/>
      <c r="AE564" s="31"/>
    </row>
    <row r="565" spans="14:31" x14ac:dyDescent="0.35">
      <c r="N565" s="10"/>
      <c r="P565" s="48"/>
      <c r="Q565" s="17"/>
      <c r="R565" s="17"/>
      <c r="S565" s="17"/>
      <c r="T565" s="17"/>
      <c r="U565" s="17"/>
      <c r="V565" s="17"/>
      <c r="W565" s="31"/>
      <c r="X565" s="17"/>
      <c r="Y565" s="17"/>
      <c r="Z565" s="31"/>
      <c r="AA565" s="17"/>
      <c r="AB565" s="17"/>
      <c r="AC565" s="17"/>
      <c r="AD565" s="32"/>
      <c r="AE565" s="31"/>
    </row>
    <row r="566" spans="14:31" x14ac:dyDescent="0.35">
      <c r="N566" s="10"/>
      <c r="P566" s="48"/>
      <c r="Q566" s="17"/>
      <c r="R566" s="17"/>
      <c r="S566" s="17"/>
      <c r="T566" s="17"/>
      <c r="U566" s="17"/>
      <c r="V566" s="17"/>
      <c r="W566" s="31"/>
      <c r="X566" s="17"/>
      <c r="Y566" s="17"/>
      <c r="Z566" s="31"/>
      <c r="AA566" s="17"/>
      <c r="AB566" s="17"/>
      <c r="AC566" s="17"/>
      <c r="AD566" s="32"/>
      <c r="AE566" s="31"/>
    </row>
    <row r="567" spans="14:31" x14ac:dyDescent="0.35">
      <c r="N567" s="10"/>
      <c r="P567" s="48"/>
      <c r="Q567" s="17"/>
      <c r="R567" s="17"/>
      <c r="S567" s="17"/>
      <c r="T567" s="17"/>
      <c r="U567" s="17"/>
      <c r="V567" s="17"/>
      <c r="W567" s="31"/>
      <c r="X567" s="17"/>
      <c r="Y567" s="17"/>
      <c r="Z567" s="31"/>
      <c r="AA567" s="17"/>
      <c r="AB567" s="17"/>
      <c r="AC567" s="17"/>
      <c r="AD567" s="32"/>
      <c r="AE567" s="31"/>
    </row>
    <row r="568" spans="14:31" x14ac:dyDescent="0.35">
      <c r="N568" s="10"/>
      <c r="P568" s="48"/>
      <c r="Q568" s="17"/>
      <c r="R568" s="17"/>
      <c r="S568" s="17"/>
      <c r="T568" s="17"/>
      <c r="U568" s="17"/>
      <c r="V568" s="17"/>
      <c r="W568" s="31"/>
      <c r="X568" s="17"/>
      <c r="Y568" s="17"/>
      <c r="Z568" s="31"/>
      <c r="AA568" s="17"/>
      <c r="AB568" s="17"/>
      <c r="AC568" s="17"/>
      <c r="AD568" s="32"/>
      <c r="AE568" s="31"/>
    </row>
    <row r="569" spans="14:31" x14ac:dyDescent="0.35">
      <c r="N569" s="10"/>
      <c r="P569" s="48"/>
      <c r="Q569" s="17"/>
      <c r="R569" s="17"/>
      <c r="S569" s="17"/>
      <c r="T569" s="17"/>
      <c r="U569" s="17"/>
      <c r="V569" s="17"/>
      <c r="W569" s="31"/>
      <c r="X569" s="17"/>
      <c r="Y569" s="17"/>
      <c r="Z569" s="31"/>
      <c r="AA569" s="17"/>
      <c r="AB569" s="17"/>
      <c r="AC569" s="17"/>
      <c r="AD569" s="32"/>
      <c r="AE569" s="31"/>
    </row>
    <row r="570" spans="14:31" x14ac:dyDescent="0.35">
      <c r="N570" s="10"/>
      <c r="P570" s="48"/>
      <c r="Q570" s="17"/>
      <c r="R570" s="17"/>
      <c r="S570" s="17"/>
      <c r="T570" s="17"/>
      <c r="U570" s="17"/>
      <c r="V570" s="17"/>
      <c r="W570" s="31"/>
      <c r="X570" s="17"/>
      <c r="Y570" s="17"/>
      <c r="Z570" s="31"/>
      <c r="AA570" s="17"/>
      <c r="AB570" s="17"/>
      <c r="AC570" s="17"/>
      <c r="AD570" s="32"/>
      <c r="AE570" s="31"/>
    </row>
    <row r="571" spans="14:31" x14ac:dyDescent="0.35">
      <c r="N571" s="10"/>
      <c r="P571" s="48"/>
      <c r="Q571" s="17"/>
      <c r="R571" s="17"/>
      <c r="S571" s="17"/>
      <c r="T571" s="17"/>
      <c r="U571" s="17"/>
      <c r="V571" s="17"/>
      <c r="W571" s="31"/>
      <c r="X571" s="17"/>
      <c r="Y571" s="17"/>
      <c r="Z571" s="31"/>
      <c r="AA571" s="17"/>
      <c r="AB571" s="17"/>
      <c r="AC571" s="17"/>
      <c r="AD571" s="32"/>
      <c r="AE571" s="31"/>
    </row>
    <row r="572" spans="14:31" x14ac:dyDescent="0.35">
      <c r="N572" s="10"/>
      <c r="P572" s="48"/>
      <c r="Q572" s="17"/>
      <c r="R572" s="17"/>
      <c r="S572" s="17"/>
      <c r="T572" s="17"/>
      <c r="U572" s="17"/>
      <c r="V572" s="17"/>
      <c r="W572" s="31"/>
      <c r="X572" s="17"/>
      <c r="Y572" s="17"/>
      <c r="Z572" s="31"/>
      <c r="AA572" s="17"/>
      <c r="AB572" s="17"/>
      <c r="AC572" s="17"/>
      <c r="AD572" s="32"/>
      <c r="AE572" s="31"/>
    </row>
    <row r="573" spans="14:31" x14ac:dyDescent="0.35">
      <c r="N573" s="10"/>
      <c r="P573" s="48"/>
      <c r="Q573" s="17"/>
      <c r="R573" s="17"/>
      <c r="S573" s="17"/>
      <c r="T573" s="17"/>
      <c r="U573" s="17"/>
      <c r="V573" s="17"/>
      <c r="W573" s="31"/>
      <c r="X573" s="17"/>
      <c r="Y573" s="17"/>
      <c r="Z573" s="31"/>
      <c r="AA573" s="17"/>
      <c r="AB573" s="17"/>
      <c r="AC573" s="17"/>
      <c r="AD573" s="32"/>
      <c r="AE573" s="31"/>
    </row>
    <row r="574" spans="14:31" x14ac:dyDescent="0.35">
      <c r="N574" s="10"/>
      <c r="P574" s="48"/>
      <c r="Q574" s="17"/>
      <c r="R574" s="17"/>
      <c r="S574" s="17"/>
      <c r="T574" s="17"/>
      <c r="U574" s="17"/>
      <c r="V574" s="17"/>
      <c r="W574" s="31"/>
      <c r="X574" s="17"/>
      <c r="Y574" s="17"/>
      <c r="Z574" s="31"/>
      <c r="AA574" s="17"/>
      <c r="AB574" s="17"/>
      <c r="AC574" s="17"/>
      <c r="AD574" s="32"/>
      <c r="AE574" s="31"/>
    </row>
    <row r="575" spans="14:31" x14ac:dyDescent="0.35">
      <c r="N575" s="10"/>
      <c r="P575" s="48"/>
      <c r="Q575" s="17"/>
      <c r="R575" s="17"/>
      <c r="S575" s="17"/>
      <c r="T575" s="17"/>
      <c r="U575" s="17"/>
      <c r="V575" s="17"/>
      <c r="W575" s="31"/>
      <c r="X575" s="17"/>
      <c r="Y575" s="17"/>
      <c r="Z575" s="31"/>
      <c r="AA575" s="17"/>
      <c r="AB575" s="17"/>
      <c r="AC575" s="17"/>
      <c r="AD575" s="32"/>
      <c r="AE575" s="31"/>
    </row>
    <row r="576" spans="14:31" x14ac:dyDescent="0.35">
      <c r="N576" s="10"/>
      <c r="P576" s="48"/>
      <c r="Q576" s="17"/>
      <c r="R576" s="17"/>
      <c r="S576" s="17"/>
      <c r="T576" s="17"/>
      <c r="U576" s="17"/>
      <c r="V576" s="17"/>
      <c r="W576" s="31"/>
      <c r="X576" s="17"/>
      <c r="Y576" s="17"/>
      <c r="Z576" s="31"/>
      <c r="AA576" s="17"/>
      <c r="AB576" s="17"/>
      <c r="AC576" s="17"/>
      <c r="AD576" s="32"/>
      <c r="AE576" s="31"/>
    </row>
    <row r="577" spans="14:31" x14ac:dyDescent="0.35">
      <c r="N577" s="10"/>
      <c r="P577" s="48"/>
      <c r="Q577" s="17"/>
      <c r="R577" s="17"/>
      <c r="S577" s="17"/>
      <c r="T577" s="17"/>
      <c r="U577" s="17"/>
      <c r="V577" s="17"/>
      <c r="W577" s="31"/>
      <c r="X577" s="17"/>
      <c r="Y577" s="17"/>
      <c r="Z577" s="31"/>
      <c r="AA577" s="17"/>
      <c r="AB577" s="17"/>
      <c r="AC577" s="17"/>
      <c r="AD577" s="32"/>
      <c r="AE577" s="31"/>
    </row>
    <row r="578" spans="14:31" x14ac:dyDescent="0.35">
      <c r="N578" s="10"/>
      <c r="P578" s="48"/>
      <c r="Q578" s="17"/>
      <c r="R578" s="17"/>
      <c r="S578" s="17"/>
      <c r="T578" s="17"/>
      <c r="U578" s="17"/>
      <c r="V578" s="17"/>
      <c r="W578" s="31"/>
      <c r="X578" s="17"/>
      <c r="Y578" s="17"/>
      <c r="Z578" s="31"/>
      <c r="AA578" s="17"/>
      <c r="AB578" s="17"/>
      <c r="AC578" s="17"/>
      <c r="AD578" s="32"/>
      <c r="AE578" s="31"/>
    </row>
    <row r="579" spans="14:31" x14ac:dyDescent="0.35">
      <c r="N579" s="10"/>
      <c r="P579" s="48"/>
      <c r="Q579" s="17"/>
      <c r="R579" s="17"/>
      <c r="S579" s="17"/>
      <c r="T579" s="17"/>
      <c r="U579" s="17"/>
      <c r="V579" s="17"/>
      <c r="W579" s="31"/>
      <c r="X579" s="17"/>
      <c r="Y579" s="17"/>
      <c r="Z579" s="31"/>
      <c r="AA579" s="17"/>
      <c r="AB579" s="17"/>
      <c r="AC579" s="17"/>
      <c r="AD579" s="32"/>
      <c r="AE579" s="31"/>
    </row>
    <row r="580" spans="14:31" x14ac:dyDescent="0.35">
      <c r="N580" s="10"/>
      <c r="P580" s="48"/>
      <c r="Q580" s="17"/>
      <c r="R580" s="17"/>
      <c r="S580" s="17"/>
      <c r="T580" s="17"/>
      <c r="U580" s="17"/>
      <c r="V580" s="17"/>
      <c r="W580" s="31"/>
      <c r="X580" s="17"/>
      <c r="Y580" s="17"/>
      <c r="Z580" s="31"/>
      <c r="AA580" s="17"/>
      <c r="AB580" s="17"/>
      <c r="AC580" s="17"/>
      <c r="AD580" s="32"/>
      <c r="AE580" s="31"/>
    </row>
    <row r="581" spans="14:31" x14ac:dyDescent="0.35">
      <c r="N581" s="10"/>
      <c r="P581" s="48"/>
      <c r="Q581" s="17"/>
      <c r="R581" s="17"/>
      <c r="S581" s="17"/>
      <c r="T581" s="17"/>
      <c r="U581" s="17"/>
      <c r="V581" s="17"/>
      <c r="W581" s="31"/>
      <c r="X581" s="17"/>
      <c r="Y581" s="17"/>
      <c r="Z581" s="31"/>
      <c r="AA581" s="17"/>
      <c r="AB581" s="17"/>
      <c r="AC581" s="17"/>
      <c r="AD581" s="32"/>
      <c r="AE581" s="31"/>
    </row>
    <row r="582" spans="14:31" x14ac:dyDescent="0.35">
      <c r="N582" s="10"/>
      <c r="P582" s="48"/>
      <c r="Q582" s="17"/>
      <c r="R582" s="17"/>
      <c r="S582" s="17"/>
      <c r="T582" s="17"/>
      <c r="U582" s="17"/>
      <c r="V582" s="17"/>
      <c r="W582" s="31"/>
      <c r="X582" s="17"/>
      <c r="Y582" s="17"/>
      <c r="Z582" s="31"/>
      <c r="AA582" s="17"/>
      <c r="AB582" s="17"/>
      <c r="AC582" s="17"/>
      <c r="AD582" s="32"/>
      <c r="AE582" s="31"/>
    </row>
    <row r="583" spans="14:31" x14ac:dyDescent="0.35">
      <c r="N583" s="10"/>
      <c r="P583" s="48"/>
      <c r="Q583" s="17"/>
      <c r="R583" s="17"/>
      <c r="S583" s="17"/>
      <c r="T583" s="17"/>
      <c r="U583" s="17"/>
      <c r="V583" s="17"/>
      <c r="W583" s="31"/>
      <c r="X583" s="17"/>
      <c r="Y583" s="17"/>
      <c r="Z583" s="31"/>
      <c r="AA583" s="17"/>
      <c r="AB583" s="17"/>
      <c r="AC583" s="17"/>
      <c r="AD583" s="32"/>
      <c r="AE583" s="31"/>
    </row>
    <row r="584" spans="14:31" x14ac:dyDescent="0.35">
      <c r="N584" s="10"/>
      <c r="P584" s="48"/>
      <c r="Q584" s="17"/>
      <c r="R584" s="17"/>
      <c r="S584" s="17"/>
      <c r="T584" s="17"/>
      <c r="U584" s="17"/>
      <c r="V584" s="17"/>
      <c r="W584" s="31"/>
      <c r="X584" s="17"/>
      <c r="Y584" s="17"/>
      <c r="Z584" s="31"/>
      <c r="AA584" s="17"/>
      <c r="AB584" s="17"/>
      <c r="AC584" s="17"/>
      <c r="AD584" s="32"/>
      <c r="AE584" s="31"/>
    </row>
    <row r="585" spans="14:31" x14ac:dyDescent="0.35">
      <c r="N585" s="10"/>
      <c r="P585" s="48"/>
      <c r="Q585" s="17"/>
      <c r="R585" s="17"/>
      <c r="S585" s="17"/>
      <c r="T585" s="17"/>
      <c r="U585" s="17"/>
      <c r="V585" s="17"/>
      <c r="W585" s="31"/>
      <c r="X585" s="17"/>
      <c r="Y585" s="17"/>
      <c r="Z585" s="31"/>
      <c r="AA585" s="17"/>
      <c r="AB585" s="17"/>
      <c r="AC585" s="17"/>
      <c r="AD585" s="32"/>
      <c r="AE585" s="31"/>
    </row>
    <row r="586" spans="14:31" x14ac:dyDescent="0.35">
      <c r="N586" s="10"/>
      <c r="P586" s="48"/>
      <c r="Q586" s="17"/>
      <c r="R586" s="17"/>
      <c r="S586" s="17"/>
      <c r="T586" s="17"/>
      <c r="U586" s="17"/>
      <c r="V586" s="17"/>
      <c r="W586" s="31"/>
      <c r="X586" s="17"/>
      <c r="Y586" s="17"/>
      <c r="Z586" s="31"/>
      <c r="AA586" s="17"/>
      <c r="AB586" s="17"/>
      <c r="AC586" s="17"/>
      <c r="AD586" s="32"/>
      <c r="AE586" s="31"/>
    </row>
    <row r="587" spans="14:31" x14ac:dyDescent="0.35">
      <c r="N587" s="10"/>
      <c r="P587" s="48"/>
      <c r="Q587" s="17"/>
      <c r="R587" s="17"/>
      <c r="S587" s="17"/>
      <c r="T587" s="17"/>
      <c r="U587" s="17"/>
      <c r="V587" s="17"/>
      <c r="W587" s="31"/>
      <c r="X587" s="17"/>
      <c r="Y587" s="17"/>
      <c r="Z587" s="31"/>
      <c r="AA587" s="17"/>
      <c r="AB587" s="17"/>
      <c r="AC587" s="17"/>
      <c r="AD587" s="32"/>
      <c r="AE587" s="31"/>
    </row>
    <row r="588" spans="14:31" x14ac:dyDescent="0.35">
      <c r="N588" s="10"/>
      <c r="P588" s="48"/>
      <c r="Q588" s="17"/>
      <c r="R588" s="17"/>
      <c r="S588" s="17"/>
      <c r="T588" s="17"/>
      <c r="U588" s="17"/>
      <c r="V588" s="17"/>
      <c r="W588" s="31"/>
      <c r="X588" s="17"/>
      <c r="Y588" s="17"/>
      <c r="Z588" s="31"/>
      <c r="AA588" s="17"/>
      <c r="AB588" s="17"/>
      <c r="AC588" s="17"/>
      <c r="AD588" s="32"/>
      <c r="AE588" s="31"/>
    </row>
    <row r="589" spans="14:31" x14ac:dyDescent="0.35">
      <c r="N589" s="10"/>
      <c r="P589" s="48"/>
      <c r="Q589" s="17"/>
      <c r="R589" s="17"/>
      <c r="S589" s="17"/>
      <c r="T589" s="17"/>
      <c r="U589" s="17"/>
      <c r="V589" s="17"/>
      <c r="W589" s="31"/>
      <c r="X589" s="17"/>
      <c r="Y589" s="17"/>
      <c r="Z589" s="31"/>
      <c r="AA589" s="17"/>
      <c r="AB589" s="17"/>
      <c r="AC589" s="17"/>
      <c r="AD589" s="32"/>
      <c r="AE589" s="31"/>
    </row>
    <row r="590" spans="14:31" x14ac:dyDescent="0.35">
      <c r="N590" s="10"/>
      <c r="P590" s="48"/>
      <c r="Q590" s="17"/>
      <c r="R590" s="17"/>
      <c r="S590" s="17"/>
      <c r="T590" s="17"/>
      <c r="U590" s="17"/>
      <c r="V590" s="17"/>
      <c r="W590" s="31"/>
      <c r="X590" s="17"/>
      <c r="Y590" s="17"/>
      <c r="Z590" s="31"/>
      <c r="AA590" s="17"/>
      <c r="AB590" s="17"/>
      <c r="AC590" s="17"/>
      <c r="AD590" s="32"/>
      <c r="AE590" s="31"/>
    </row>
    <row r="591" spans="14:31" x14ac:dyDescent="0.35">
      <c r="N591" s="10"/>
      <c r="P591" s="48"/>
      <c r="Q591" s="17"/>
      <c r="R591" s="17"/>
      <c r="S591" s="17"/>
      <c r="T591" s="17"/>
      <c r="U591" s="17"/>
      <c r="V591" s="17"/>
      <c r="W591" s="31"/>
      <c r="X591" s="17"/>
      <c r="Y591" s="17"/>
      <c r="Z591" s="31"/>
      <c r="AA591" s="17"/>
      <c r="AB591" s="17"/>
      <c r="AC591" s="17"/>
      <c r="AD591" s="32"/>
      <c r="AE591" s="31"/>
    </row>
    <row r="592" spans="14:31" x14ac:dyDescent="0.35">
      <c r="N592" s="10"/>
      <c r="P592" s="48"/>
      <c r="Q592" s="17"/>
      <c r="R592" s="17"/>
      <c r="S592" s="17"/>
      <c r="T592" s="17"/>
      <c r="U592" s="17"/>
      <c r="V592" s="17"/>
      <c r="W592" s="31"/>
      <c r="X592" s="17"/>
      <c r="Y592" s="17"/>
      <c r="Z592" s="31"/>
      <c r="AA592" s="17"/>
      <c r="AB592" s="17"/>
      <c r="AC592" s="17"/>
      <c r="AD592" s="32"/>
      <c r="AE592" s="31"/>
    </row>
    <row r="593" spans="14:31" x14ac:dyDescent="0.35">
      <c r="N593" s="10"/>
      <c r="P593" s="48"/>
      <c r="Q593" s="17"/>
      <c r="R593" s="17"/>
      <c r="S593" s="17"/>
      <c r="T593" s="17"/>
      <c r="U593" s="17"/>
      <c r="V593" s="17"/>
      <c r="W593" s="31"/>
      <c r="X593" s="17"/>
      <c r="Y593" s="17"/>
      <c r="Z593" s="31"/>
      <c r="AA593" s="17"/>
      <c r="AB593" s="17"/>
      <c r="AC593" s="17"/>
      <c r="AD593" s="32"/>
      <c r="AE593" s="31"/>
    </row>
    <row r="594" spans="14:31" x14ac:dyDescent="0.35">
      <c r="N594" s="10"/>
      <c r="P594" s="48"/>
      <c r="Q594" s="17"/>
      <c r="R594" s="17"/>
      <c r="S594" s="17"/>
      <c r="T594" s="17"/>
      <c r="U594" s="17"/>
      <c r="V594" s="17"/>
      <c r="W594" s="31"/>
      <c r="X594" s="17"/>
      <c r="Y594" s="17"/>
      <c r="Z594" s="31"/>
      <c r="AA594" s="17"/>
      <c r="AB594" s="17"/>
      <c r="AC594" s="17"/>
      <c r="AD594" s="32"/>
      <c r="AE594" s="31"/>
    </row>
    <row r="595" spans="14:31" x14ac:dyDescent="0.35">
      <c r="N595" s="10"/>
      <c r="P595" s="48"/>
      <c r="Q595" s="17"/>
      <c r="R595" s="17"/>
      <c r="S595" s="17"/>
      <c r="T595" s="17"/>
      <c r="U595" s="17"/>
      <c r="V595" s="17"/>
      <c r="W595" s="31"/>
      <c r="X595" s="17"/>
      <c r="Y595" s="17"/>
      <c r="Z595" s="31"/>
      <c r="AA595" s="17"/>
      <c r="AB595" s="17"/>
      <c r="AC595" s="17"/>
      <c r="AD595" s="32"/>
      <c r="AE595" s="31"/>
    </row>
    <row r="596" spans="14:31" x14ac:dyDescent="0.35">
      <c r="N596" s="10"/>
      <c r="P596" s="48"/>
      <c r="Q596" s="17"/>
      <c r="R596" s="17"/>
      <c r="S596" s="17"/>
      <c r="T596" s="17"/>
      <c r="U596" s="17"/>
      <c r="V596" s="17"/>
      <c r="W596" s="31"/>
      <c r="X596" s="17"/>
      <c r="Y596" s="17"/>
      <c r="Z596" s="31"/>
      <c r="AA596" s="17"/>
      <c r="AB596" s="17"/>
      <c r="AC596" s="17"/>
      <c r="AD596" s="32"/>
      <c r="AE596" s="31"/>
    </row>
    <row r="597" spans="14:31" x14ac:dyDescent="0.35">
      <c r="N597" s="10"/>
      <c r="P597" s="48"/>
      <c r="Q597" s="17"/>
      <c r="R597" s="17"/>
      <c r="S597" s="17"/>
      <c r="T597" s="17"/>
      <c r="U597" s="17"/>
      <c r="V597" s="17"/>
      <c r="W597" s="31"/>
      <c r="X597" s="17"/>
      <c r="Y597" s="17"/>
      <c r="Z597" s="31"/>
      <c r="AA597" s="17"/>
      <c r="AB597" s="17"/>
      <c r="AC597" s="17"/>
      <c r="AD597" s="32"/>
      <c r="AE597" s="31"/>
    </row>
    <row r="598" spans="14:31" x14ac:dyDescent="0.35">
      <c r="N598" s="10"/>
      <c r="P598" s="48"/>
      <c r="Q598" s="17"/>
      <c r="R598" s="17"/>
      <c r="S598" s="17"/>
      <c r="T598" s="17"/>
      <c r="U598" s="17"/>
      <c r="V598" s="17"/>
      <c r="W598" s="31"/>
      <c r="X598" s="17"/>
      <c r="Y598" s="17"/>
      <c r="Z598" s="31"/>
      <c r="AA598" s="17"/>
      <c r="AB598" s="17"/>
      <c r="AC598" s="17"/>
      <c r="AD598" s="32"/>
      <c r="AE598" s="31"/>
    </row>
    <row r="599" spans="14:31" x14ac:dyDescent="0.35">
      <c r="N599" s="10"/>
      <c r="P599" s="48"/>
      <c r="Q599" s="17"/>
      <c r="R599" s="17"/>
      <c r="S599" s="17"/>
      <c r="T599" s="17"/>
      <c r="U599" s="17"/>
      <c r="V599" s="17"/>
      <c r="W599" s="31"/>
      <c r="X599" s="17"/>
      <c r="Y599" s="17"/>
      <c r="Z599" s="31"/>
      <c r="AA599" s="17"/>
      <c r="AB599" s="17"/>
      <c r="AC599" s="17"/>
      <c r="AD599" s="32"/>
      <c r="AE599" s="31"/>
    </row>
    <row r="600" spans="14:31" x14ac:dyDescent="0.35">
      <c r="N600" s="10"/>
      <c r="P600" s="48"/>
      <c r="Q600" s="17"/>
      <c r="R600" s="17"/>
      <c r="S600" s="17"/>
      <c r="T600" s="17"/>
      <c r="U600" s="17"/>
      <c r="V600" s="17"/>
      <c r="W600" s="31"/>
      <c r="X600" s="17"/>
      <c r="Y600" s="17"/>
      <c r="Z600" s="31"/>
      <c r="AA600" s="17"/>
      <c r="AB600" s="17"/>
      <c r="AC600" s="17"/>
      <c r="AD600" s="32"/>
      <c r="AE600" s="31"/>
    </row>
    <row r="601" spans="14:31" x14ac:dyDescent="0.35">
      <c r="N601" s="10"/>
      <c r="P601" s="48"/>
      <c r="Q601" s="17"/>
      <c r="R601" s="17"/>
      <c r="S601" s="17"/>
      <c r="T601" s="17"/>
      <c r="U601" s="17"/>
      <c r="V601" s="17"/>
      <c r="W601" s="31"/>
      <c r="X601" s="17"/>
      <c r="Y601" s="17"/>
      <c r="Z601" s="31"/>
      <c r="AA601" s="17"/>
      <c r="AB601" s="17"/>
      <c r="AC601" s="17"/>
      <c r="AD601" s="32"/>
      <c r="AE601" s="31"/>
    </row>
    <row r="602" spans="14:31" x14ac:dyDescent="0.35">
      <c r="N602" s="10"/>
      <c r="P602" s="48"/>
      <c r="Q602" s="17"/>
      <c r="R602" s="17"/>
      <c r="S602" s="17"/>
      <c r="T602" s="17"/>
      <c r="U602" s="17"/>
      <c r="V602" s="17"/>
      <c r="W602" s="31"/>
      <c r="X602" s="17"/>
      <c r="Y602" s="17"/>
      <c r="Z602" s="31"/>
      <c r="AA602" s="17"/>
      <c r="AB602" s="17"/>
      <c r="AC602" s="17"/>
      <c r="AD602" s="32"/>
      <c r="AE602" s="31"/>
    </row>
    <row r="603" spans="14:31" x14ac:dyDescent="0.35">
      <c r="N603" s="10"/>
      <c r="P603" s="48"/>
      <c r="Q603" s="17"/>
      <c r="R603" s="17"/>
      <c r="S603" s="17"/>
      <c r="T603" s="17"/>
      <c r="U603" s="17"/>
      <c r="V603" s="17"/>
      <c r="W603" s="31"/>
      <c r="X603" s="17"/>
      <c r="Y603" s="17"/>
      <c r="Z603" s="31"/>
      <c r="AA603" s="17"/>
      <c r="AB603" s="17"/>
      <c r="AC603" s="17"/>
      <c r="AD603" s="32"/>
      <c r="AE603" s="31"/>
    </row>
    <row r="604" spans="14:31" x14ac:dyDescent="0.35">
      <c r="N604" s="10"/>
      <c r="P604" s="48"/>
      <c r="Q604" s="17"/>
      <c r="R604" s="17"/>
      <c r="S604" s="17"/>
      <c r="T604" s="17"/>
      <c r="U604" s="17"/>
      <c r="V604" s="17"/>
      <c r="W604" s="31"/>
      <c r="X604" s="17"/>
      <c r="Y604" s="17"/>
      <c r="Z604" s="31"/>
      <c r="AA604" s="17"/>
      <c r="AB604" s="17"/>
      <c r="AC604" s="17"/>
      <c r="AD604" s="32"/>
      <c r="AE604" s="31"/>
    </row>
    <row r="605" spans="14:31" x14ac:dyDescent="0.35">
      <c r="N605" s="10"/>
      <c r="P605" s="48"/>
      <c r="Q605" s="17"/>
      <c r="R605" s="17"/>
      <c r="S605" s="17"/>
      <c r="T605" s="17"/>
      <c r="U605" s="17"/>
      <c r="V605" s="17"/>
      <c r="W605" s="31"/>
      <c r="X605" s="17"/>
      <c r="Y605" s="17"/>
      <c r="Z605" s="31"/>
      <c r="AA605" s="17"/>
      <c r="AB605" s="17"/>
      <c r="AC605" s="17"/>
      <c r="AD605" s="32"/>
      <c r="AE605" s="31"/>
    </row>
    <row r="606" spans="14:31" x14ac:dyDescent="0.35">
      <c r="N606" s="10"/>
      <c r="P606" s="48"/>
      <c r="Q606" s="17"/>
      <c r="R606" s="17"/>
      <c r="S606" s="17"/>
      <c r="T606" s="17"/>
      <c r="U606" s="17"/>
      <c r="V606" s="17"/>
      <c r="W606" s="31"/>
      <c r="X606" s="17"/>
      <c r="Y606" s="17"/>
      <c r="Z606" s="31"/>
      <c r="AA606" s="17"/>
      <c r="AB606" s="17"/>
      <c r="AC606" s="17"/>
      <c r="AD606" s="32"/>
      <c r="AE606" s="31"/>
    </row>
    <row r="607" spans="14:31" x14ac:dyDescent="0.35">
      <c r="N607" s="10"/>
      <c r="P607" s="48"/>
      <c r="Q607" s="17"/>
      <c r="R607" s="17"/>
      <c r="S607" s="17"/>
      <c r="T607" s="17"/>
      <c r="U607" s="17"/>
      <c r="V607" s="17"/>
      <c r="W607" s="31"/>
      <c r="X607" s="17"/>
      <c r="Y607" s="17"/>
      <c r="Z607" s="31"/>
      <c r="AA607" s="17"/>
      <c r="AB607" s="17"/>
      <c r="AC607" s="17"/>
      <c r="AD607" s="32"/>
      <c r="AE607" s="31"/>
    </row>
    <row r="608" spans="14:31" x14ac:dyDescent="0.35">
      <c r="N608" s="10"/>
      <c r="P608" s="48"/>
      <c r="Q608" s="17"/>
      <c r="R608" s="17"/>
      <c r="S608" s="17"/>
      <c r="T608" s="17"/>
      <c r="U608" s="17"/>
      <c r="V608" s="17"/>
      <c r="W608" s="31"/>
      <c r="X608" s="17"/>
      <c r="Y608" s="17"/>
      <c r="Z608" s="31"/>
      <c r="AA608" s="17"/>
      <c r="AB608" s="17"/>
      <c r="AC608" s="17"/>
      <c r="AD608" s="32"/>
      <c r="AE608" s="31"/>
    </row>
    <row r="609" spans="14:31" x14ac:dyDescent="0.35">
      <c r="N609" s="10"/>
      <c r="P609" s="48"/>
      <c r="Q609" s="17"/>
      <c r="R609" s="17"/>
      <c r="S609" s="17"/>
      <c r="T609" s="17"/>
      <c r="U609" s="17"/>
      <c r="V609" s="17"/>
      <c r="W609" s="31"/>
      <c r="X609" s="17"/>
      <c r="Y609" s="17"/>
      <c r="Z609" s="31"/>
      <c r="AA609" s="17"/>
      <c r="AB609" s="17"/>
      <c r="AC609" s="17"/>
      <c r="AD609" s="32"/>
      <c r="AE609" s="31"/>
    </row>
    <row r="610" spans="14:31" x14ac:dyDescent="0.35">
      <c r="N610" s="10"/>
      <c r="P610" s="48"/>
      <c r="Q610" s="17"/>
      <c r="R610" s="17"/>
      <c r="S610" s="17"/>
      <c r="T610" s="17"/>
      <c r="U610" s="17"/>
      <c r="V610" s="17"/>
      <c r="W610" s="31"/>
      <c r="X610" s="17"/>
      <c r="Y610" s="17"/>
      <c r="Z610" s="31"/>
      <c r="AA610" s="17"/>
      <c r="AB610" s="17"/>
      <c r="AC610" s="17"/>
      <c r="AD610" s="32"/>
      <c r="AE610" s="31"/>
    </row>
    <row r="611" spans="14:31" x14ac:dyDescent="0.35">
      <c r="N611" s="10"/>
      <c r="P611" s="48"/>
      <c r="Q611" s="17"/>
      <c r="R611" s="17"/>
      <c r="S611" s="17"/>
      <c r="T611" s="17"/>
      <c r="U611" s="17"/>
      <c r="V611" s="17"/>
      <c r="W611" s="31"/>
      <c r="X611" s="17"/>
      <c r="Y611" s="17"/>
      <c r="Z611" s="31"/>
      <c r="AA611" s="17"/>
      <c r="AB611" s="17"/>
      <c r="AC611" s="17"/>
      <c r="AD611" s="32"/>
      <c r="AE611" s="31"/>
    </row>
    <row r="612" spans="14:31" x14ac:dyDescent="0.35">
      <c r="N612" s="10"/>
      <c r="P612" s="48"/>
      <c r="Q612" s="17"/>
      <c r="R612" s="17"/>
      <c r="S612" s="17"/>
      <c r="T612" s="17"/>
      <c r="U612" s="17"/>
      <c r="V612" s="17"/>
      <c r="W612" s="31"/>
      <c r="X612" s="17"/>
      <c r="Y612" s="17"/>
      <c r="Z612" s="31"/>
      <c r="AA612" s="17"/>
      <c r="AB612" s="17"/>
      <c r="AC612" s="17"/>
      <c r="AD612" s="32"/>
      <c r="AE612" s="31"/>
    </row>
    <row r="613" spans="14:31" x14ac:dyDescent="0.35">
      <c r="N613" s="10"/>
      <c r="P613" s="48"/>
      <c r="Q613" s="17"/>
      <c r="R613" s="17"/>
      <c r="S613" s="17"/>
      <c r="T613" s="17"/>
      <c r="U613" s="17"/>
      <c r="V613" s="17"/>
      <c r="W613" s="31"/>
      <c r="X613" s="17"/>
      <c r="Y613" s="17"/>
      <c r="Z613" s="31"/>
      <c r="AA613" s="17"/>
      <c r="AB613" s="17"/>
      <c r="AC613" s="17"/>
      <c r="AD613" s="32"/>
      <c r="AE613" s="31"/>
    </row>
    <row r="614" spans="14:31" x14ac:dyDescent="0.35">
      <c r="N614" s="10"/>
      <c r="P614" s="48"/>
      <c r="Q614" s="17"/>
      <c r="R614" s="17"/>
      <c r="S614" s="17"/>
      <c r="T614" s="17"/>
      <c r="U614" s="17"/>
      <c r="V614" s="17"/>
      <c r="W614" s="31"/>
      <c r="X614" s="17"/>
      <c r="Y614" s="17"/>
      <c r="Z614" s="31"/>
      <c r="AA614" s="17"/>
      <c r="AB614" s="17"/>
      <c r="AC614" s="17"/>
      <c r="AD614" s="32"/>
      <c r="AE614" s="31"/>
    </row>
    <row r="615" spans="14:31" x14ac:dyDescent="0.35">
      <c r="N615" s="10"/>
      <c r="P615" s="48"/>
      <c r="Q615" s="17"/>
      <c r="R615" s="17"/>
      <c r="S615" s="17"/>
      <c r="T615" s="17"/>
      <c r="U615" s="17"/>
      <c r="V615" s="17"/>
      <c r="W615" s="31"/>
      <c r="X615" s="17"/>
      <c r="Y615" s="17"/>
      <c r="Z615" s="31"/>
      <c r="AA615" s="17"/>
      <c r="AB615" s="17"/>
      <c r="AC615" s="17"/>
      <c r="AD615" s="32"/>
      <c r="AE615" s="31"/>
    </row>
    <row r="616" spans="14:31" x14ac:dyDescent="0.35">
      <c r="N616" s="10"/>
      <c r="P616" s="48"/>
      <c r="Q616" s="17"/>
      <c r="R616" s="17"/>
      <c r="S616" s="17"/>
      <c r="T616" s="17"/>
      <c r="U616" s="17"/>
      <c r="V616" s="17"/>
      <c r="W616" s="31"/>
      <c r="X616" s="17"/>
      <c r="Y616" s="17"/>
      <c r="Z616" s="31"/>
      <c r="AA616" s="17"/>
      <c r="AB616" s="17"/>
      <c r="AC616" s="17"/>
      <c r="AD616" s="32"/>
      <c r="AE616" s="31"/>
    </row>
    <row r="617" spans="14:31" x14ac:dyDescent="0.35">
      <c r="N617" s="10"/>
      <c r="P617" s="48"/>
      <c r="Q617" s="17"/>
      <c r="R617" s="17"/>
      <c r="S617" s="17"/>
      <c r="T617" s="17"/>
      <c r="U617" s="17"/>
      <c r="V617" s="17"/>
      <c r="W617" s="31"/>
      <c r="X617" s="17"/>
      <c r="Y617" s="17"/>
      <c r="Z617" s="31"/>
      <c r="AA617" s="17"/>
      <c r="AB617" s="17"/>
      <c r="AC617" s="17"/>
      <c r="AD617" s="32"/>
      <c r="AE617" s="31"/>
    </row>
    <row r="618" spans="14:31" x14ac:dyDescent="0.35">
      <c r="N618" s="10"/>
      <c r="P618" s="48"/>
      <c r="Q618" s="17"/>
      <c r="R618" s="17"/>
      <c r="S618" s="17"/>
      <c r="T618" s="17"/>
      <c r="U618" s="17"/>
      <c r="V618" s="17"/>
      <c r="W618" s="31"/>
      <c r="X618" s="17"/>
      <c r="Y618" s="17"/>
      <c r="Z618" s="31"/>
      <c r="AA618" s="17"/>
      <c r="AB618" s="17"/>
      <c r="AC618" s="17"/>
      <c r="AD618" s="32"/>
      <c r="AE618" s="31"/>
    </row>
    <row r="619" spans="14:31" x14ac:dyDescent="0.35">
      <c r="N619" s="10"/>
      <c r="P619" s="48"/>
      <c r="Q619" s="17"/>
      <c r="R619" s="17"/>
      <c r="S619" s="17"/>
      <c r="T619" s="17"/>
      <c r="U619" s="17"/>
      <c r="V619" s="17"/>
      <c r="W619" s="31"/>
      <c r="X619" s="17"/>
      <c r="Y619" s="17"/>
      <c r="Z619" s="31"/>
      <c r="AA619" s="17"/>
      <c r="AB619" s="17"/>
      <c r="AC619" s="17"/>
      <c r="AD619" s="32"/>
      <c r="AE619" s="31"/>
    </row>
    <row r="620" spans="14:31" x14ac:dyDescent="0.35">
      <c r="N620" s="10"/>
      <c r="P620" s="48"/>
      <c r="Q620" s="17"/>
      <c r="R620" s="17"/>
      <c r="S620" s="17"/>
      <c r="T620" s="17"/>
      <c r="U620" s="17"/>
      <c r="V620" s="17"/>
      <c r="W620" s="31"/>
      <c r="X620" s="17"/>
      <c r="Y620" s="17"/>
      <c r="Z620" s="31"/>
      <c r="AA620" s="17"/>
      <c r="AB620" s="17"/>
      <c r="AC620" s="17"/>
      <c r="AD620" s="32"/>
      <c r="AE620" s="31"/>
    </row>
    <row r="621" spans="14:31" x14ac:dyDescent="0.35">
      <c r="N621" s="10"/>
      <c r="P621" s="48"/>
      <c r="Q621" s="17"/>
      <c r="R621" s="17"/>
      <c r="S621" s="17"/>
      <c r="T621" s="17"/>
      <c r="U621" s="17"/>
      <c r="V621" s="17"/>
      <c r="W621" s="31"/>
      <c r="X621" s="17"/>
      <c r="Y621" s="17"/>
      <c r="Z621" s="31"/>
      <c r="AA621" s="17"/>
      <c r="AB621" s="17"/>
      <c r="AC621" s="17"/>
      <c r="AD621" s="32"/>
      <c r="AE621" s="31"/>
    </row>
    <row r="622" spans="14:31" x14ac:dyDescent="0.35">
      <c r="N622" s="10"/>
      <c r="P622" s="48"/>
      <c r="Q622" s="17"/>
      <c r="R622" s="17"/>
      <c r="S622" s="17"/>
      <c r="T622" s="17"/>
      <c r="U622" s="17"/>
      <c r="V622" s="17"/>
      <c r="W622" s="31"/>
      <c r="X622" s="17"/>
      <c r="Y622" s="17"/>
      <c r="Z622" s="31"/>
      <c r="AA622" s="17"/>
      <c r="AB622" s="17"/>
      <c r="AC622" s="17"/>
      <c r="AD622" s="32"/>
      <c r="AE622" s="31"/>
    </row>
    <row r="623" spans="14:31" x14ac:dyDescent="0.35">
      <c r="N623" s="10"/>
      <c r="P623" s="48"/>
      <c r="Q623" s="17"/>
      <c r="R623" s="17"/>
      <c r="S623" s="17"/>
      <c r="T623" s="17"/>
      <c r="U623" s="17"/>
      <c r="V623" s="17"/>
      <c r="W623" s="31"/>
      <c r="X623" s="17"/>
      <c r="Y623" s="17"/>
      <c r="Z623" s="31"/>
      <c r="AA623" s="17"/>
      <c r="AB623" s="17"/>
      <c r="AC623" s="17"/>
      <c r="AD623" s="32"/>
      <c r="AE623" s="31"/>
    </row>
    <row r="624" spans="14:31" x14ac:dyDescent="0.35">
      <c r="N624" s="10"/>
      <c r="P624" s="48"/>
      <c r="Q624" s="17"/>
      <c r="R624" s="17"/>
      <c r="S624" s="17"/>
      <c r="T624" s="17"/>
      <c r="U624" s="17"/>
      <c r="V624" s="17"/>
      <c r="W624" s="31"/>
      <c r="X624" s="17"/>
      <c r="Y624" s="17"/>
      <c r="Z624" s="31"/>
      <c r="AA624" s="17"/>
      <c r="AB624" s="17"/>
      <c r="AC624" s="17"/>
      <c r="AD624" s="32"/>
      <c r="AE624" s="31"/>
    </row>
    <row r="625" spans="14:31" x14ac:dyDescent="0.35">
      <c r="N625" s="10"/>
      <c r="P625" s="48"/>
      <c r="Q625" s="17"/>
      <c r="R625" s="17"/>
      <c r="S625" s="17"/>
      <c r="T625" s="17"/>
      <c r="U625" s="17"/>
      <c r="V625" s="17"/>
      <c r="W625" s="31"/>
      <c r="X625" s="17"/>
      <c r="Y625" s="17"/>
      <c r="Z625" s="31"/>
      <c r="AA625" s="17"/>
      <c r="AB625" s="17"/>
      <c r="AC625" s="17"/>
      <c r="AD625" s="32"/>
      <c r="AE625" s="31"/>
    </row>
    <row r="626" spans="14:31" x14ac:dyDescent="0.35">
      <c r="N626" s="10"/>
      <c r="P626" s="48"/>
      <c r="Q626" s="17"/>
      <c r="R626" s="17"/>
      <c r="S626" s="17"/>
      <c r="T626" s="17"/>
      <c r="U626" s="17"/>
      <c r="V626" s="17"/>
      <c r="W626" s="31"/>
      <c r="X626" s="17"/>
      <c r="Y626" s="17"/>
      <c r="Z626" s="31"/>
      <c r="AA626" s="17"/>
      <c r="AB626" s="17"/>
      <c r="AC626" s="17"/>
      <c r="AD626" s="32"/>
      <c r="AE626" s="31"/>
    </row>
    <row r="627" spans="14:31" x14ac:dyDescent="0.35">
      <c r="N627" s="10"/>
      <c r="P627" s="48"/>
      <c r="Q627" s="17"/>
      <c r="R627" s="17"/>
      <c r="S627" s="17"/>
      <c r="T627" s="17"/>
      <c r="U627" s="17"/>
      <c r="V627" s="17"/>
      <c r="W627" s="31"/>
      <c r="X627" s="17"/>
      <c r="Y627" s="17"/>
      <c r="Z627" s="31"/>
      <c r="AA627" s="17"/>
      <c r="AB627" s="17"/>
      <c r="AC627" s="17"/>
      <c r="AD627" s="32"/>
      <c r="AE627" s="31"/>
    </row>
    <row r="628" spans="14:31" x14ac:dyDescent="0.35">
      <c r="N628" s="10"/>
      <c r="P628" s="48"/>
      <c r="Q628" s="17"/>
      <c r="R628" s="17"/>
      <c r="S628" s="17"/>
      <c r="T628" s="17"/>
      <c r="U628" s="17"/>
      <c r="V628" s="17"/>
      <c r="W628" s="31"/>
      <c r="X628" s="17"/>
      <c r="Y628" s="17"/>
      <c r="Z628" s="31"/>
      <c r="AA628" s="17"/>
      <c r="AB628" s="17"/>
      <c r="AC628" s="17"/>
      <c r="AD628" s="32"/>
      <c r="AE628" s="31"/>
    </row>
    <row r="629" spans="14:31" x14ac:dyDescent="0.35">
      <c r="N629" s="10"/>
      <c r="P629" s="48"/>
      <c r="Q629" s="17"/>
      <c r="R629" s="17"/>
      <c r="S629" s="17"/>
      <c r="T629" s="17"/>
      <c r="U629" s="17"/>
      <c r="V629" s="17"/>
      <c r="W629" s="31"/>
      <c r="X629" s="17"/>
      <c r="Y629" s="17"/>
      <c r="Z629" s="31"/>
      <c r="AA629" s="17"/>
      <c r="AB629" s="17"/>
      <c r="AC629" s="17"/>
      <c r="AD629" s="32"/>
      <c r="AE629" s="31"/>
    </row>
    <row r="630" spans="14:31" x14ac:dyDescent="0.35">
      <c r="N630" s="10"/>
      <c r="P630" s="48"/>
      <c r="Q630" s="17"/>
      <c r="R630" s="17"/>
      <c r="S630" s="17"/>
      <c r="T630" s="17"/>
      <c r="U630" s="17"/>
      <c r="V630" s="17"/>
      <c r="W630" s="31"/>
      <c r="X630" s="17"/>
      <c r="Y630" s="17"/>
      <c r="Z630" s="31"/>
      <c r="AA630" s="17"/>
      <c r="AB630" s="17"/>
      <c r="AC630" s="17"/>
      <c r="AD630" s="32"/>
      <c r="AE630" s="31"/>
    </row>
    <row r="631" spans="14:31" x14ac:dyDescent="0.35">
      <c r="N631" s="10"/>
      <c r="P631" s="48"/>
      <c r="Q631" s="17"/>
      <c r="R631" s="17"/>
      <c r="S631" s="17"/>
      <c r="T631" s="17"/>
      <c r="U631" s="17"/>
      <c r="V631" s="17"/>
      <c r="W631" s="31"/>
      <c r="X631" s="17"/>
      <c r="Y631" s="17"/>
      <c r="Z631" s="31"/>
      <c r="AA631" s="17"/>
      <c r="AB631" s="17"/>
      <c r="AC631" s="17"/>
      <c r="AD631" s="32"/>
      <c r="AE631" s="31"/>
    </row>
    <row r="632" spans="14:31" x14ac:dyDescent="0.35">
      <c r="N632" s="10"/>
      <c r="P632" s="48"/>
      <c r="Q632" s="17"/>
      <c r="R632" s="17"/>
      <c r="S632" s="17"/>
      <c r="T632" s="17"/>
      <c r="U632" s="17"/>
      <c r="V632" s="17"/>
      <c r="W632" s="31"/>
      <c r="X632" s="17"/>
      <c r="Y632" s="17"/>
      <c r="Z632" s="31"/>
      <c r="AA632" s="17"/>
      <c r="AB632" s="17"/>
      <c r="AC632" s="17"/>
      <c r="AD632" s="32"/>
      <c r="AE632" s="31"/>
    </row>
    <row r="633" spans="14:31" x14ac:dyDescent="0.35">
      <c r="N633" s="10"/>
      <c r="P633" s="48"/>
      <c r="Q633" s="17"/>
      <c r="R633" s="17"/>
      <c r="S633" s="17"/>
      <c r="T633" s="17"/>
      <c r="U633" s="17"/>
      <c r="V633" s="17"/>
      <c r="W633" s="31"/>
      <c r="X633" s="17"/>
      <c r="Y633" s="17"/>
      <c r="Z633" s="31"/>
      <c r="AA633" s="17"/>
      <c r="AB633" s="17"/>
      <c r="AC633" s="17"/>
      <c r="AD633" s="32"/>
      <c r="AE633" s="31"/>
    </row>
    <row r="634" spans="14:31" x14ac:dyDescent="0.35">
      <c r="N634" s="10"/>
      <c r="P634" s="48"/>
      <c r="Q634" s="17"/>
      <c r="R634" s="17"/>
      <c r="S634" s="17"/>
      <c r="T634" s="17"/>
      <c r="U634" s="17"/>
      <c r="V634" s="17"/>
      <c r="W634" s="31"/>
      <c r="X634" s="17"/>
      <c r="Y634" s="17"/>
      <c r="Z634" s="31"/>
      <c r="AA634" s="17"/>
      <c r="AB634" s="17"/>
      <c r="AC634" s="17"/>
      <c r="AD634" s="32"/>
      <c r="AE634" s="31"/>
    </row>
    <row r="635" spans="14:31" x14ac:dyDescent="0.35">
      <c r="N635" s="10"/>
      <c r="P635" s="48"/>
      <c r="Q635" s="17"/>
      <c r="R635" s="17"/>
      <c r="S635" s="17"/>
      <c r="T635" s="17"/>
      <c r="U635" s="17"/>
      <c r="V635" s="17"/>
      <c r="W635" s="31"/>
      <c r="X635" s="17"/>
      <c r="Y635" s="17"/>
      <c r="Z635" s="31"/>
      <c r="AA635" s="17"/>
      <c r="AB635" s="17"/>
      <c r="AC635" s="17"/>
      <c r="AD635" s="32"/>
      <c r="AE635" s="31"/>
    </row>
    <row r="636" spans="14:31" x14ac:dyDescent="0.35">
      <c r="N636" s="10"/>
      <c r="P636" s="48"/>
      <c r="Q636" s="17"/>
      <c r="R636" s="17"/>
      <c r="S636" s="17"/>
      <c r="T636" s="17"/>
      <c r="U636" s="17"/>
      <c r="V636" s="17"/>
      <c r="W636" s="31"/>
      <c r="X636" s="17"/>
      <c r="Y636" s="17"/>
      <c r="Z636" s="31"/>
      <c r="AA636" s="17"/>
      <c r="AB636" s="17"/>
      <c r="AC636" s="17"/>
      <c r="AD636" s="32"/>
      <c r="AE636" s="31"/>
    </row>
    <row r="637" spans="14:31" x14ac:dyDescent="0.35">
      <c r="N637" s="10"/>
      <c r="P637" s="48"/>
      <c r="Q637" s="17"/>
      <c r="R637" s="17"/>
      <c r="S637" s="17"/>
      <c r="T637" s="17"/>
      <c r="U637" s="17"/>
      <c r="V637" s="17"/>
      <c r="W637" s="31"/>
      <c r="X637" s="17"/>
      <c r="Y637" s="17"/>
      <c r="Z637" s="31"/>
      <c r="AA637" s="17"/>
      <c r="AB637" s="17"/>
      <c r="AC637" s="17"/>
      <c r="AD637" s="32"/>
      <c r="AE637" s="31"/>
    </row>
    <row r="638" spans="14:31" x14ac:dyDescent="0.35">
      <c r="N638" s="10"/>
      <c r="P638" s="48"/>
      <c r="Q638" s="17"/>
      <c r="R638" s="17"/>
      <c r="S638" s="17"/>
      <c r="T638" s="17"/>
      <c r="U638" s="17"/>
      <c r="V638" s="17"/>
      <c r="W638" s="31"/>
      <c r="X638" s="17"/>
      <c r="Y638" s="17"/>
      <c r="Z638" s="31"/>
      <c r="AA638" s="17"/>
      <c r="AB638" s="17"/>
      <c r="AC638" s="17"/>
      <c r="AD638" s="32"/>
      <c r="AE638" s="31"/>
    </row>
    <row r="639" spans="14:31" x14ac:dyDescent="0.35">
      <c r="N639" s="10"/>
      <c r="P639" s="48"/>
      <c r="Q639" s="17"/>
      <c r="R639" s="17"/>
      <c r="S639" s="17"/>
      <c r="T639" s="17"/>
      <c r="U639" s="17"/>
      <c r="V639" s="17"/>
      <c r="W639" s="31"/>
      <c r="X639" s="17"/>
      <c r="Y639" s="17"/>
      <c r="Z639" s="31"/>
      <c r="AA639" s="17"/>
      <c r="AB639" s="17"/>
      <c r="AC639" s="17"/>
      <c r="AD639" s="32"/>
      <c r="AE639" s="31"/>
    </row>
    <row r="640" spans="14:31" x14ac:dyDescent="0.35">
      <c r="N640" s="10"/>
      <c r="P640" s="48"/>
      <c r="Q640" s="17"/>
      <c r="R640" s="17"/>
      <c r="S640" s="17"/>
      <c r="T640" s="17"/>
      <c r="U640" s="17"/>
      <c r="V640" s="17"/>
      <c r="W640" s="31"/>
      <c r="X640" s="17"/>
      <c r="Y640" s="17"/>
      <c r="Z640" s="31"/>
      <c r="AA640" s="17"/>
      <c r="AB640" s="17"/>
      <c r="AC640" s="17"/>
      <c r="AD640" s="32"/>
      <c r="AE640" s="31"/>
    </row>
    <row r="641" spans="14:31" x14ac:dyDescent="0.35">
      <c r="N641" s="10"/>
      <c r="P641" s="48"/>
      <c r="Q641" s="17"/>
      <c r="R641" s="17"/>
      <c r="S641" s="17"/>
      <c r="T641" s="17"/>
      <c r="U641" s="17"/>
      <c r="V641" s="17"/>
      <c r="W641" s="31"/>
      <c r="X641" s="17"/>
      <c r="Y641" s="17"/>
      <c r="Z641" s="31"/>
      <c r="AA641" s="17"/>
      <c r="AB641" s="17"/>
      <c r="AC641" s="17"/>
      <c r="AD641" s="32"/>
      <c r="AE641" s="31"/>
    </row>
    <row r="642" spans="14:31" x14ac:dyDescent="0.35">
      <c r="N642" s="10"/>
      <c r="P642" s="48"/>
      <c r="Q642" s="17"/>
      <c r="R642" s="17"/>
      <c r="S642" s="17"/>
      <c r="T642" s="17"/>
      <c r="U642" s="17"/>
      <c r="V642" s="17"/>
      <c r="W642" s="31"/>
      <c r="X642" s="17"/>
      <c r="Y642" s="17"/>
      <c r="Z642" s="31"/>
      <c r="AA642" s="17"/>
      <c r="AB642" s="17"/>
      <c r="AC642" s="17"/>
      <c r="AD642" s="32"/>
      <c r="AE642" s="31"/>
    </row>
    <row r="643" spans="14:31" x14ac:dyDescent="0.35">
      <c r="N643" s="10"/>
      <c r="P643" s="48"/>
      <c r="Q643" s="17"/>
      <c r="R643" s="17"/>
      <c r="S643" s="17"/>
      <c r="T643" s="17"/>
      <c r="U643" s="17"/>
      <c r="V643" s="17"/>
      <c r="W643" s="31"/>
      <c r="X643" s="17"/>
      <c r="Y643" s="17"/>
      <c r="Z643" s="31"/>
      <c r="AA643" s="17"/>
      <c r="AB643" s="17"/>
      <c r="AC643" s="17"/>
      <c r="AD643" s="32"/>
      <c r="AE643" s="31"/>
    </row>
    <row r="644" spans="14:31" x14ac:dyDescent="0.35">
      <c r="N644" s="10"/>
      <c r="P644" s="48"/>
      <c r="Q644" s="17"/>
      <c r="R644" s="17"/>
      <c r="S644" s="17"/>
      <c r="T644" s="17"/>
      <c r="U644" s="17"/>
      <c r="V644" s="17"/>
      <c r="W644" s="31"/>
      <c r="X644" s="17"/>
      <c r="Y644" s="17"/>
      <c r="Z644" s="31"/>
      <c r="AA644" s="17"/>
      <c r="AB644" s="17"/>
      <c r="AC644" s="17"/>
      <c r="AD644" s="32"/>
      <c r="AE644" s="31"/>
    </row>
    <row r="645" spans="14:31" x14ac:dyDescent="0.35">
      <c r="N645" s="10"/>
      <c r="P645" s="48"/>
      <c r="Q645" s="17"/>
      <c r="R645" s="17"/>
      <c r="S645" s="17"/>
      <c r="T645" s="17"/>
      <c r="U645" s="17"/>
      <c r="V645" s="17"/>
      <c r="W645" s="31"/>
      <c r="X645" s="17"/>
      <c r="Y645" s="17"/>
      <c r="Z645" s="31"/>
      <c r="AA645" s="17"/>
      <c r="AB645" s="17"/>
      <c r="AC645" s="17"/>
      <c r="AD645" s="32"/>
      <c r="AE645" s="31"/>
    </row>
    <row r="646" spans="14:31" x14ac:dyDescent="0.35">
      <c r="N646" s="10"/>
      <c r="P646" s="48"/>
      <c r="Q646" s="17"/>
      <c r="R646" s="17"/>
      <c r="S646" s="17"/>
      <c r="T646" s="17"/>
      <c r="U646" s="17"/>
      <c r="V646" s="17"/>
      <c r="W646" s="31"/>
      <c r="X646" s="17"/>
      <c r="Y646" s="17"/>
      <c r="Z646" s="31"/>
      <c r="AA646" s="17"/>
      <c r="AB646" s="17"/>
      <c r="AC646" s="17"/>
      <c r="AD646" s="32"/>
      <c r="AE646" s="31"/>
    </row>
    <row r="647" spans="14:31" x14ac:dyDescent="0.35">
      <c r="N647" s="10"/>
      <c r="P647" s="48"/>
      <c r="Q647" s="17"/>
      <c r="R647" s="17"/>
      <c r="S647" s="17"/>
      <c r="T647" s="17"/>
      <c r="U647" s="17"/>
      <c r="V647" s="17"/>
      <c r="W647" s="31"/>
      <c r="X647" s="17"/>
      <c r="Y647" s="17"/>
      <c r="Z647" s="31"/>
      <c r="AA647" s="17"/>
      <c r="AB647" s="17"/>
      <c r="AC647" s="17"/>
      <c r="AD647" s="32"/>
      <c r="AE647" s="31"/>
    </row>
    <row r="648" spans="14:31" x14ac:dyDescent="0.35">
      <c r="N648" s="10"/>
      <c r="P648" s="48"/>
      <c r="Q648" s="17"/>
      <c r="R648" s="17"/>
      <c r="S648" s="17"/>
      <c r="T648" s="17"/>
      <c r="U648" s="17"/>
      <c r="V648" s="17"/>
      <c r="W648" s="31"/>
      <c r="X648" s="17"/>
      <c r="Y648" s="17"/>
      <c r="Z648" s="31"/>
      <c r="AA648" s="17"/>
      <c r="AB648" s="17"/>
      <c r="AC648" s="17"/>
      <c r="AD648" s="32"/>
      <c r="AE648" s="31"/>
    </row>
    <row r="649" spans="14:31" x14ac:dyDescent="0.35">
      <c r="N649" s="10"/>
      <c r="P649" s="48"/>
      <c r="Q649" s="17"/>
      <c r="R649" s="17"/>
      <c r="S649" s="17"/>
      <c r="T649" s="17"/>
      <c r="U649" s="17"/>
      <c r="V649" s="17"/>
      <c r="W649" s="31"/>
      <c r="X649" s="17"/>
      <c r="Y649" s="17"/>
      <c r="Z649" s="31"/>
      <c r="AA649" s="17"/>
      <c r="AB649" s="17"/>
      <c r="AC649" s="17"/>
      <c r="AD649" s="32"/>
      <c r="AE649" s="31"/>
    </row>
    <row r="650" spans="14:31" x14ac:dyDescent="0.35">
      <c r="N650" s="10"/>
      <c r="P650" s="48"/>
      <c r="Q650" s="17"/>
      <c r="R650" s="17"/>
      <c r="S650" s="17"/>
      <c r="T650" s="17"/>
      <c r="U650" s="17"/>
      <c r="V650" s="17"/>
      <c r="W650" s="31"/>
      <c r="X650" s="17"/>
      <c r="Y650" s="17"/>
      <c r="Z650" s="31"/>
      <c r="AA650" s="17"/>
      <c r="AB650" s="17"/>
      <c r="AC650" s="17"/>
      <c r="AD650" s="32"/>
      <c r="AE650" s="31"/>
    </row>
    <row r="651" spans="14:31" x14ac:dyDescent="0.35">
      <c r="N651" s="10"/>
      <c r="P651" s="48"/>
      <c r="Q651" s="17"/>
      <c r="R651" s="17"/>
      <c r="S651" s="17"/>
      <c r="T651" s="17"/>
      <c r="U651" s="17"/>
      <c r="V651" s="17"/>
      <c r="W651" s="31"/>
      <c r="X651" s="17"/>
      <c r="Y651" s="17"/>
      <c r="Z651" s="31"/>
      <c r="AA651" s="17"/>
      <c r="AB651" s="17"/>
      <c r="AC651" s="17"/>
      <c r="AD651" s="32"/>
      <c r="AE651" s="31"/>
    </row>
    <row r="652" spans="14:31" x14ac:dyDescent="0.35">
      <c r="N652" s="10"/>
      <c r="P652" s="48"/>
      <c r="Q652" s="17"/>
      <c r="R652" s="17"/>
      <c r="S652" s="17"/>
      <c r="T652" s="17"/>
      <c r="U652" s="17"/>
      <c r="V652" s="17"/>
      <c r="W652" s="31"/>
      <c r="X652" s="17"/>
      <c r="Y652" s="17"/>
      <c r="Z652" s="31"/>
      <c r="AA652" s="17"/>
      <c r="AB652" s="17"/>
      <c r="AC652" s="17"/>
      <c r="AD652" s="32"/>
      <c r="AE652" s="31"/>
    </row>
    <row r="653" spans="14:31" x14ac:dyDescent="0.35">
      <c r="N653" s="10"/>
      <c r="P653" s="48"/>
      <c r="Q653" s="17"/>
      <c r="R653" s="17"/>
      <c r="S653" s="17"/>
      <c r="T653" s="17"/>
      <c r="U653" s="17"/>
      <c r="V653" s="17"/>
      <c r="W653" s="31"/>
      <c r="X653" s="17"/>
      <c r="Y653" s="17"/>
      <c r="Z653" s="31"/>
      <c r="AA653" s="17"/>
      <c r="AB653" s="17"/>
      <c r="AC653" s="17"/>
      <c r="AD653" s="32"/>
      <c r="AE653" s="31"/>
    </row>
    <row r="654" spans="14:31" x14ac:dyDescent="0.35">
      <c r="N654" s="10"/>
      <c r="P654" s="48"/>
      <c r="Q654" s="17"/>
      <c r="R654" s="17"/>
      <c r="S654" s="17"/>
      <c r="T654" s="17"/>
      <c r="U654" s="17"/>
      <c r="V654" s="17"/>
      <c r="W654" s="31"/>
      <c r="X654" s="17"/>
      <c r="Y654" s="17"/>
      <c r="Z654" s="31"/>
      <c r="AA654" s="17"/>
      <c r="AB654" s="17"/>
      <c r="AC654" s="17"/>
      <c r="AD654" s="32"/>
      <c r="AE654" s="31"/>
    </row>
    <row r="655" spans="14:31" x14ac:dyDescent="0.35">
      <c r="N655" s="10"/>
      <c r="P655" s="48"/>
      <c r="Q655" s="17"/>
      <c r="R655" s="17"/>
      <c r="S655" s="17"/>
      <c r="T655" s="17"/>
      <c r="U655" s="17"/>
      <c r="V655" s="17"/>
      <c r="W655" s="31"/>
      <c r="X655" s="17"/>
      <c r="Y655" s="17"/>
      <c r="Z655" s="31"/>
      <c r="AA655" s="17"/>
      <c r="AB655" s="17"/>
      <c r="AC655" s="17"/>
      <c r="AD655" s="32"/>
      <c r="AE655" s="31"/>
    </row>
    <row r="656" spans="14:31" x14ac:dyDescent="0.35">
      <c r="N656" s="10"/>
      <c r="P656" s="48"/>
      <c r="Q656" s="17"/>
      <c r="R656" s="17"/>
      <c r="S656" s="17"/>
      <c r="T656" s="17"/>
      <c r="U656" s="17"/>
      <c r="V656" s="17"/>
      <c r="W656" s="31"/>
      <c r="X656" s="17"/>
      <c r="Y656" s="17"/>
      <c r="Z656" s="31"/>
      <c r="AA656" s="17"/>
      <c r="AB656" s="17"/>
      <c r="AC656" s="17"/>
      <c r="AD656" s="32"/>
      <c r="AE656" s="31"/>
    </row>
    <row r="657" spans="14:31" x14ac:dyDescent="0.35">
      <c r="N657" s="10"/>
      <c r="P657" s="48"/>
      <c r="Q657" s="17"/>
      <c r="R657" s="17"/>
      <c r="S657" s="17"/>
      <c r="T657" s="17"/>
      <c r="U657" s="17"/>
      <c r="V657" s="17"/>
      <c r="W657" s="31"/>
      <c r="X657" s="17"/>
      <c r="Y657" s="17"/>
      <c r="Z657" s="31"/>
      <c r="AA657" s="17"/>
      <c r="AB657" s="17"/>
      <c r="AC657" s="17"/>
      <c r="AD657" s="32"/>
      <c r="AE657" s="31"/>
    </row>
    <row r="658" spans="14:31" x14ac:dyDescent="0.35">
      <c r="N658" s="10"/>
      <c r="P658" s="48"/>
      <c r="Q658" s="17"/>
      <c r="R658" s="17"/>
      <c r="S658" s="17"/>
      <c r="T658" s="17"/>
      <c r="U658" s="17"/>
      <c r="V658" s="17"/>
      <c r="W658" s="31"/>
      <c r="X658" s="17"/>
      <c r="Y658" s="17"/>
      <c r="Z658" s="31"/>
      <c r="AA658" s="17"/>
      <c r="AB658" s="17"/>
      <c r="AC658" s="17"/>
      <c r="AD658" s="32"/>
      <c r="AE658" s="31"/>
    </row>
    <row r="659" spans="14:31" x14ac:dyDescent="0.35">
      <c r="N659" s="10"/>
      <c r="P659" s="48"/>
      <c r="Q659" s="17"/>
      <c r="R659" s="17"/>
      <c r="S659" s="17"/>
      <c r="T659" s="17"/>
      <c r="U659" s="17"/>
      <c r="V659" s="17"/>
      <c r="W659" s="31"/>
      <c r="X659" s="17"/>
      <c r="Y659" s="17"/>
      <c r="Z659" s="31"/>
      <c r="AA659" s="17"/>
      <c r="AB659" s="17"/>
      <c r="AC659" s="17"/>
      <c r="AD659" s="32"/>
      <c r="AE659" s="31"/>
    </row>
    <row r="660" spans="14:31" x14ac:dyDescent="0.35">
      <c r="N660" s="10"/>
      <c r="P660" s="48"/>
      <c r="Q660" s="17"/>
      <c r="R660" s="17"/>
      <c r="S660" s="17"/>
      <c r="T660" s="17"/>
      <c r="U660" s="17"/>
      <c r="V660" s="17"/>
      <c r="W660" s="31"/>
      <c r="X660" s="17"/>
      <c r="Y660" s="17"/>
      <c r="Z660" s="31"/>
      <c r="AA660" s="17"/>
      <c r="AB660" s="17"/>
      <c r="AC660" s="17"/>
      <c r="AD660" s="32"/>
      <c r="AE660" s="31"/>
    </row>
    <row r="661" spans="14:31" x14ac:dyDescent="0.35">
      <c r="N661" s="10"/>
      <c r="P661" s="48"/>
      <c r="Q661" s="17"/>
      <c r="R661" s="17"/>
      <c r="S661" s="17"/>
      <c r="T661" s="17"/>
      <c r="U661" s="17"/>
      <c r="V661" s="17"/>
      <c r="W661" s="31"/>
      <c r="X661" s="17"/>
      <c r="Y661" s="17"/>
      <c r="Z661" s="31"/>
      <c r="AA661" s="17"/>
      <c r="AB661" s="17"/>
      <c r="AC661" s="17"/>
      <c r="AD661" s="32"/>
      <c r="AE661" s="31"/>
    </row>
    <row r="662" spans="14:31" x14ac:dyDescent="0.35">
      <c r="N662" s="10"/>
      <c r="P662" s="48"/>
      <c r="Q662" s="17"/>
      <c r="R662" s="17"/>
      <c r="S662" s="17"/>
      <c r="T662" s="17"/>
      <c r="U662" s="17"/>
      <c r="V662" s="17"/>
      <c r="W662" s="31"/>
      <c r="X662" s="17"/>
      <c r="Y662" s="17"/>
      <c r="Z662" s="31"/>
      <c r="AA662" s="17"/>
      <c r="AB662" s="17"/>
      <c r="AC662" s="17"/>
      <c r="AD662" s="32"/>
      <c r="AE662" s="31"/>
    </row>
    <row r="663" spans="14:31" x14ac:dyDescent="0.35">
      <c r="N663" s="10"/>
      <c r="P663" s="48"/>
      <c r="Q663" s="17"/>
      <c r="R663" s="17"/>
      <c r="S663" s="17"/>
      <c r="T663" s="17"/>
      <c r="U663" s="17"/>
      <c r="V663" s="17"/>
      <c r="W663" s="31"/>
      <c r="X663" s="17"/>
      <c r="Y663" s="17"/>
      <c r="Z663" s="31"/>
      <c r="AA663" s="17"/>
      <c r="AB663" s="17"/>
      <c r="AC663" s="17"/>
      <c r="AD663" s="32"/>
      <c r="AE663" s="31"/>
    </row>
    <row r="664" spans="14:31" x14ac:dyDescent="0.35">
      <c r="N664" s="10"/>
      <c r="P664" s="48"/>
      <c r="Q664" s="17"/>
      <c r="R664" s="17"/>
      <c r="S664" s="17"/>
      <c r="T664" s="17"/>
      <c r="U664" s="17"/>
      <c r="V664" s="17"/>
      <c r="W664" s="31"/>
      <c r="X664" s="17"/>
      <c r="Y664" s="17"/>
      <c r="Z664" s="31"/>
      <c r="AA664" s="17"/>
      <c r="AB664" s="17"/>
      <c r="AC664" s="17"/>
      <c r="AD664" s="32"/>
      <c r="AE664" s="31"/>
    </row>
    <row r="665" spans="14:31" x14ac:dyDescent="0.35">
      <c r="N665" s="10"/>
      <c r="P665" s="48"/>
      <c r="Q665" s="17"/>
      <c r="R665" s="17"/>
      <c r="S665" s="17"/>
      <c r="T665" s="17"/>
      <c r="U665" s="17"/>
      <c r="V665" s="17"/>
      <c r="W665" s="31"/>
      <c r="X665" s="17"/>
      <c r="Y665" s="17"/>
      <c r="Z665" s="31"/>
      <c r="AA665" s="17"/>
      <c r="AB665" s="17"/>
      <c r="AC665" s="17"/>
      <c r="AD665" s="32"/>
      <c r="AE665" s="31"/>
    </row>
    <row r="666" spans="14:31" x14ac:dyDescent="0.35">
      <c r="N666" s="10"/>
      <c r="P666" s="48"/>
      <c r="Q666" s="17"/>
      <c r="R666" s="17"/>
      <c r="S666" s="17"/>
      <c r="T666" s="17"/>
      <c r="U666" s="17"/>
      <c r="V666" s="17"/>
      <c r="W666" s="31"/>
      <c r="X666" s="17"/>
      <c r="Y666" s="17"/>
      <c r="Z666" s="31"/>
      <c r="AA666" s="17"/>
      <c r="AB666" s="17"/>
      <c r="AC666" s="17"/>
      <c r="AD666" s="32"/>
      <c r="AE666" s="31"/>
    </row>
    <row r="667" spans="14:31" x14ac:dyDescent="0.35">
      <c r="N667" s="10"/>
      <c r="P667" s="48"/>
      <c r="Q667" s="17"/>
      <c r="R667" s="17"/>
      <c r="S667" s="17"/>
      <c r="T667" s="17"/>
      <c r="U667" s="17"/>
      <c r="V667" s="17"/>
      <c r="W667" s="31"/>
      <c r="X667" s="17"/>
      <c r="Y667" s="17"/>
      <c r="Z667" s="31"/>
      <c r="AA667" s="17"/>
      <c r="AB667" s="17"/>
      <c r="AC667" s="17"/>
      <c r="AD667" s="32"/>
      <c r="AE667" s="31"/>
    </row>
    <row r="668" spans="14:31" x14ac:dyDescent="0.35">
      <c r="N668" s="10"/>
      <c r="P668" s="48"/>
      <c r="Q668" s="17"/>
      <c r="R668" s="17"/>
      <c r="S668" s="17"/>
      <c r="T668" s="17"/>
      <c r="U668" s="17"/>
      <c r="V668" s="17"/>
      <c r="W668" s="31"/>
      <c r="X668" s="17"/>
      <c r="Y668" s="17"/>
      <c r="Z668" s="31"/>
      <c r="AA668" s="17"/>
      <c r="AB668" s="17"/>
      <c r="AC668" s="17"/>
      <c r="AD668" s="32"/>
      <c r="AE668" s="31"/>
    </row>
    <row r="669" spans="14:31" x14ac:dyDescent="0.35">
      <c r="N669" s="10"/>
      <c r="P669" s="48"/>
      <c r="Q669" s="17"/>
      <c r="R669" s="17"/>
      <c r="S669" s="17"/>
      <c r="T669" s="17"/>
      <c r="U669" s="17"/>
      <c r="V669" s="17"/>
      <c r="W669" s="31"/>
      <c r="X669" s="17"/>
      <c r="Y669" s="17"/>
      <c r="Z669" s="31"/>
      <c r="AA669" s="17"/>
      <c r="AB669" s="17"/>
      <c r="AC669" s="17"/>
      <c r="AD669" s="32"/>
      <c r="AE669" s="31"/>
    </row>
    <row r="670" spans="14:31" x14ac:dyDescent="0.35">
      <c r="N670" s="10"/>
      <c r="P670" s="48"/>
      <c r="Q670" s="17"/>
      <c r="R670" s="17"/>
      <c r="S670" s="17"/>
      <c r="T670" s="17"/>
      <c r="U670" s="17"/>
      <c r="V670" s="17"/>
      <c r="W670" s="31"/>
      <c r="X670" s="17"/>
      <c r="Y670" s="17"/>
      <c r="Z670" s="31"/>
      <c r="AA670" s="17"/>
      <c r="AB670" s="17"/>
      <c r="AC670" s="17"/>
      <c r="AD670" s="32"/>
      <c r="AE670" s="31"/>
    </row>
    <row r="671" spans="14:31" x14ac:dyDescent="0.35">
      <c r="N671" s="10"/>
      <c r="P671" s="48"/>
      <c r="Q671" s="17"/>
      <c r="R671" s="17"/>
      <c r="S671" s="17"/>
      <c r="T671" s="17"/>
      <c r="U671" s="17"/>
      <c r="V671" s="17"/>
      <c r="W671" s="31"/>
      <c r="X671" s="17"/>
      <c r="Y671" s="17"/>
      <c r="Z671" s="31"/>
      <c r="AA671" s="17"/>
      <c r="AB671" s="17"/>
      <c r="AC671" s="17"/>
      <c r="AD671" s="32"/>
      <c r="AE671" s="31"/>
    </row>
    <row r="672" spans="14:31" x14ac:dyDescent="0.35">
      <c r="N672" s="10"/>
      <c r="P672" s="48"/>
      <c r="Q672" s="17"/>
      <c r="R672" s="17"/>
      <c r="S672" s="17"/>
      <c r="T672" s="17"/>
      <c r="U672" s="17"/>
      <c r="V672" s="17"/>
      <c r="W672" s="31"/>
      <c r="X672" s="17"/>
      <c r="Y672" s="17"/>
      <c r="Z672" s="31"/>
      <c r="AA672" s="17"/>
      <c r="AB672" s="17"/>
      <c r="AC672" s="17"/>
      <c r="AD672" s="32"/>
      <c r="AE672" s="31"/>
    </row>
    <row r="673" spans="14:31" x14ac:dyDescent="0.35">
      <c r="N673" s="10"/>
      <c r="P673" s="48"/>
      <c r="Q673" s="17"/>
      <c r="R673" s="17"/>
      <c r="S673" s="17"/>
      <c r="T673" s="17"/>
      <c r="U673" s="17"/>
      <c r="V673" s="17"/>
      <c r="W673" s="31"/>
      <c r="X673" s="17"/>
      <c r="Y673" s="17"/>
      <c r="Z673" s="31"/>
      <c r="AA673" s="17"/>
      <c r="AB673" s="17"/>
      <c r="AC673" s="17"/>
      <c r="AD673" s="32"/>
      <c r="AE673" s="31"/>
    </row>
    <row r="674" spans="14:31" x14ac:dyDescent="0.35">
      <c r="N674" s="10"/>
      <c r="P674" s="48"/>
      <c r="Q674" s="17"/>
      <c r="R674" s="17"/>
      <c r="S674" s="17"/>
      <c r="T674" s="17"/>
      <c r="U674" s="17"/>
      <c r="V674" s="17"/>
      <c r="W674" s="31"/>
      <c r="X674" s="17"/>
      <c r="Y674" s="17"/>
      <c r="Z674" s="31"/>
      <c r="AA674" s="17"/>
      <c r="AB674" s="17"/>
      <c r="AC674" s="17"/>
      <c r="AD674" s="32"/>
      <c r="AE674" s="31"/>
    </row>
    <row r="675" spans="14:31" x14ac:dyDescent="0.35">
      <c r="N675" s="10"/>
      <c r="P675" s="48"/>
      <c r="Q675" s="17"/>
      <c r="R675" s="17"/>
      <c r="S675" s="17"/>
      <c r="T675" s="17"/>
      <c r="U675" s="17"/>
      <c r="V675" s="17"/>
      <c r="W675" s="31"/>
      <c r="X675" s="17"/>
      <c r="Y675" s="17"/>
      <c r="Z675" s="31"/>
      <c r="AA675" s="17"/>
      <c r="AB675" s="17"/>
      <c r="AC675" s="17"/>
      <c r="AD675" s="32"/>
      <c r="AE675" s="31"/>
    </row>
    <row r="676" spans="14:31" x14ac:dyDescent="0.35">
      <c r="N676" s="10"/>
      <c r="P676" s="48"/>
      <c r="Q676" s="17"/>
      <c r="R676" s="17"/>
      <c r="S676" s="17"/>
      <c r="T676" s="17"/>
      <c r="U676" s="17"/>
      <c r="V676" s="17"/>
      <c r="W676" s="31"/>
      <c r="X676" s="17"/>
      <c r="Y676" s="17"/>
      <c r="Z676" s="31"/>
      <c r="AA676" s="17"/>
      <c r="AB676" s="17"/>
      <c r="AC676" s="17"/>
      <c r="AD676" s="32"/>
      <c r="AE676" s="31"/>
    </row>
    <row r="677" spans="14:31" x14ac:dyDescent="0.35">
      <c r="N677" s="10"/>
      <c r="P677" s="48"/>
      <c r="Q677" s="17"/>
      <c r="R677" s="17"/>
      <c r="S677" s="17"/>
      <c r="T677" s="17"/>
      <c r="U677" s="17"/>
      <c r="V677" s="17"/>
      <c r="W677" s="31"/>
      <c r="X677" s="17"/>
      <c r="Y677" s="17"/>
      <c r="Z677" s="31"/>
      <c r="AA677" s="17"/>
      <c r="AB677" s="17"/>
      <c r="AC677" s="17"/>
      <c r="AD677" s="32"/>
      <c r="AE677" s="31"/>
    </row>
    <row r="678" spans="14:31" x14ac:dyDescent="0.35">
      <c r="N678" s="10"/>
      <c r="P678" s="48"/>
      <c r="Q678" s="17"/>
      <c r="R678" s="17"/>
      <c r="S678" s="17"/>
      <c r="T678" s="17"/>
      <c r="U678" s="17"/>
      <c r="V678" s="17"/>
      <c r="W678" s="31"/>
      <c r="X678" s="17"/>
      <c r="Y678" s="17"/>
      <c r="Z678" s="31"/>
      <c r="AA678" s="17"/>
      <c r="AB678" s="17"/>
      <c r="AC678" s="17"/>
      <c r="AD678" s="32"/>
      <c r="AE678" s="31"/>
    </row>
    <row r="679" spans="14:31" x14ac:dyDescent="0.35">
      <c r="N679" s="10"/>
      <c r="P679" s="48"/>
      <c r="Q679" s="17"/>
      <c r="R679" s="17"/>
      <c r="S679" s="17"/>
      <c r="T679" s="17"/>
      <c r="U679" s="17"/>
      <c r="V679" s="17"/>
      <c r="W679" s="31"/>
      <c r="X679" s="17"/>
      <c r="Y679" s="17"/>
      <c r="Z679" s="31"/>
      <c r="AA679" s="17"/>
      <c r="AB679" s="17"/>
      <c r="AC679" s="17"/>
      <c r="AD679" s="32"/>
      <c r="AE679" s="31"/>
    </row>
    <row r="680" spans="14:31" x14ac:dyDescent="0.35">
      <c r="N680" s="10"/>
      <c r="P680" s="48"/>
      <c r="Q680" s="17"/>
      <c r="R680" s="17"/>
      <c r="S680" s="17"/>
      <c r="T680" s="17"/>
      <c r="U680" s="17"/>
      <c r="V680" s="17"/>
      <c r="W680" s="31"/>
      <c r="X680" s="17"/>
      <c r="Y680" s="17"/>
      <c r="Z680" s="31"/>
      <c r="AA680" s="17"/>
      <c r="AB680" s="17"/>
      <c r="AC680" s="17"/>
      <c r="AD680" s="32"/>
      <c r="AE680" s="31"/>
    </row>
    <row r="681" spans="14:31" x14ac:dyDescent="0.35">
      <c r="N681" s="10"/>
      <c r="P681" s="48"/>
      <c r="Q681" s="17"/>
      <c r="R681" s="17"/>
      <c r="S681" s="17"/>
      <c r="T681" s="17"/>
      <c r="U681" s="17"/>
      <c r="V681" s="17"/>
      <c r="W681" s="31"/>
      <c r="X681" s="17"/>
      <c r="Y681" s="17"/>
      <c r="Z681" s="31"/>
      <c r="AA681" s="17"/>
      <c r="AB681" s="17"/>
      <c r="AC681" s="17"/>
      <c r="AD681" s="32"/>
      <c r="AE681" s="31"/>
    </row>
    <row r="682" spans="14:31" x14ac:dyDescent="0.35">
      <c r="N682" s="10"/>
      <c r="P682" s="48"/>
      <c r="Q682" s="17"/>
      <c r="R682" s="17"/>
      <c r="S682" s="17"/>
      <c r="T682" s="17"/>
      <c r="U682" s="17"/>
      <c r="V682" s="17"/>
      <c r="W682" s="31"/>
      <c r="X682" s="17"/>
      <c r="Y682" s="17"/>
      <c r="Z682" s="31"/>
      <c r="AA682" s="17"/>
      <c r="AB682" s="17"/>
      <c r="AC682" s="17"/>
      <c r="AD682" s="32"/>
      <c r="AE682" s="31"/>
    </row>
    <row r="683" spans="14:31" x14ac:dyDescent="0.35">
      <c r="N683" s="10"/>
      <c r="P683" s="48"/>
      <c r="Q683" s="17"/>
      <c r="R683" s="17"/>
      <c r="S683" s="17"/>
      <c r="T683" s="17"/>
      <c r="U683" s="17"/>
      <c r="V683" s="17"/>
      <c r="W683" s="31"/>
      <c r="X683" s="17"/>
      <c r="Y683" s="17"/>
      <c r="Z683" s="31"/>
      <c r="AA683" s="17"/>
      <c r="AB683" s="17"/>
      <c r="AC683" s="17"/>
      <c r="AD683" s="32"/>
      <c r="AE683" s="31"/>
    </row>
    <row r="684" spans="14:31" x14ac:dyDescent="0.35">
      <c r="N684" s="10"/>
      <c r="P684" s="48"/>
      <c r="Q684" s="17"/>
      <c r="R684" s="17"/>
      <c r="S684" s="17"/>
      <c r="T684" s="17"/>
      <c r="U684" s="17"/>
      <c r="V684" s="17"/>
      <c r="W684" s="31"/>
      <c r="X684" s="17"/>
      <c r="Y684" s="17"/>
      <c r="Z684" s="31"/>
      <c r="AA684" s="17"/>
      <c r="AB684" s="17"/>
      <c r="AC684" s="17"/>
      <c r="AD684" s="32"/>
      <c r="AE684" s="31"/>
    </row>
    <row r="685" spans="14:31" x14ac:dyDescent="0.35">
      <c r="N685" s="10"/>
      <c r="P685" s="48"/>
      <c r="Q685" s="17"/>
      <c r="R685" s="17"/>
      <c r="S685" s="17"/>
      <c r="T685" s="17"/>
      <c r="U685" s="17"/>
      <c r="V685" s="17"/>
      <c r="W685" s="31"/>
      <c r="X685" s="17"/>
      <c r="Y685" s="17"/>
      <c r="Z685" s="31"/>
      <c r="AA685" s="17"/>
      <c r="AB685" s="17"/>
      <c r="AC685" s="17"/>
      <c r="AD685" s="32"/>
      <c r="AE685" s="31"/>
    </row>
    <row r="686" spans="14:31" x14ac:dyDescent="0.35">
      <c r="N686" s="10"/>
      <c r="P686" s="48"/>
      <c r="Q686" s="17"/>
      <c r="R686" s="17"/>
      <c r="S686" s="17"/>
      <c r="T686" s="17"/>
      <c r="U686" s="17"/>
      <c r="V686" s="17"/>
      <c r="W686" s="31"/>
      <c r="X686" s="17"/>
      <c r="Y686" s="17"/>
      <c r="Z686" s="31"/>
      <c r="AA686" s="17"/>
      <c r="AB686" s="17"/>
      <c r="AC686" s="17"/>
      <c r="AD686" s="32"/>
      <c r="AE686" s="31"/>
    </row>
    <row r="687" spans="14:31" x14ac:dyDescent="0.35">
      <c r="N687" s="10"/>
      <c r="P687" s="48"/>
      <c r="Q687" s="17"/>
      <c r="R687" s="17"/>
      <c r="S687" s="17"/>
      <c r="T687" s="17"/>
      <c r="U687" s="17"/>
      <c r="V687" s="17"/>
      <c r="W687" s="31"/>
      <c r="X687" s="17"/>
      <c r="Y687" s="17"/>
      <c r="Z687" s="31"/>
      <c r="AA687" s="17"/>
      <c r="AB687" s="17"/>
      <c r="AC687" s="17"/>
      <c r="AD687" s="32"/>
      <c r="AE687" s="31"/>
    </row>
    <row r="688" spans="14:31" x14ac:dyDescent="0.35">
      <c r="N688" s="10"/>
      <c r="P688" s="48"/>
      <c r="Q688" s="17"/>
      <c r="R688" s="17"/>
      <c r="S688" s="17"/>
      <c r="T688" s="17"/>
      <c r="U688" s="17"/>
      <c r="V688" s="17"/>
      <c r="W688" s="31"/>
      <c r="X688" s="17"/>
      <c r="Y688" s="17"/>
      <c r="Z688" s="31"/>
      <c r="AA688" s="17"/>
      <c r="AB688" s="17"/>
      <c r="AC688" s="17"/>
      <c r="AD688" s="32"/>
      <c r="AE688" s="31"/>
    </row>
    <row r="689" spans="14:31" x14ac:dyDescent="0.35">
      <c r="N689" s="10"/>
      <c r="P689" s="48"/>
      <c r="Q689" s="17"/>
      <c r="R689" s="17"/>
      <c r="S689" s="17"/>
      <c r="T689" s="17"/>
      <c r="U689" s="17"/>
      <c r="V689" s="17"/>
      <c r="W689" s="31"/>
      <c r="X689" s="17"/>
      <c r="Y689" s="17"/>
      <c r="Z689" s="31"/>
      <c r="AA689" s="17"/>
      <c r="AB689" s="17"/>
      <c r="AC689" s="17"/>
      <c r="AD689" s="32"/>
      <c r="AE689" s="31"/>
    </row>
    <row r="690" spans="14:31" x14ac:dyDescent="0.35">
      <c r="N690" s="10"/>
      <c r="P690" s="48"/>
      <c r="Q690" s="17"/>
      <c r="R690" s="17"/>
      <c r="S690" s="17"/>
      <c r="T690" s="17"/>
      <c r="U690" s="17"/>
      <c r="V690" s="17"/>
      <c r="W690" s="31"/>
      <c r="X690" s="17"/>
      <c r="Y690" s="17"/>
      <c r="Z690" s="31"/>
      <c r="AA690" s="17"/>
      <c r="AB690" s="17"/>
      <c r="AC690" s="17"/>
      <c r="AD690" s="32"/>
      <c r="AE690" s="31"/>
    </row>
    <row r="691" spans="14:31" x14ac:dyDescent="0.35">
      <c r="N691" s="10"/>
      <c r="P691" s="48"/>
      <c r="Q691" s="17"/>
      <c r="R691" s="17"/>
      <c r="S691" s="17"/>
      <c r="T691" s="17"/>
      <c r="U691" s="17"/>
      <c r="V691" s="17"/>
      <c r="W691" s="31"/>
      <c r="X691" s="17"/>
      <c r="Y691" s="17"/>
      <c r="Z691" s="31"/>
      <c r="AA691" s="17"/>
      <c r="AB691" s="17"/>
      <c r="AC691" s="17"/>
      <c r="AD691" s="32"/>
      <c r="AE691" s="31"/>
    </row>
    <row r="692" spans="14:31" x14ac:dyDescent="0.35">
      <c r="N692" s="10"/>
      <c r="P692" s="48"/>
      <c r="Q692" s="17"/>
      <c r="R692" s="17"/>
      <c r="S692" s="17"/>
      <c r="T692" s="17"/>
      <c r="U692" s="17"/>
      <c r="V692" s="17"/>
      <c r="W692" s="31"/>
      <c r="X692" s="17"/>
      <c r="Y692" s="17"/>
      <c r="Z692" s="31"/>
      <c r="AA692" s="17"/>
      <c r="AB692" s="17"/>
      <c r="AC692" s="17"/>
      <c r="AD692" s="32"/>
      <c r="AE692" s="31"/>
    </row>
    <row r="693" spans="14:31" x14ac:dyDescent="0.35">
      <c r="N693" s="10"/>
      <c r="P693" s="48"/>
      <c r="Q693" s="17"/>
      <c r="R693" s="17"/>
      <c r="S693" s="17"/>
      <c r="T693" s="17"/>
      <c r="U693" s="17"/>
      <c r="V693" s="17"/>
      <c r="W693" s="31"/>
      <c r="X693" s="17"/>
      <c r="Y693" s="17"/>
      <c r="Z693" s="31"/>
      <c r="AA693" s="17"/>
      <c r="AB693" s="17"/>
      <c r="AC693" s="17"/>
      <c r="AD693" s="32"/>
      <c r="AE693" s="31"/>
    </row>
    <row r="694" spans="14:31" x14ac:dyDescent="0.35">
      <c r="N694" s="10"/>
      <c r="P694" s="48"/>
      <c r="Q694" s="17"/>
      <c r="R694" s="17"/>
      <c r="S694" s="17"/>
      <c r="T694" s="17"/>
      <c r="U694" s="17"/>
      <c r="V694" s="17"/>
      <c r="W694" s="31"/>
      <c r="X694" s="17"/>
      <c r="Y694" s="17"/>
      <c r="Z694" s="31"/>
      <c r="AA694" s="17"/>
      <c r="AB694" s="17"/>
      <c r="AC694" s="17"/>
      <c r="AD694" s="32"/>
      <c r="AE694" s="31"/>
    </row>
    <row r="695" spans="14:31" x14ac:dyDescent="0.35">
      <c r="N695" s="10"/>
      <c r="P695" s="48"/>
      <c r="Q695" s="17"/>
      <c r="R695" s="17"/>
      <c r="S695" s="17"/>
      <c r="T695" s="17"/>
      <c r="U695" s="17"/>
      <c r="V695" s="17"/>
      <c r="W695" s="31"/>
      <c r="X695" s="17"/>
      <c r="Y695" s="17"/>
      <c r="Z695" s="31"/>
      <c r="AA695" s="17"/>
      <c r="AB695" s="17"/>
      <c r="AC695" s="17"/>
      <c r="AD695" s="32"/>
      <c r="AE695" s="31"/>
    </row>
    <row r="696" spans="14:31" x14ac:dyDescent="0.35">
      <c r="N696" s="10"/>
      <c r="P696" s="48"/>
      <c r="Q696" s="17"/>
      <c r="R696" s="17"/>
      <c r="S696" s="17"/>
      <c r="T696" s="17"/>
      <c r="U696" s="17"/>
      <c r="V696" s="17"/>
      <c r="W696" s="31"/>
      <c r="X696" s="17"/>
      <c r="Y696" s="17"/>
      <c r="Z696" s="31"/>
      <c r="AA696" s="17"/>
      <c r="AB696" s="17"/>
      <c r="AC696" s="17"/>
      <c r="AD696" s="32"/>
      <c r="AE696" s="31"/>
    </row>
    <row r="697" spans="14:31" x14ac:dyDescent="0.35">
      <c r="N697" s="10"/>
      <c r="P697" s="48"/>
      <c r="Q697" s="17"/>
      <c r="R697" s="17"/>
      <c r="S697" s="17"/>
      <c r="T697" s="17"/>
      <c r="U697" s="17"/>
      <c r="V697" s="17"/>
      <c r="W697" s="31"/>
      <c r="X697" s="17"/>
      <c r="Y697" s="17"/>
      <c r="Z697" s="31"/>
      <c r="AA697" s="17"/>
      <c r="AB697" s="17"/>
      <c r="AC697" s="17"/>
      <c r="AD697" s="32"/>
      <c r="AE697" s="31"/>
    </row>
    <row r="698" spans="14:31" x14ac:dyDescent="0.35">
      <c r="N698" s="10"/>
      <c r="P698" s="48"/>
      <c r="Q698" s="17"/>
      <c r="R698" s="17"/>
      <c r="S698" s="17"/>
      <c r="T698" s="17"/>
      <c r="U698" s="17"/>
      <c r="V698" s="17"/>
      <c r="W698" s="31"/>
      <c r="X698" s="17"/>
      <c r="Y698" s="17"/>
      <c r="Z698" s="31"/>
      <c r="AA698" s="17"/>
      <c r="AB698" s="17"/>
      <c r="AC698" s="17"/>
      <c r="AD698" s="32"/>
      <c r="AE698" s="31"/>
    </row>
    <row r="699" spans="14:31" x14ac:dyDescent="0.35">
      <c r="N699" s="10"/>
      <c r="P699" s="48"/>
      <c r="Q699" s="17"/>
      <c r="R699" s="17"/>
      <c r="S699" s="17"/>
      <c r="T699" s="17"/>
      <c r="U699" s="17"/>
      <c r="V699" s="17"/>
      <c r="W699" s="31"/>
      <c r="X699" s="17"/>
      <c r="Y699" s="17"/>
      <c r="Z699" s="31"/>
      <c r="AA699" s="17"/>
      <c r="AB699" s="17"/>
      <c r="AC699" s="17"/>
      <c r="AD699" s="32"/>
      <c r="AE699" s="31"/>
    </row>
    <row r="700" spans="14:31" x14ac:dyDescent="0.35">
      <c r="N700" s="10"/>
      <c r="P700" s="48"/>
      <c r="Q700" s="17"/>
      <c r="R700" s="17"/>
      <c r="S700" s="17"/>
      <c r="T700" s="17"/>
      <c r="U700" s="17"/>
      <c r="V700" s="17"/>
      <c r="W700" s="31"/>
      <c r="X700" s="17"/>
      <c r="Y700" s="17"/>
      <c r="Z700" s="31"/>
      <c r="AA700" s="17"/>
      <c r="AB700" s="17"/>
      <c r="AC700" s="17"/>
      <c r="AD700" s="32"/>
      <c r="AE700" s="31"/>
    </row>
    <row r="701" spans="14:31" x14ac:dyDescent="0.35">
      <c r="N701" s="10"/>
      <c r="P701" s="48"/>
      <c r="Q701" s="17"/>
      <c r="R701" s="17"/>
      <c r="S701" s="17"/>
      <c r="T701" s="17"/>
      <c r="U701" s="17"/>
      <c r="V701" s="17"/>
      <c r="W701" s="31"/>
      <c r="X701" s="17"/>
      <c r="Y701" s="17"/>
      <c r="Z701" s="31"/>
      <c r="AA701" s="17"/>
      <c r="AB701" s="17"/>
      <c r="AC701" s="17"/>
      <c r="AD701" s="32"/>
      <c r="AE701" s="31"/>
    </row>
    <row r="702" spans="14:31" x14ac:dyDescent="0.35">
      <c r="N702" s="10"/>
      <c r="P702" s="48"/>
      <c r="Q702" s="17"/>
      <c r="R702" s="17"/>
      <c r="S702" s="17"/>
      <c r="T702" s="17"/>
      <c r="U702" s="17"/>
      <c r="V702" s="17"/>
      <c r="W702" s="31"/>
      <c r="X702" s="17"/>
      <c r="Y702" s="17"/>
      <c r="Z702" s="31"/>
      <c r="AA702" s="17"/>
      <c r="AB702" s="17"/>
      <c r="AC702" s="17"/>
      <c r="AD702" s="32"/>
      <c r="AE702" s="31"/>
    </row>
    <row r="703" spans="14:31" x14ac:dyDescent="0.35">
      <c r="N703" s="10"/>
      <c r="P703" s="48"/>
      <c r="Q703" s="17"/>
      <c r="R703" s="17"/>
      <c r="S703" s="17"/>
      <c r="T703" s="17"/>
      <c r="U703" s="17"/>
      <c r="V703" s="17"/>
      <c r="W703" s="31"/>
      <c r="X703" s="17"/>
      <c r="Y703" s="17"/>
      <c r="Z703" s="31"/>
      <c r="AA703" s="17"/>
      <c r="AB703" s="17"/>
      <c r="AC703" s="17"/>
      <c r="AD703" s="32"/>
      <c r="AE703" s="31"/>
    </row>
    <row r="704" spans="14:31" x14ac:dyDescent="0.35">
      <c r="N704" s="10"/>
      <c r="P704" s="48"/>
      <c r="Q704" s="17"/>
      <c r="R704" s="17"/>
      <c r="S704" s="17"/>
      <c r="T704" s="17"/>
      <c r="U704" s="17"/>
      <c r="V704" s="17"/>
      <c r="W704" s="31"/>
      <c r="X704" s="17"/>
      <c r="Y704" s="17"/>
      <c r="Z704" s="31"/>
      <c r="AA704" s="17"/>
      <c r="AB704" s="17"/>
      <c r="AC704" s="17"/>
      <c r="AD704" s="32"/>
      <c r="AE704" s="31"/>
    </row>
    <row r="705" spans="14:31" x14ac:dyDescent="0.35">
      <c r="N705" s="10"/>
      <c r="P705" s="48"/>
      <c r="Q705" s="17"/>
      <c r="R705" s="17"/>
      <c r="S705" s="17"/>
      <c r="T705" s="17"/>
      <c r="U705" s="17"/>
      <c r="V705" s="17"/>
      <c r="W705" s="31"/>
      <c r="X705" s="17"/>
      <c r="Y705" s="17"/>
      <c r="Z705" s="31"/>
      <c r="AA705" s="17"/>
      <c r="AB705" s="17"/>
      <c r="AC705" s="17"/>
      <c r="AD705" s="32"/>
      <c r="AE705" s="31"/>
    </row>
    <row r="706" spans="14:31" x14ac:dyDescent="0.35">
      <c r="N706" s="10"/>
      <c r="P706" s="48"/>
      <c r="Q706" s="17"/>
      <c r="R706" s="17"/>
      <c r="S706" s="17"/>
      <c r="T706" s="17"/>
      <c r="U706" s="17"/>
      <c r="V706" s="17"/>
      <c r="W706" s="31"/>
      <c r="X706" s="17"/>
      <c r="Y706" s="17"/>
      <c r="Z706" s="31"/>
      <c r="AA706" s="17"/>
      <c r="AB706" s="17"/>
      <c r="AC706" s="17"/>
      <c r="AD706" s="32"/>
      <c r="AE706" s="31"/>
    </row>
    <row r="707" spans="14:31" x14ac:dyDescent="0.35">
      <c r="N707" s="10"/>
      <c r="P707" s="48"/>
      <c r="Q707" s="17"/>
      <c r="R707" s="17"/>
      <c r="S707" s="17"/>
      <c r="T707" s="17"/>
      <c r="U707" s="17"/>
      <c r="V707" s="17"/>
      <c r="W707" s="31"/>
      <c r="X707" s="17"/>
      <c r="Y707" s="17"/>
      <c r="Z707" s="31"/>
      <c r="AA707" s="17"/>
      <c r="AB707" s="17"/>
      <c r="AC707" s="17"/>
      <c r="AD707" s="32"/>
      <c r="AE707" s="31"/>
    </row>
    <row r="708" spans="14:31" x14ac:dyDescent="0.35">
      <c r="N708" s="10"/>
      <c r="P708" s="48"/>
      <c r="Q708" s="17"/>
      <c r="R708" s="17"/>
      <c r="S708" s="17"/>
      <c r="T708" s="17"/>
      <c r="U708" s="17"/>
      <c r="V708" s="17"/>
      <c r="W708" s="31"/>
      <c r="X708" s="17"/>
      <c r="Y708" s="17"/>
      <c r="Z708" s="31"/>
      <c r="AA708" s="17"/>
      <c r="AB708" s="17"/>
      <c r="AC708" s="17"/>
      <c r="AD708" s="32"/>
      <c r="AE708" s="31"/>
    </row>
  </sheetData>
  <mergeCells count="29">
    <mergeCell ref="A1:M1"/>
    <mergeCell ref="E6:K6"/>
    <mergeCell ref="Q17:S17"/>
    <mergeCell ref="T17:V17"/>
    <mergeCell ref="W17:Y17"/>
    <mergeCell ref="P16:AE16"/>
    <mergeCell ref="Z17:AB17"/>
    <mergeCell ref="N1:X1"/>
    <mergeCell ref="P4:AE4"/>
    <mergeCell ref="AF4:AR4"/>
    <mergeCell ref="AS4:AU4"/>
    <mergeCell ref="Q5:S5"/>
    <mergeCell ref="T5:V5"/>
    <mergeCell ref="W5:Y5"/>
    <mergeCell ref="Z5:AB5"/>
    <mergeCell ref="AC5:AE5"/>
    <mergeCell ref="AG5:AI5"/>
    <mergeCell ref="AJ5:AL5"/>
    <mergeCell ref="AM5:AO5"/>
    <mergeCell ref="AP5:AR5"/>
    <mergeCell ref="AS5:AU5"/>
    <mergeCell ref="AP17:AR17"/>
    <mergeCell ref="AC17:AE17"/>
    <mergeCell ref="AS16:AU16"/>
    <mergeCell ref="AS17:AU17"/>
    <mergeCell ref="AG17:AI17"/>
    <mergeCell ref="AJ17:AL17"/>
    <mergeCell ref="AM17:AO17"/>
    <mergeCell ref="AF16:AR16"/>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157"/>
  <sheetViews>
    <sheetView zoomScale="85" zoomScaleNormal="85" workbookViewId="0">
      <pane ySplit="6" topLeftCell="A7" activePane="bottomLeft" state="frozen"/>
      <selection activeCell="R1" sqref="R1"/>
      <selection pane="bottomLeft" activeCell="H9" sqref="H9"/>
    </sheetView>
  </sheetViews>
  <sheetFormatPr defaultColWidth="8.81640625" defaultRowHeight="14.5" x14ac:dyDescent="0.35"/>
  <cols>
    <col min="1" max="1" width="25.453125" style="49" customWidth="1"/>
    <col min="2" max="2" width="14.7265625" style="49" customWidth="1"/>
    <col min="3" max="9" width="8.81640625" style="49"/>
    <col min="10" max="10" width="10" style="49" bestFit="1" customWidth="1"/>
    <col min="11" max="20" width="8.81640625" style="49"/>
    <col min="21" max="21" width="7.81640625" style="49" customWidth="1"/>
    <col min="22" max="25" width="8.81640625" style="49"/>
    <col min="26" max="26" width="12" style="49" bestFit="1" customWidth="1"/>
    <col min="27" max="46" width="8.81640625" style="49"/>
    <col min="47" max="47" width="11.81640625" style="49" bestFit="1" customWidth="1"/>
    <col min="48" max="56" width="8.81640625" style="49"/>
    <col min="57" max="58" width="14.7265625" style="49" bestFit="1" customWidth="1"/>
    <col min="59" max="59" width="9.7265625" style="49" customWidth="1"/>
    <col min="60" max="60" width="9.453125" style="49" customWidth="1"/>
    <col min="61" max="62" width="11.81640625" style="49" customWidth="1"/>
    <col min="63" max="65" width="8.81640625" style="49"/>
    <col min="66" max="67" width="8.54296875" style="49" bestFit="1" customWidth="1"/>
    <col min="68" max="68" width="10.7265625" style="49" bestFit="1" customWidth="1"/>
    <col min="69" max="69" width="9.7265625" style="49" bestFit="1" customWidth="1"/>
    <col min="70" max="70" width="8.453125" style="49" bestFit="1" customWidth="1"/>
    <col min="71" max="71" width="9.26953125" style="49" bestFit="1" customWidth="1"/>
    <col min="72" max="72" width="11.26953125" style="49" bestFit="1" customWidth="1"/>
    <col min="73" max="73" width="12.453125" style="49" bestFit="1" customWidth="1"/>
    <col min="74" max="75" width="8.81640625" style="49"/>
    <col min="76" max="76" width="14.7265625" style="49" bestFit="1" customWidth="1"/>
    <col min="77" max="16384" width="8.81640625" style="49"/>
  </cols>
  <sheetData>
    <row r="1" spans="1:78" ht="28" x14ac:dyDescent="0.6">
      <c r="A1" s="291" t="s">
        <v>16</v>
      </c>
      <c r="B1" s="291"/>
      <c r="C1" s="291"/>
      <c r="D1" s="291"/>
      <c r="E1" s="291"/>
      <c r="F1" s="291"/>
      <c r="G1" s="291"/>
      <c r="H1" s="291"/>
      <c r="I1" s="291"/>
      <c r="J1" s="291"/>
      <c r="K1" s="291"/>
      <c r="L1" s="291"/>
      <c r="M1" s="291"/>
    </row>
    <row r="2" spans="1:78" x14ac:dyDescent="0.35">
      <c r="AN2" s="49" t="s">
        <v>602</v>
      </c>
      <c r="AO2" s="49">
        <f>((NS1_/Np)^2)*Lm</f>
        <v>3.3127379999999999E-4</v>
      </c>
    </row>
    <row r="3" spans="1:78" ht="15" thickBot="1" x14ac:dyDescent="0.4">
      <c r="AX3" s="49" t="s">
        <v>668</v>
      </c>
    </row>
    <row r="4" spans="1:78" ht="15" thickBot="1" x14ac:dyDescent="0.4">
      <c r="R4" s="292" t="s">
        <v>325</v>
      </c>
      <c r="S4" s="289"/>
      <c r="T4" s="290"/>
      <c r="U4" s="293" t="s">
        <v>599</v>
      </c>
      <c r="V4" s="294"/>
      <c r="W4" s="294"/>
      <c r="X4" s="294"/>
      <c r="Y4" s="294"/>
      <c r="Z4" s="294"/>
      <c r="AA4" s="294"/>
      <c r="AB4" s="294"/>
      <c r="AC4" s="294"/>
      <c r="AD4" s="294"/>
      <c r="AE4" s="295"/>
      <c r="AF4" s="209"/>
      <c r="AG4" s="209"/>
      <c r="AH4" s="74"/>
      <c r="AI4" s="74"/>
      <c r="AJ4" s="77"/>
      <c r="AK4" s="293" t="s">
        <v>614</v>
      </c>
      <c r="AL4" s="294"/>
      <c r="AM4" s="294"/>
      <c r="AN4" s="294"/>
      <c r="AO4" s="294"/>
      <c r="AP4" s="294"/>
      <c r="AQ4" s="294"/>
      <c r="AR4" s="294"/>
      <c r="AS4" s="294"/>
      <c r="AT4" s="294"/>
      <c r="AU4" s="294"/>
      <c r="AV4" s="294"/>
      <c r="AW4" s="294"/>
      <c r="AX4" s="294"/>
      <c r="AY4" s="295"/>
      <c r="AZ4" s="292" t="s">
        <v>487</v>
      </c>
      <c r="BA4" s="289"/>
      <c r="BB4" s="289"/>
      <c r="BC4" s="289"/>
      <c r="BD4" s="289"/>
      <c r="BE4" s="289"/>
      <c r="BF4" s="289"/>
      <c r="BG4" s="289"/>
      <c r="BH4" s="289"/>
      <c r="BI4" s="290"/>
      <c r="BJ4" s="209"/>
      <c r="BK4" s="292" t="s">
        <v>627</v>
      </c>
      <c r="BL4" s="289"/>
      <c r="BM4" s="289"/>
      <c r="BN4" s="289"/>
      <c r="BO4" s="289"/>
      <c r="BP4" s="289"/>
      <c r="BQ4" s="289"/>
      <c r="BR4" s="289"/>
      <c r="BS4" s="289"/>
      <c r="BT4" s="289"/>
      <c r="BU4" s="71"/>
      <c r="BV4" s="74"/>
      <c r="BW4" s="77"/>
      <c r="BY4" s="49" t="s">
        <v>632</v>
      </c>
    </row>
    <row r="5" spans="1:78" x14ac:dyDescent="0.35">
      <c r="R5" s="287"/>
      <c r="S5" s="286"/>
      <c r="T5" s="288"/>
      <c r="U5" s="225" t="s">
        <v>326</v>
      </c>
      <c r="V5" s="210"/>
      <c r="W5" s="208"/>
      <c r="X5" s="208"/>
      <c r="Y5" s="225" t="s">
        <v>596</v>
      </c>
      <c r="Z5" s="210"/>
      <c r="AA5" s="210"/>
      <c r="AB5" s="211"/>
      <c r="AC5" s="225"/>
      <c r="AD5" s="210"/>
      <c r="AE5" s="211"/>
      <c r="AF5" s="292" t="s">
        <v>629</v>
      </c>
      <c r="AG5" s="290"/>
      <c r="AH5" s="292" t="s">
        <v>628</v>
      </c>
      <c r="AI5" s="289"/>
      <c r="AJ5" s="290"/>
      <c r="AK5" s="292"/>
      <c r="AL5" s="289"/>
      <c r="AM5" s="290"/>
      <c r="AN5" s="292"/>
      <c r="AO5" s="289"/>
      <c r="AP5" s="289"/>
      <c r="AQ5" s="289"/>
      <c r="AR5" s="289"/>
      <c r="AS5" s="290"/>
      <c r="AT5" s="292" t="s">
        <v>615</v>
      </c>
      <c r="AU5" s="289"/>
      <c r="AV5" s="290"/>
      <c r="AW5" s="292" t="s">
        <v>616</v>
      </c>
      <c r="AX5" s="289"/>
      <c r="AY5" s="290"/>
      <c r="AZ5" s="292"/>
      <c r="BA5" s="289"/>
      <c r="BB5" s="289"/>
      <c r="BC5" s="290"/>
      <c r="BD5" s="292" t="s">
        <v>615</v>
      </c>
      <c r="BE5" s="289"/>
      <c r="BF5" s="290"/>
      <c r="BG5" s="292" t="s">
        <v>616</v>
      </c>
      <c r="BH5" s="289"/>
      <c r="BI5" s="290"/>
      <c r="BJ5" s="209"/>
      <c r="BK5" s="292"/>
      <c r="BL5" s="289"/>
      <c r="BM5" s="289"/>
      <c r="BN5" s="290"/>
      <c r="BO5" s="292" t="s">
        <v>615</v>
      </c>
      <c r="BP5" s="289"/>
      <c r="BQ5" s="290"/>
      <c r="BR5" s="292" t="s">
        <v>616</v>
      </c>
      <c r="BS5" s="289"/>
      <c r="BT5" s="290"/>
      <c r="BU5" s="296" t="s">
        <v>378</v>
      </c>
      <c r="BV5" s="297"/>
      <c r="BW5" s="298"/>
      <c r="BX5" s="213"/>
    </row>
    <row r="6" spans="1:78" ht="16.5" x14ac:dyDescent="0.45">
      <c r="R6" s="58" t="s">
        <v>597</v>
      </c>
      <c r="S6" s="49" t="s">
        <v>280</v>
      </c>
      <c r="T6" s="61" t="s">
        <v>283</v>
      </c>
      <c r="U6" s="58" t="s">
        <v>281</v>
      </c>
      <c r="V6" s="49" t="s">
        <v>282</v>
      </c>
      <c r="W6" s="49" t="s">
        <v>600</v>
      </c>
      <c r="X6" s="49" t="s">
        <v>601</v>
      </c>
      <c r="Y6" s="58" t="s">
        <v>598</v>
      </c>
      <c r="Z6" s="214" t="s">
        <v>327</v>
      </c>
      <c r="AA6" s="214" t="s">
        <v>329</v>
      </c>
      <c r="AB6" s="219" t="s">
        <v>328</v>
      </c>
      <c r="AC6" s="223" t="s">
        <v>331</v>
      </c>
      <c r="AD6" s="215" t="s">
        <v>332</v>
      </c>
      <c r="AE6" s="217" t="s">
        <v>371</v>
      </c>
      <c r="AF6" s="223" t="s">
        <v>630</v>
      </c>
      <c r="AG6" s="217" t="s">
        <v>631</v>
      </c>
      <c r="AH6" s="223" t="s">
        <v>369</v>
      </c>
      <c r="AI6" s="215" t="s">
        <v>368</v>
      </c>
      <c r="AJ6" s="217" t="s">
        <v>370</v>
      </c>
      <c r="AK6" s="58" t="s">
        <v>422</v>
      </c>
      <c r="AL6" s="49" t="s">
        <v>419</v>
      </c>
      <c r="AM6" s="61" t="s">
        <v>420</v>
      </c>
      <c r="AN6" s="223" t="s">
        <v>281</v>
      </c>
      <c r="AO6" s="215" t="s">
        <v>610</v>
      </c>
      <c r="AP6" s="215" t="s">
        <v>609</v>
      </c>
      <c r="AQ6" s="215" t="s">
        <v>611</v>
      </c>
      <c r="AR6" s="215" t="s">
        <v>612</v>
      </c>
      <c r="AS6" s="217" t="s">
        <v>613</v>
      </c>
      <c r="AT6" s="223" t="s">
        <v>331</v>
      </c>
      <c r="AU6" s="215" t="s">
        <v>332</v>
      </c>
      <c r="AV6" s="217" t="s">
        <v>371</v>
      </c>
      <c r="AW6" s="223" t="s">
        <v>617</v>
      </c>
      <c r="AX6" s="215" t="s">
        <v>618</v>
      </c>
      <c r="AY6" s="217" t="s">
        <v>619</v>
      </c>
      <c r="AZ6" s="58" t="s">
        <v>426</v>
      </c>
      <c r="BA6" s="49" t="s">
        <v>423</v>
      </c>
      <c r="BB6" s="49" t="s">
        <v>424</v>
      </c>
      <c r="BC6" s="217" t="s">
        <v>608</v>
      </c>
      <c r="BD6" s="223" t="s">
        <v>331</v>
      </c>
      <c r="BE6" s="215" t="s">
        <v>332</v>
      </c>
      <c r="BF6" s="217" t="s">
        <v>371</v>
      </c>
      <c r="BG6" s="223" t="s">
        <v>617</v>
      </c>
      <c r="BH6" s="215" t="s">
        <v>618</v>
      </c>
      <c r="BI6" s="217" t="s">
        <v>619</v>
      </c>
      <c r="BJ6" s="215"/>
      <c r="BK6" s="58" t="s">
        <v>430</v>
      </c>
      <c r="BL6" s="49" t="s">
        <v>427</v>
      </c>
      <c r="BM6" s="49" t="s">
        <v>428</v>
      </c>
      <c r="BN6" s="217" t="s">
        <v>626</v>
      </c>
      <c r="BO6" s="223" t="s">
        <v>331</v>
      </c>
      <c r="BP6" s="215" t="s">
        <v>332</v>
      </c>
      <c r="BQ6" s="217" t="s">
        <v>371</v>
      </c>
      <c r="BR6" s="223" t="s">
        <v>617</v>
      </c>
      <c r="BS6" s="215" t="s">
        <v>618</v>
      </c>
      <c r="BT6" s="217" t="s">
        <v>619</v>
      </c>
      <c r="BU6" s="218" t="s">
        <v>372</v>
      </c>
      <c r="BV6" s="214" t="s">
        <v>373</v>
      </c>
      <c r="BW6" s="219" t="s">
        <v>374</v>
      </c>
      <c r="BX6" s="214" t="s">
        <v>633</v>
      </c>
    </row>
    <row r="7" spans="1:78" x14ac:dyDescent="0.35">
      <c r="Q7" s="49">
        <v>0</v>
      </c>
      <c r="R7" s="58">
        <f t="shared" ref="R7:R38" si="0">AK7+AZ7+BK7</f>
        <v>0</v>
      </c>
      <c r="S7" s="49">
        <f t="shared" ref="S7:S70" si="1">VIN_var</f>
        <v>12</v>
      </c>
      <c r="T7" s="61">
        <f t="shared" ref="T7:T38" si="2">(R7)/(S7*EFF_est)</f>
        <v>0</v>
      </c>
      <c r="U7" s="58">
        <f t="shared" ref="U7:U38" si="3">IF(R7&lt;((((Np/NS1_)*(AL7)/((S7+((Np/NS1_)*(AL7)))))^2)*(S7^2))/(2*Lm*Fsw),1,2)</f>
        <v>1</v>
      </c>
      <c r="V7" s="49">
        <f t="shared" ref="V7:V38" si="4">CHOOSE(U7,SQRT((2*Lm*R7*Fsw)/((S7^2)*EFF_est)),(((Np/NS1_)*(AL7))/(S7+((Np/NS1_)*(AL7)))))</f>
        <v>0</v>
      </c>
      <c r="W7" s="49">
        <f t="shared" ref="W7:W38" si="5">CHOOSE(U7,(NS1_*S7*V7)/(Np*AL7),1-V7)</f>
        <v>0</v>
      </c>
      <c r="X7" s="49">
        <f>CHOOSE(U7,1-V7-W7,0)</f>
        <v>1</v>
      </c>
      <c r="Y7" s="58">
        <v>0</v>
      </c>
      <c r="Z7" s="49">
        <f t="shared" ref="Z7:Z38" si="6">(S7*V7)/(Lm*Fsw)</f>
        <v>0</v>
      </c>
      <c r="AA7" s="49">
        <f>Y7+(Z7/2)</f>
        <v>0</v>
      </c>
      <c r="AB7" s="61">
        <f t="shared" ref="AB7:AB38" si="7">CHOOSE(U7,AA7*SQRT(V7/3),SQRT(V7*((AA7^2)+((Z7^2)/(3))-(AA7*Z7))))</f>
        <v>0</v>
      </c>
      <c r="AC7" s="58">
        <v>0</v>
      </c>
      <c r="AD7" s="49">
        <f>(AB7^2)*Rdcr</f>
        <v>0</v>
      </c>
      <c r="AE7" s="61">
        <f>AC7+AD7</f>
        <v>0</v>
      </c>
      <c r="AF7" s="58">
        <f t="shared" ref="AF7:AF38" si="8">R7*0.02</f>
        <v>0</v>
      </c>
      <c r="AG7" s="61">
        <f t="shared" ref="AG7:AG38" si="9">R7*0.02</f>
        <v>0</v>
      </c>
      <c r="AH7" s="58">
        <f t="shared" ref="AH7:AH38" si="10">(AB7^2)*RDS_on</f>
        <v>0</v>
      </c>
      <c r="AI7" s="49">
        <f t="shared" ref="AI7:AI38" si="11">((Y7*(S7+((Np/NS1_)*VOUT1)))/2)*Fsw*(tr_sw+tf_sw)</f>
        <v>0</v>
      </c>
      <c r="AJ7" s="61">
        <f>AH7+AI7</f>
        <v>0</v>
      </c>
      <c r="AK7" s="58">
        <f t="shared" ref="AK7:AK38" si="12">Q7*$B$11</f>
        <v>0</v>
      </c>
      <c r="AL7" s="49">
        <f t="shared" ref="AL7:AL70" si="13">VOUT1</f>
        <v>48</v>
      </c>
      <c r="AM7" s="61">
        <f>AK7/AL7</f>
        <v>0</v>
      </c>
      <c r="AN7" s="58"/>
      <c r="AS7" s="61"/>
      <c r="AT7" s="58"/>
      <c r="AV7" s="61"/>
      <c r="AW7" s="58"/>
      <c r="AY7" s="61"/>
      <c r="AZ7" s="58">
        <f t="shared" ref="AZ7:AZ38" si="14">IF(EN_OUT_2=1,Q7*$B$15,0)</f>
        <v>0</v>
      </c>
      <c r="BA7" s="49">
        <f t="shared" ref="BA7:BA38" si="15">IF(EN_OUT_2=1,VOUT2,0)</f>
        <v>6.5</v>
      </c>
      <c r="BB7" s="49">
        <f t="shared" ref="BB7:BB8" si="16">IF(EN_OUT_2=1,AZ7/BA7,0)</f>
        <v>0</v>
      </c>
      <c r="BC7" s="61"/>
      <c r="BD7" s="58"/>
      <c r="BF7" s="61"/>
      <c r="BG7" s="58"/>
      <c r="BI7" s="61"/>
      <c r="BK7" s="58">
        <f t="shared" ref="BK7:BK38" si="17">IF(EN_OUT_3=1,Q7*$B$19,0)</f>
        <v>0</v>
      </c>
      <c r="BL7" s="49">
        <f t="shared" ref="BL7:BL70" si="18">IF(EN_OUT_3=1,VOUT3,0)</f>
        <v>0</v>
      </c>
      <c r="BM7" s="49">
        <f t="shared" ref="BM7:BM38" si="19">IF(EN_OUT_3=1,BK7/BL7,0)</f>
        <v>0</v>
      </c>
      <c r="BN7" s="61"/>
      <c r="BO7" s="58"/>
      <c r="BQ7" s="61"/>
      <c r="BR7" s="58"/>
      <c r="BT7" s="61"/>
      <c r="BU7" s="58">
        <f t="shared" ref="BU7:BU38" si="20">(AB7^2)*R_cs</f>
        <v>0</v>
      </c>
      <c r="BV7" s="49">
        <f t="shared" ref="BV7:BV70" si="21">Qg_tot*Vcc*Fsw</f>
        <v>2.59875E-2</v>
      </c>
      <c r="BW7" s="61">
        <f t="shared" ref="BW7:BW38" si="22">IQ*S7</f>
        <v>5.4000000000000003E-3</v>
      </c>
      <c r="BX7" s="49">
        <f>BF7+BQ7+AE7+AG7</f>
        <v>0</v>
      </c>
      <c r="BY7" s="49">
        <f>BW7+BV7+BU7+BT7+BQ7+BI7+BF7++AY7+AV7+AJ7+AF7+AE7+AG7</f>
        <v>3.1387499999999999E-2</v>
      </c>
      <c r="BZ7" s="49">
        <f>R7/(R7+BY7)</f>
        <v>0</v>
      </c>
    </row>
    <row r="8" spans="1:78" x14ac:dyDescent="0.35">
      <c r="M8" s="49">
        <f>Fsw</f>
        <v>110000</v>
      </c>
      <c r="Q8" s="49">
        <v>1</v>
      </c>
      <c r="R8" s="218">
        <f t="shared" si="0"/>
        <v>0.16216666666666668</v>
      </c>
      <c r="S8" s="214">
        <f t="shared" si="1"/>
        <v>12</v>
      </c>
      <c r="T8" s="219">
        <f t="shared" si="2"/>
        <v>1.351388888888889E-2</v>
      </c>
      <c r="U8" s="218">
        <f t="shared" si="3"/>
        <v>1</v>
      </c>
      <c r="V8" s="214">
        <f t="shared" si="4"/>
        <v>6.6780111809829526E-2</v>
      </c>
      <c r="W8" s="214">
        <f t="shared" si="5"/>
        <v>7.1621669916042172E-2</v>
      </c>
      <c r="X8" s="214">
        <f t="shared" ref="X8:X71" si="23">CHOOSE(U8,1-V8-W8,0)</f>
        <v>0.8615982182741283</v>
      </c>
      <c r="Y8" s="218">
        <f t="shared" ref="Y8:Y39" si="24">R8/(S8*EFF_est*V8)</f>
        <v>0.20236397518130161</v>
      </c>
      <c r="Z8" s="214">
        <f t="shared" si="6"/>
        <v>0.40472795036260323</v>
      </c>
      <c r="AA8" s="214">
        <f t="shared" ref="AA8:AA71" si="25">Y8+(Z8/2)</f>
        <v>0.40472795036260323</v>
      </c>
      <c r="AB8" s="219">
        <f>CHOOSE(U8,AA8*SQRT(V8/3),SQRT(V8*((AA8^2)+((Z8^2)/(3))-(AA8*Z8))))</f>
        <v>6.0384592689570277E-2</v>
      </c>
      <c r="AC8" s="218">
        <v>0</v>
      </c>
      <c r="AD8" s="214">
        <f t="shared" ref="AD8:AD38" si="26">(AB8^2)*Rdcr</f>
        <v>1.0938897102855912E-4</v>
      </c>
      <c r="AE8" s="219">
        <f t="shared" ref="AE8:AE71" si="27">AC8+AD8</f>
        <v>1.0938897102855912E-4</v>
      </c>
      <c r="AF8" s="58">
        <f t="shared" si="8"/>
        <v>3.2433333333333337E-3</v>
      </c>
      <c r="AG8" s="61">
        <f t="shared" si="9"/>
        <v>3.2433333333333337E-3</v>
      </c>
      <c r="AH8" s="58">
        <f>(AB8^2)*RDS_on</f>
        <v>3.1722801598282142E-5</v>
      </c>
      <c r="AI8" s="49">
        <f>((Y8*(S8+((Np/NS1_)*VOUT1)))/2)*Fsw*(tr_sw+tf_sw)</f>
        <v>5.2900229777665432E-3</v>
      </c>
      <c r="AJ8" s="61">
        <f>AH8+AI8</f>
        <v>5.3217457793648254E-3</v>
      </c>
      <c r="AK8" s="218">
        <f t="shared" si="12"/>
        <v>0.16</v>
      </c>
      <c r="AL8" s="214">
        <f t="shared" si="13"/>
        <v>48</v>
      </c>
      <c r="AM8" s="219">
        <f t="shared" ref="AM8:AM71" si="28">AK8/AL8</f>
        <v>3.3333333333333335E-3</v>
      </c>
      <c r="AN8" s="218">
        <f t="shared" ref="AN8:AN39" si="29">IF(((AL8*AO8)/(Fsw*$AO$2))/2&gt;AP8,1,2)</f>
        <v>1</v>
      </c>
      <c r="AO8" s="214">
        <f t="shared" ref="AO8:AO39" si="30">AM8/AP8</f>
        <v>7.1621669916042172E-2</v>
      </c>
      <c r="AP8" s="214">
        <f t="shared" ref="AP8:AP39" si="31">Np*$Y8*AK8/(R8*NS1_)</f>
        <v>4.6540849120675375E-2</v>
      </c>
      <c r="AQ8" s="214">
        <f t="shared" ref="AQ8:AQ39" si="32">(AL8*AO8)/(Fsw*$AO$2)</f>
        <v>9.4342179571702378E-2</v>
      </c>
      <c r="AR8" s="214">
        <f>AP8+(AQ8/2)</f>
        <v>9.3711938906526571E-2</v>
      </c>
      <c r="AS8" s="219">
        <f>CHOOSE(AN8,AR8*SQRT(AO8/3),SQRT(AO8*((AR8^2)+((AQ8^2)/(3))-(AQ8*AR8))))</f>
        <v>1.4479598431065091E-2</v>
      </c>
      <c r="AT8" s="218"/>
      <c r="AU8" s="214">
        <f t="shared" ref="AU8:AU39" si="33">(AM8^2)*Rdcr1</f>
        <v>1.3333333333333336E-7</v>
      </c>
      <c r="AV8" s="219">
        <f>AT8+AU8</f>
        <v>1.3333333333333336E-7</v>
      </c>
      <c r="AW8" s="218">
        <f t="shared" ref="AW8:AW39" si="34">(VOUT1+((NS1_/Np)*S8))*QRR1_*Fsw</f>
        <v>0.109428</v>
      </c>
      <c r="AX8" s="214">
        <f t="shared" ref="AX8:AX39" si="35">AM8*VD1_</f>
        <v>1E-3</v>
      </c>
      <c r="AY8" s="219">
        <f>AW8+AX8</f>
        <v>0.110428</v>
      </c>
      <c r="AZ8" s="218">
        <f t="shared" si="14"/>
        <v>2.1666666666666666E-3</v>
      </c>
      <c r="BA8" s="214">
        <f t="shared" si="15"/>
        <v>6.5</v>
      </c>
      <c r="BB8" s="214">
        <f t="shared" si="16"/>
        <v>3.3333333333333332E-4</v>
      </c>
      <c r="BC8" s="61">
        <f t="shared" ref="BC8:BC39" si="36">IF(EN_OUT_2=1,AZ8/BA8,0)</f>
        <v>3.3333333333333332E-4</v>
      </c>
      <c r="BD8" s="58">
        <v>0</v>
      </c>
      <c r="BE8" s="49">
        <f>(BB8^2)*Rdcr2</f>
        <v>1.3333333333333333E-9</v>
      </c>
      <c r="BF8" s="61">
        <f>BD8+BE8</f>
        <v>1.3333333333333333E-9</v>
      </c>
      <c r="BG8" s="58">
        <f t="shared" ref="BG8:BG39" si="37">(VOUT2+((NS2_/Np)*S8))*QRR2_*Fsw</f>
        <v>1.4700399999999999E-2</v>
      </c>
      <c r="BH8" s="49">
        <f t="shared" ref="BH8:BH39" si="38">BB8*VD2_</f>
        <v>9.9999999999999991E-5</v>
      </c>
      <c r="BI8" s="61">
        <f t="shared" ref="BI8:BI39" si="39">BH8+BG8</f>
        <v>1.4800399999999998E-2</v>
      </c>
      <c r="BK8" s="218">
        <f t="shared" si="17"/>
        <v>0</v>
      </c>
      <c r="BL8" s="214">
        <f t="shared" si="18"/>
        <v>0</v>
      </c>
      <c r="BM8" s="214">
        <f t="shared" si="19"/>
        <v>0</v>
      </c>
      <c r="BN8" s="61">
        <f t="shared" ref="BN8:BN39" si="40">Y8*(Np/NS3_)*(BK8/R8)</f>
        <v>0</v>
      </c>
      <c r="BO8" s="58">
        <v>0</v>
      </c>
      <c r="BP8" s="49">
        <f t="shared" ref="BP8:BP39" si="41">(BM8^2)*Rdcr3</f>
        <v>0</v>
      </c>
      <c r="BQ8" s="61">
        <f>BO8+BP8</f>
        <v>0</v>
      </c>
      <c r="BR8" s="58">
        <f t="shared" ref="BR8:BR39" si="42">(VOUT3+((NS3_/Np)*S8))*QRR3_*Fsw</f>
        <v>0</v>
      </c>
      <c r="BS8" s="49">
        <f>BM8*VD3_</f>
        <v>0</v>
      </c>
      <c r="BT8" s="61">
        <f>BS8+BR8</f>
        <v>0</v>
      </c>
      <c r="BU8" s="58">
        <f>(AB8^2)*R_cs</f>
        <v>7.2925980685706084E-6</v>
      </c>
      <c r="BV8" s="49">
        <f t="shared" si="21"/>
        <v>2.59875E-2</v>
      </c>
      <c r="BW8" s="61">
        <f t="shared" si="22"/>
        <v>5.4000000000000003E-3</v>
      </c>
      <c r="BX8" s="49">
        <f>BF8+BQ8+AE8</f>
        <v>1.0939030436189245E-4</v>
      </c>
      <c r="BY8" s="49">
        <f t="shared" ref="BY8:BY71" si="43">BW8+BV8+BU8+BT8+BQ8+BI8+BF8++AY8+AV8+AJ8+AF8+AE8+AG8</f>
        <v>0.16854112868179524</v>
      </c>
      <c r="BZ8" s="49">
        <f t="shared" ref="BZ8:BZ39" si="44">(R8/(R8+BY8))*100</f>
        <v>49.0362395285524</v>
      </c>
    </row>
    <row r="9" spans="1:78" x14ac:dyDescent="0.35">
      <c r="N9" s="49" t="s">
        <v>187</v>
      </c>
      <c r="O9" s="49">
        <f>VIN_var</f>
        <v>12</v>
      </c>
      <c r="P9" s="49" t="s">
        <v>11</v>
      </c>
      <c r="Q9" s="49">
        <v>2</v>
      </c>
      <c r="R9" s="218">
        <f t="shared" si="0"/>
        <v>0.32433333333333336</v>
      </c>
      <c r="S9" s="214">
        <f t="shared" si="1"/>
        <v>12</v>
      </c>
      <c r="T9" s="219">
        <f t="shared" si="2"/>
        <v>2.7027777777777779E-2</v>
      </c>
      <c r="U9" s="218">
        <f t="shared" si="3"/>
        <v>1</v>
      </c>
      <c r="V9" s="214">
        <f t="shared" si="4"/>
        <v>9.4441339818252618E-2</v>
      </c>
      <c r="W9" s="214">
        <f t="shared" si="5"/>
        <v>0.10128833695507594</v>
      </c>
      <c r="X9" s="214">
        <f t="shared" si="23"/>
        <v>0.80427032322667147</v>
      </c>
      <c r="Y9" s="218">
        <f t="shared" si="24"/>
        <v>0.28618587823712915</v>
      </c>
      <c r="Z9" s="214">
        <f t="shared" si="6"/>
        <v>0.5723717564742582</v>
      </c>
      <c r="AA9" s="214">
        <f t="shared" si="25"/>
        <v>0.57237175647425831</v>
      </c>
      <c r="AB9" s="219">
        <f t="shared" si="7"/>
        <v>0.10155437505843064</v>
      </c>
      <c r="AC9" s="218">
        <v>0</v>
      </c>
      <c r="AD9" s="214">
        <f t="shared" si="26"/>
        <v>3.0939873280525198E-4</v>
      </c>
      <c r="AE9" s="219">
        <f t="shared" si="27"/>
        <v>3.0939873280525198E-4</v>
      </c>
      <c r="AF9" s="58">
        <f t="shared" si="8"/>
        <v>6.4866666666666675E-3</v>
      </c>
      <c r="AG9" s="61">
        <f t="shared" si="9"/>
        <v>6.4866666666666675E-3</v>
      </c>
      <c r="AH9" s="58">
        <f t="shared" si="10"/>
        <v>8.972563251352307E-5</v>
      </c>
      <c r="AI9" s="49">
        <f t="shared" si="11"/>
        <v>7.4812222404227503E-3</v>
      </c>
      <c r="AJ9" s="61">
        <f t="shared" ref="AJ9:AJ71" si="45">AH9+AI9</f>
        <v>7.5709478729362734E-3</v>
      </c>
      <c r="AK9" s="218">
        <f t="shared" si="12"/>
        <v>0.32</v>
      </c>
      <c r="AL9" s="214">
        <f t="shared" si="13"/>
        <v>48</v>
      </c>
      <c r="AM9" s="219">
        <f t="shared" si="28"/>
        <v>6.6666666666666671E-3</v>
      </c>
      <c r="AN9" s="218">
        <f t="shared" si="29"/>
        <v>1</v>
      </c>
      <c r="AO9" s="214">
        <f t="shared" si="30"/>
        <v>0.10128833695507594</v>
      </c>
      <c r="AP9" s="214">
        <f t="shared" si="31"/>
        <v>6.581870003081905E-2</v>
      </c>
      <c r="AQ9" s="214">
        <f t="shared" si="32"/>
        <v>0.13341998985413947</v>
      </c>
      <c r="AR9" s="214">
        <f t="shared" ref="AR9:AR72" si="46">AP9+(AQ9/2)</f>
        <v>0.13252869495788877</v>
      </c>
      <c r="AS9" s="219">
        <f t="shared" ref="AS9:AS72" si="47">CHOOSE(AN9,AR9*SQRT(AO9/3),SQRT(AO9*((AR9^2)+((AQ9^2)/(3))-(AQ9*AR9))))</f>
        <v>2.4351684829991883E-2</v>
      </c>
      <c r="AT9" s="218"/>
      <c r="AU9" s="214">
        <f t="shared" si="33"/>
        <v>5.3333333333333345E-7</v>
      </c>
      <c r="AV9" s="219">
        <f t="shared" ref="AV9:AV72" si="48">AT9+AU9</f>
        <v>5.3333333333333345E-7</v>
      </c>
      <c r="AW9" s="218">
        <f t="shared" si="34"/>
        <v>0.109428</v>
      </c>
      <c r="AX9" s="214">
        <f t="shared" si="35"/>
        <v>2E-3</v>
      </c>
      <c r="AY9" s="219">
        <f t="shared" ref="AY9:AY72" si="49">AW9+AX9</f>
        <v>0.111428</v>
      </c>
      <c r="AZ9" s="218">
        <f t="shared" si="14"/>
        <v>4.3333333333333331E-3</v>
      </c>
      <c r="BA9" s="214">
        <f t="shared" si="15"/>
        <v>6.5</v>
      </c>
      <c r="BB9" s="214">
        <f t="shared" ref="BB9:BB72" si="50">IF(EN_OUT_2=1,AZ9/BA9,0)</f>
        <v>6.6666666666666664E-4</v>
      </c>
      <c r="BC9" s="61">
        <f t="shared" si="36"/>
        <v>6.6666666666666664E-4</v>
      </c>
      <c r="BD9" s="58">
        <v>0</v>
      </c>
      <c r="BE9" s="49">
        <f t="shared" ref="BE9:BE39" si="51">(BB9^2)*Rdcr2</f>
        <v>5.3333333333333331E-9</v>
      </c>
      <c r="BF9" s="61">
        <f t="shared" ref="BF9:BF72" si="52">BD9+BE9</f>
        <v>5.3333333333333331E-9</v>
      </c>
      <c r="BG9" s="58">
        <f t="shared" si="37"/>
        <v>1.4700399999999999E-2</v>
      </c>
      <c r="BH9" s="49">
        <f t="shared" si="38"/>
        <v>1.9999999999999998E-4</v>
      </c>
      <c r="BI9" s="61">
        <f t="shared" si="39"/>
        <v>1.4900399999999999E-2</v>
      </c>
      <c r="BK9" s="218">
        <f t="shared" si="17"/>
        <v>0</v>
      </c>
      <c r="BL9" s="214">
        <f t="shared" si="18"/>
        <v>0</v>
      </c>
      <c r="BM9" s="214">
        <f t="shared" si="19"/>
        <v>0</v>
      </c>
      <c r="BN9" s="61">
        <f t="shared" si="40"/>
        <v>0</v>
      </c>
      <c r="BO9" s="58">
        <v>0</v>
      </c>
      <c r="BP9" s="49">
        <f t="shared" si="41"/>
        <v>0</v>
      </c>
      <c r="BQ9" s="61">
        <f t="shared" ref="BQ9:BQ72" si="53">BO9+BP9</f>
        <v>0</v>
      </c>
      <c r="BR9" s="58">
        <f t="shared" si="42"/>
        <v>0</v>
      </c>
      <c r="BS9" s="49">
        <f t="shared" ref="BS9:BS39" si="54">BM9*VD3_</f>
        <v>0</v>
      </c>
      <c r="BT9" s="61">
        <f t="shared" ref="BT9:BT72" si="55">BS9+BR9</f>
        <v>0</v>
      </c>
      <c r="BU9" s="58">
        <f t="shared" si="20"/>
        <v>2.0626582187016798E-5</v>
      </c>
      <c r="BV9" s="49">
        <f t="shared" si="21"/>
        <v>2.59875E-2</v>
      </c>
      <c r="BW9" s="61">
        <f t="shared" si="22"/>
        <v>5.4000000000000003E-3</v>
      </c>
      <c r="BX9" s="49">
        <f t="shared" ref="BX9:BX71" si="56">BF9+BQ9+AE9+AG9</f>
        <v>6.7960707328052527E-3</v>
      </c>
      <c r="BY9" s="49">
        <f t="shared" si="43"/>
        <v>0.17859074518792853</v>
      </c>
      <c r="BZ9" s="49">
        <f t="shared" si="44"/>
        <v>64.489521815492409</v>
      </c>
    </row>
    <row r="10" spans="1:78" x14ac:dyDescent="0.35">
      <c r="A10" s="49" t="s">
        <v>422</v>
      </c>
      <c r="B10" s="50">
        <f>VOUT1*IOUT1</f>
        <v>24</v>
      </c>
      <c r="Q10" s="49">
        <v>3</v>
      </c>
      <c r="R10" s="218">
        <f t="shared" si="0"/>
        <v>0.48649999999999999</v>
      </c>
      <c r="S10" s="214">
        <f t="shared" si="1"/>
        <v>12</v>
      </c>
      <c r="T10" s="219">
        <f t="shared" si="2"/>
        <v>4.0541666666666663E-2</v>
      </c>
      <c r="U10" s="218">
        <f t="shared" si="3"/>
        <v>1</v>
      </c>
      <c r="V10" s="214">
        <f t="shared" si="4"/>
        <v>0.11566654658975516</v>
      </c>
      <c r="W10" s="214">
        <f t="shared" si="5"/>
        <v>0.12405237121751241</v>
      </c>
      <c r="X10" s="214">
        <f t="shared" si="23"/>
        <v>0.76028108219273238</v>
      </c>
      <c r="Y10" s="218">
        <f t="shared" si="24"/>
        <v>0.35050468663562168</v>
      </c>
      <c r="Z10" s="214">
        <f t="shared" si="6"/>
        <v>0.70100937327124335</v>
      </c>
      <c r="AA10" s="214">
        <f t="shared" si="25"/>
        <v>0.70100937327124335</v>
      </c>
      <c r="AB10" s="219">
        <f t="shared" si="7"/>
        <v>0.13764710516721534</v>
      </c>
      <c r="AC10" s="218">
        <v>0</v>
      </c>
      <c r="AD10" s="214">
        <f t="shared" si="26"/>
        <v>5.6840176682743321E-4</v>
      </c>
      <c r="AE10" s="219">
        <f t="shared" si="27"/>
        <v>5.6840176682743321E-4</v>
      </c>
      <c r="AF10" s="58">
        <f t="shared" si="8"/>
        <v>9.7300000000000008E-3</v>
      </c>
      <c r="AG10" s="61">
        <f t="shared" si="9"/>
        <v>9.7300000000000008E-3</v>
      </c>
      <c r="AH10" s="58">
        <f t="shared" si="10"/>
        <v>1.6483651237995562E-4</v>
      </c>
      <c r="AI10" s="49">
        <f t="shared" si="11"/>
        <v>9.1625885706984583E-3</v>
      </c>
      <c r="AJ10" s="61">
        <f t="shared" si="45"/>
        <v>9.3274250830784142E-3</v>
      </c>
      <c r="AK10" s="218">
        <f t="shared" si="12"/>
        <v>0.48</v>
      </c>
      <c r="AL10" s="214">
        <f t="shared" si="13"/>
        <v>48</v>
      </c>
      <c r="AM10" s="219">
        <f t="shared" si="28"/>
        <v>0.01</v>
      </c>
      <c r="AN10" s="218">
        <f t="shared" si="29"/>
        <v>1</v>
      </c>
      <c r="AO10" s="214">
        <f t="shared" si="30"/>
        <v>0.12405237121751242</v>
      </c>
      <c r="AP10" s="214">
        <f t="shared" si="31"/>
        <v>8.0611115304407052E-2</v>
      </c>
      <c r="AQ10" s="214">
        <f t="shared" si="32"/>
        <v>0.16340544831497517</v>
      </c>
      <c r="AR10" s="214">
        <f t="shared" si="46"/>
        <v>0.16231383946189465</v>
      </c>
      <c r="AS10" s="219">
        <f t="shared" si="47"/>
        <v>3.3006346805484206E-2</v>
      </c>
      <c r="AT10" s="218"/>
      <c r="AU10" s="214">
        <f t="shared" si="33"/>
        <v>1.2000000000000002E-6</v>
      </c>
      <c r="AV10" s="219">
        <f t="shared" si="48"/>
        <v>1.2000000000000002E-6</v>
      </c>
      <c r="AW10" s="218">
        <f t="shared" si="34"/>
        <v>0.109428</v>
      </c>
      <c r="AX10" s="214">
        <f t="shared" si="35"/>
        <v>3.0000000000000001E-3</v>
      </c>
      <c r="AY10" s="219">
        <f t="shared" si="49"/>
        <v>0.112428</v>
      </c>
      <c r="AZ10" s="218">
        <f t="shared" si="14"/>
        <v>6.4999999999999997E-3</v>
      </c>
      <c r="BA10" s="214">
        <f t="shared" si="15"/>
        <v>6.5</v>
      </c>
      <c r="BB10" s="214">
        <f t="shared" si="50"/>
        <v>1E-3</v>
      </c>
      <c r="BC10" s="61">
        <f t="shared" si="36"/>
        <v>1E-3</v>
      </c>
      <c r="BD10" s="58">
        <v>0</v>
      </c>
      <c r="BE10" s="49">
        <f t="shared" si="51"/>
        <v>1.2E-8</v>
      </c>
      <c r="BF10" s="61">
        <f t="shared" si="52"/>
        <v>1.2E-8</v>
      </c>
      <c r="BG10" s="58">
        <f t="shared" si="37"/>
        <v>1.4700399999999999E-2</v>
      </c>
      <c r="BH10" s="49">
        <f t="shared" si="38"/>
        <v>2.9999999999999997E-4</v>
      </c>
      <c r="BI10" s="61">
        <f t="shared" si="39"/>
        <v>1.5000399999999999E-2</v>
      </c>
      <c r="BK10" s="218">
        <f t="shared" si="17"/>
        <v>0</v>
      </c>
      <c r="BL10" s="214">
        <f t="shared" si="18"/>
        <v>0</v>
      </c>
      <c r="BM10" s="214">
        <f t="shared" si="19"/>
        <v>0</v>
      </c>
      <c r="BN10" s="61">
        <f t="shared" si="40"/>
        <v>0</v>
      </c>
      <c r="BO10" s="58">
        <v>0</v>
      </c>
      <c r="BP10" s="49">
        <f t="shared" si="41"/>
        <v>0</v>
      </c>
      <c r="BQ10" s="61">
        <f t="shared" si="53"/>
        <v>0</v>
      </c>
      <c r="BR10" s="58">
        <f t="shared" si="42"/>
        <v>0</v>
      </c>
      <c r="BS10" s="49">
        <f t="shared" si="54"/>
        <v>0</v>
      </c>
      <c r="BT10" s="61">
        <f t="shared" si="55"/>
        <v>0</v>
      </c>
      <c r="BU10" s="58">
        <f t="shared" si="20"/>
        <v>3.7893451121828883E-5</v>
      </c>
      <c r="BV10" s="49">
        <f t="shared" si="21"/>
        <v>2.59875E-2</v>
      </c>
      <c r="BW10" s="61">
        <f t="shared" si="22"/>
        <v>5.4000000000000003E-3</v>
      </c>
      <c r="BX10" s="49">
        <f t="shared" si="56"/>
        <v>1.0298413766827434E-2</v>
      </c>
      <c r="BY10" s="49">
        <f t="shared" si="43"/>
        <v>0.18821083230102764</v>
      </c>
      <c r="BZ10" s="49">
        <f t="shared" si="44"/>
        <v>72.104963594677272</v>
      </c>
    </row>
    <row r="11" spans="1:78" x14ac:dyDescent="0.35">
      <c r="A11" s="49" t="s">
        <v>593</v>
      </c>
      <c r="B11" s="49">
        <f>B10/(O11)</f>
        <v>0.16</v>
      </c>
      <c r="N11" s="49" t="s">
        <v>278</v>
      </c>
      <c r="O11" s="49">
        <v>150</v>
      </c>
      <c r="Q11" s="49">
        <v>4</v>
      </c>
      <c r="R11" s="218">
        <f t="shared" si="0"/>
        <v>0.64866666666666672</v>
      </c>
      <c r="S11" s="214">
        <f t="shared" si="1"/>
        <v>12</v>
      </c>
      <c r="T11" s="219">
        <f t="shared" si="2"/>
        <v>5.4055555555555558E-2</v>
      </c>
      <c r="U11" s="218">
        <f t="shared" si="3"/>
        <v>1</v>
      </c>
      <c r="V11" s="214">
        <f t="shared" si="4"/>
        <v>0.13356022361965905</v>
      </c>
      <c r="W11" s="214">
        <f t="shared" si="5"/>
        <v>0.14324333983208434</v>
      </c>
      <c r="X11" s="214">
        <f t="shared" si="23"/>
        <v>0.7231964365482566</v>
      </c>
      <c r="Y11" s="218">
        <f t="shared" si="24"/>
        <v>0.40472795036260323</v>
      </c>
      <c r="Z11" s="214">
        <f t="shared" si="6"/>
        <v>0.80945590072520646</v>
      </c>
      <c r="AA11" s="214">
        <f t="shared" si="25"/>
        <v>0.80945590072520646</v>
      </c>
      <c r="AB11" s="219">
        <f t="shared" si="7"/>
        <v>0.1707934198799311</v>
      </c>
      <c r="AC11" s="218">
        <v>0</v>
      </c>
      <c r="AD11" s="214">
        <f t="shared" si="26"/>
        <v>8.7511176822847327E-4</v>
      </c>
      <c r="AE11" s="219">
        <f t="shared" si="27"/>
        <v>8.7511176822847327E-4</v>
      </c>
      <c r="AF11" s="58">
        <f t="shared" si="8"/>
        <v>1.2973333333333335E-2</v>
      </c>
      <c r="AG11" s="61">
        <f t="shared" si="9"/>
        <v>1.2973333333333335E-2</v>
      </c>
      <c r="AH11" s="58">
        <f t="shared" si="10"/>
        <v>2.5378241278625725E-4</v>
      </c>
      <c r="AI11" s="49">
        <f t="shared" si="11"/>
        <v>1.0580045955533086E-2</v>
      </c>
      <c r="AJ11" s="61">
        <f t="shared" si="45"/>
        <v>1.0833828368319344E-2</v>
      </c>
      <c r="AK11" s="218">
        <f t="shared" si="12"/>
        <v>0.64</v>
      </c>
      <c r="AL11" s="214">
        <f t="shared" si="13"/>
        <v>48</v>
      </c>
      <c r="AM11" s="219">
        <f t="shared" si="28"/>
        <v>1.3333333333333334E-2</v>
      </c>
      <c r="AN11" s="218">
        <f t="shared" si="29"/>
        <v>1</v>
      </c>
      <c r="AO11" s="214">
        <f t="shared" si="30"/>
        <v>0.14324333983208434</v>
      </c>
      <c r="AP11" s="214">
        <f t="shared" si="31"/>
        <v>9.3081698241350749E-2</v>
      </c>
      <c r="AQ11" s="214">
        <f t="shared" si="32"/>
        <v>0.18868435914340476</v>
      </c>
      <c r="AR11" s="214">
        <f t="shared" si="46"/>
        <v>0.18742387781305314</v>
      </c>
      <c r="AS11" s="219">
        <f t="shared" si="47"/>
        <v>4.0954488957856881E-2</v>
      </c>
      <c r="AT11" s="218"/>
      <c r="AU11" s="214">
        <f t="shared" si="33"/>
        <v>2.1333333333333338E-6</v>
      </c>
      <c r="AV11" s="219">
        <f t="shared" si="48"/>
        <v>2.1333333333333338E-6</v>
      </c>
      <c r="AW11" s="218">
        <f t="shared" si="34"/>
        <v>0.109428</v>
      </c>
      <c r="AX11" s="214">
        <f t="shared" si="35"/>
        <v>4.0000000000000001E-3</v>
      </c>
      <c r="AY11" s="219">
        <f t="shared" si="49"/>
        <v>0.113428</v>
      </c>
      <c r="AZ11" s="218">
        <f t="shared" si="14"/>
        <v>8.6666666666666663E-3</v>
      </c>
      <c r="BA11" s="214">
        <f t="shared" si="15"/>
        <v>6.5</v>
      </c>
      <c r="BB11" s="214">
        <f t="shared" si="50"/>
        <v>1.3333333333333333E-3</v>
      </c>
      <c r="BC11" s="61">
        <f t="shared" si="36"/>
        <v>1.3333333333333333E-3</v>
      </c>
      <c r="BD11" s="58">
        <v>0</v>
      </c>
      <c r="BE11" s="49">
        <f t="shared" si="51"/>
        <v>2.1333333333333332E-8</v>
      </c>
      <c r="BF11" s="61">
        <f t="shared" si="52"/>
        <v>2.1333333333333332E-8</v>
      </c>
      <c r="BG11" s="58">
        <f t="shared" si="37"/>
        <v>1.4700399999999999E-2</v>
      </c>
      <c r="BH11" s="49">
        <f t="shared" si="38"/>
        <v>3.9999999999999996E-4</v>
      </c>
      <c r="BI11" s="61">
        <f t="shared" si="39"/>
        <v>1.5100399999999998E-2</v>
      </c>
      <c r="BK11" s="218">
        <f t="shared" si="17"/>
        <v>0</v>
      </c>
      <c r="BL11" s="214">
        <f t="shared" si="18"/>
        <v>0</v>
      </c>
      <c r="BM11" s="214">
        <f t="shared" si="19"/>
        <v>0</v>
      </c>
      <c r="BN11" s="61">
        <f t="shared" si="40"/>
        <v>0</v>
      </c>
      <c r="BO11" s="58">
        <v>0</v>
      </c>
      <c r="BP11" s="49">
        <f t="shared" si="41"/>
        <v>0</v>
      </c>
      <c r="BQ11" s="61">
        <f t="shared" si="53"/>
        <v>0</v>
      </c>
      <c r="BR11" s="58">
        <f t="shared" si="42"/>
        <v>0</v>
      </c>
      <c r="BS11" s="49">
        <f t="shared" si="54"/>
        <v>0</v>
      </c>
      <c r="BT11" s="61">
        <f t="shared" si="55"/>
        <v>0</v>
      </c>
      <c r="BU11" s="58">
        <f t="shared" si="20"/>
        <v>5.8340784548564888E-5</v>
      </c>
      <c r="BV11" s="49">
        <f t="shared" si="21"/>
        <v>2.59875E-2</v>
      </c>
      <c r="BW11" s="61">
        <f t="shared" si="22"/>
        <v>5.4000000000000003E-3</v>
      </c>
      <c r="BX11" s="49">
        <f t="shared" si="56"/>
        <v>1.3848466434895141E-2</v>
      </c>
      <c r="BY11" s="49">
        <f t="shared" si="43"/>
        <v>0.1976320022544297</v>
      </c>
      <c r="BZ11" s="49">
        <f t="shared" si="44"/>
        <v>76.647487522770092</v>
      </c>
    </row>
    <row r="12" spans="1:78" x14ac:dyDescent="0.35">
      <c r="N12" s="49" t="s">
        <v>279</v>
      </c>
      <c r="O12" s="49">
        <f>IOUT1/(O11)</f>
        <v>3.3333333333333335E-3</v>
      </c>
      <c r="Q12" s="49">
        <v>5</v>
      </c>
      <c r="R12" s="218">
        <f t="shared" si="0"/>
        <v>0.81083333333333341</v>
      </c>
      <c r="S12" s="214">
        <f t="shared" si="1"/>
        <v>12</v>
      </c>
      <c r="T12" s="219">
        <f t="shared" si="2"/>
        <v>6.7569444444444446E-2</v>
      </c>
      <c r="U12" s="218">
        <f t="shared" si="3"/>
        <v>1</v>
      </c>
      <c r="V12" s="214">
        <f t="shared" si="4"/>
        <v>0.14932486955181534</v>
      </c>
      <c r="W12" s="214">
        <f t="shared" si="5"/>
        <v>0.16015092259432198</v>
      </c>
      <c r="X12" s="214">
        <f t="shared" si="23"/>
        <v>0.6905242078538627</v>
      </c>
      <c r="Y12" s="218">
        <f t="shared" si="24"/>
        <v>0.45249960470247075</v>
      </c>
      <c r="Z12" s="214">
        <f t="shared" si="6"/>
        <v>0.9049992094049415</v>
      </c>
      <c r="AA12" s="214">
        <f t="shared" si="25"/>
        <v>0.9049992094049415</v>
      </c>
      <c r="AB12" s="219">
        <f t="shared" si="7"/>
        <v>0.2019080546555013</v>
      </c>
      <c r="AC12" s="218">
        <v>0</v>
      </c>
      <c r="AD12" s="214">
        <f t="shared" si="26"/>
        <v>1.223005876043067E-3</v>
      </c>
      <c r="AE12" s="219">
        <f t="shared" si="27"/>
        <v>1.223005876043067E-3</v>
      </c>
      <c r="AF12" s="58">
        <f t="shared" si="8"/>
        <v>1.6216666666666667E-2</v>
      </c>
      <c r="AG12" s="61">
        <f t="shared" si="9"/>
        <v>1.6216666666666667E-2</v>
      </c>
      <c r="AH12" s="58">
        <f t="shared" si="10"/>
        <v>3.5467170405248936E-4</v>
      </c>
      <c r="AI12" s="49">
        <f t="shared" si="11"/>
        <v>1.1828850980821849E-2</v>
      </c>
      <c r="AJ12" s="61">
        <f t="shared" si="45"/>
        <v>1.2183522684874338E-2</v>
      </c>
      <c r="AK12" s="218">
        <f t="shared" si="12"/>
        <v>0.8</v>
      </c>
      <c r="AL12" s="214">
        <f t="shared" si="13"/>
        <v>48</v>
      </c>
      <c r="AM12" s="219">
        <f t="shared" si="28"/>
        <v>1.6666666666666666E-2</v>
      </c>
      <c r="AN12" s="218">
        <f t="shared" si="29"/>
        <v>1</v>
      </c>
      <c r="AO12" s="214">
        <f t="shared" si="30"/>
        <v>0.16015092259432195</v>
      </c>
      <c r="AP12" s="214">
        <f t="shared" si="31"/>
        <v>0.10406850236439145</v>
      </c>
      <c r="AQ12" s="214">
        <f t="shared" si="32"/>
        <v>0.21095552666781853</v>
      </c>
      <c r="AR12" s="214">
        <f t="shared" si="46"/>
        <v>0.2095462656983007</v>
      </c>
      <c r="AS12" s="219">
        <f t="shared" si="47"/>
        <v>4.8415455353632952E-2</v>
      </c>
      <c r="AT12" s="218"/>
      <c r="AU12" s="214">
        <f t="shared" si="33"/>
        <v>3.3333333333333333E-6</v>
      </c>
      <c r="AV12" s="219">
        <f t="shared" si="48"/>
        <v>3.3333333333333333E-6</v>
      </c>
      <c r="AW12" s="218">
        <f t="shared" si="34"/>
        <v>0.109428</v>
      </c>
      <c r="AX12" s="214">
        <f t="shared" si="35"/>
        <v>5.0000000000000001E-3</v>
      </c>
      <c r="AY12" s="219">
        <f t="shared" si="49"/>
        <v>0.114428</v>
      </c>
      <c r="AZ12" s="218">
        <f t="shared" si="14"/>
        <v>1.0833333333333334E-2</v>
      </c>
      <c r="BA12" s="214">
        <f t="shared" si="15"/>
        <v>6.5</v>
      </c>
      <c r="BB12" s="214">
        <f t="shared" si="50"/>
        <v>1.6666666666666668E-3</v>
      </c>
      <c r="BC12" s="61">
        <f t="shared" si="36"/>
        <v>1.6666666666666668E-3</v>
      </c>
      <c r="BD12" s="58">
        <v>0</v>
      </c>
      <c r="BE12" s="49">
        <f t="shared" si="51"/>
        <v>3.3333333333333341E-8</v>
      </c>
      <c r="BF12" s="61">
        <f t="shared" si="52"/>
        <v>3.3333333333333341E-8</v>
      </c>
      <c r="BG12" s="58">
        <f t="shared" si="37"/>
        <v>1.4700399999999999E-2</v>
      </c>
      <c r="BH12" s="49">
        <f t="shared" si="38"/>
        <v>5.0000000000000001E-4</v>
      </c>
      <c r="BI12" s="61">
        <f t="shared" si="39"/>
        <v>1.5200399999999999E-2</v>
      </c>
      <c r="BK12" s="218">
        <f t="shared" si="17"/>
        <v>0</v>
      </c>
      <c r="BL12" s="214">
        <f t="shared" si="18"/>
        <v>0</v>
      </c>
      <c r="BM12" s="214">
        <f t="shared" si="19"/>
        <v>0</v>
      </c>
      <c r="BN12" s="61">
        <f t="shared" si="40"/>
        <v>0</v>
      </c>
      <c r="BO12" s="58">
        <v>0</v>
      </c>
      <c r="BP12" s="49">
        <f t="shared" si="41"/>
        <v>0</v>
      </c>
      <c r="BQ12" s="61">
        <f t="shared" si="53"/>
        <v>0</v>
      </c>
      <c r="BR12" s="58">
        <f t="shared" si="42"/>
        <v>0</v>
      </c>
      <c r="BS12" s="49">
        <f t="shared" si="54"/>
        <v>0</v>
      </c>
      <c r="BT12" s="61">
        <f t="shared" si="55"/>
        <v>0</v>
      </c>
      <c r="BU12" s="58">
        <f t="shared" si="20"/>
        <v>8.1533725069537797E-5</v>
      </c>
      <c r="BV12" s="49">
        <f t="shared" si="21"/>
        <v>2.59875E-2</v>
      </c>
      <c r="BW12" s="61">
        <f t="shared" si="22"/>
        <v>5.4000000000000003E-3</v>
      </c>
      <c r="BX12" s="49">
        <f t="shared" si="56"/>
        <v>1.7439705876043068E-2</v>
      </c>
      <c r="BY12" s="49">
        <f t="shared" si="43"/>
        <v>0.20694066228598693</v>
      </c>
      <c r="BZ12" s="49">
        <f t="shared" si="44"/>
        <v>79.6673266190042</v>
      </c>
    </row>
    <row r="13" spans="1:78" x14ac:dyDescent="0.35">
      <c r="Q13" s="49">
        <v>6</v>
      </c>
      <c r="R13" s="218">
        <f t="shared" si="0"/>
        <v>0.97299999999999998</v>
      </c>
      <c r="S13" s="214">
        <f t="shared" si="1"/>
        <v>12</v>
      </c>
      <c r="T13" s="219">
        <f t="shared" si="2"/>
        <v>8.1083333333333327E-2</v>
      </c>
      <c r="U13" s="218">
        <f t="shared" si="3"/>
        <v>1</v>
      </c>
      <c r="V13" s="214">
        <f t="shared" si="4"/>
        <v>0.1635771989000912</v>
      </c>
      <c r="W13" s="214">
        <f t="shared" si="5"/>
        <v>0.17543654582034784</v>
      </c>
      <c r="X13" s="214">
        <f t="shared" si="23"/>
        <v>0.66098625527956101</v>
      </c>
      <c r="Y13" s="218">
        <f t="shared" si="24"/>
        <v>0.49568848151542788</v>
      </c>
      <c r="Z13" s="214">
        <f t="shared" si="6"/>
        <v>0.99137696303085576</v>
      </c>
      <c r="AA13" s="214">
        <f t="shared" si="25"/>
        <v>0.99137696303085576</v>
      </c>
      <c r="AB13" s="219">
        <f t="shared" si="7"/>
        <v>0.23149391461032484</v>
      </c>
      <c r="AC13" s="218">
        <v>0</v>
      </c>
      <c r="AD13" s="214">
        <f t="shared" si="26"/>
        <v>1.6076829750483711E-3</v>
      </c>
      <c r="AE13" s="219">
        <f t="shared" si="27"/>
        <v>1.6076829750483711E-3</v>
      </c>
      <c r="AF13" s="58">
        <f t="shared" si="8"/>
        <v>1.9460000000000002E-2</v>
      </c>
      <c r="AG13" s="61">
        <f t="shared" si="9"/>
        <v>1.9460000000000002E-2</v>
      </c>
      <c r="AH13" s="58">
        <f t="shared" si="10"/>
        <v>4.662280627640276E-4</v>
      </c>
      <c r="AI13" s="49">
        <f t="shared" si="11"/>
        <v>1.2957857023126471E-2</v>
      </c>
      <c r="AJ13" s="61">
        <f t="shared" si="45"/>
        <v>1.3424085085890498E-2</v>
      </c>
      <c r="AK13" s="218">
        <f t="shared" si="12"/>
        <v>0.96</v>
      </c>
      <c r="AL13" s="214">
        <f t="shared" si="13"/>
        <v>48</v>
      </c>
      <c r="AM13" s="219">
        <f t="shared" si="28"/>
        <v>0.02</v>
      </c>
      <c r="AN13" s="218">
        <f t="shared" si="29"/>
        <v>1</v>
      </c>
      <c r="AO13" s="214">
        <f t="shared" si="30"/>
        <v>0.17543654582034784</v>
      </c>
      <c r="AP13" s="214">
        <f t="shared" si="31"/>
        <v>0.11400133254151382</v>
      </c>
      <c r="AQ13" s="214">
        <f t="shared" si="32"/>
        <v>0.23109020117269372</v>
      </c>
      <c r="AR13" s="214">
        <f t="shared" si="46"/>
        <v>0.22954643312786066</v>
      </c>
      <c r="AS13" s="219">
        <f t="shared" si="47"/>
        <v>5.5509837418705112E-2</v>
      </c>
      <c r="AT13" s="218"/>
      <c r="AU13" s="214">
        <f t="shared" si="33"/>
        <v>4.8000000000000006E-6</v>
      </c>
      <c r="AV13" s="219">
        <f t="shared" si="48"/>
        <v>4.8000000000000006E-6</v>
      </c>
      <c r="AW13" s="218">
        <f t="shared" si="34"/>
        <v>0.109428</v>
      </c>
      <c r="AX13" s="214">
        <f t="shared" si="35"/>
        <v>6.0000000000000001E-3</v>
      </c>
      <c r="AY13" s="219">
        <f t="shared" si="49"/>
        <v>0.115428</v>
      </c>
      <c r="AZ13" s="218">
        <f t="shared" si="14"/>
        <v>1.2999999999999999E-2</v>
      </c>
      <c r="BA13" s="214">
        <f t="shared" si="15"/>
        <v>6.5</v>
      </c>
      <c r="BB13" s="214">
        <f t="shared" si="50"/>
        <v>2E-3</v>
      </c>
      <c r="BC13" s="61">
        <f t="shared" si="36"/>
        <v>2E-3</v>
      </c>
      <c r="BD13" s="58">
        <v>0</v>
      </c>
      <c r="BE13" s="49">
        <f t="shared" si="51"/>
        <v>4.8E-8</v>
      </c>
      <c r="BF13" s="61">
        <f t="shared" si="52"/>
        <v>4.8E-8</v>
      </c>
      <c r="BG13" s="58">
        <f t="shared" si="37"/>
        <v>1.4700399999999999E-2</v>
      </c>
      <c r="BH13" s="49">
        <f t="shared" si="38"/>
        <v>5.9999999999999995E-4</v>
      </c>
      <c r="BI13" s="61">
        <f t="shared" si="39"/>
        <v>1.5300399999999999E-2</v>
      </c>
      <c r="BK13" s="218">
        <f t="shared" si="17"/>
        <v>0</v>
      </c>
      <c r="BL13" s="214">
        <f t="shared" si="18"/>
        <v>0</v>
      </c>
      <c r="BM13" s="214">
        <f t="shared" si="19"/>
        <v>0</v>
      </c>
      <c r="BN13" s="61">
        <f t="shared" si="40"/>
        <v>0</v>
      </c>
      <c r="BO13" s="58">
        <v>0</v>
      </c>
      <c r="BP13" s="49">
        <f t="shared" si="41"/>
        <v>0</v>
      </c>
      <c r="BQ13" s="61">
        <f t="shared" si="53"/>
        <v>0</v>
      </c>
      <c r="BR13" s="58">
        <f t="shared" si="42"/>
        <v>0</v>
      </c>
      <c r="BS13" s="49">
        <f t="shared" si="54"/>
        <v>0</v>
      </c>
      <c r="BT13" s="61">
        <f t="shared" si="55"/>
        <v>0</v>
      </c>
      <c r="BU13" s="58">
        <f t="shared" si="20"/>
        <v>1.0717886500322474E-4</v>
      </c>
      <c r="BV13" s="49">
        <f t="shared" si="21"/>
        <v>2.59875E-2</v>
      </c>
      <c r="BW13" s="61">
        <f t="shared" si="22"/>
        <v>5.4000000000000003E-3</v>
      </c>
      <c r="BX13" s="49">
        <f t="shared" si="56"/>
        <v>2.1067730975048372E-2</v>
      </c>
      <c r="BY13" s="49">
        <f t="shared" si="43"/>
        <v>0.21617969492594211</v>
      </c>
      <c r="BZ13" s="49">
        <f t="shared" si="44"/>
        <v>81.821107789819351</v>
      </c>
    </row>
    <row r="14" spans="1:78" x14ac:dyDescent="0.35">
      <c r="A14" s="49" t="s">
        <v>426</v>
      </c>
      <c r="B14" s="64">
        <f>VOUT2*IOUT2</f>
        <v>0.32500000000000001</v>
      </c>
      <c r="Q14" s="49">
        <v>7</v>
      </c>
      <c r="R14" s="218">
        <f t="shared" si="0"/>
        <v>1.1351666666666669</v>
      </c>
      <c r="S14" s="214">
        <f t="shared" si="1"/>
        <v>12</v>
      </c>
      <c r="T14" s="219">
        <f t="shared" si="2"/>
        <v>9.4597222222222235E-2</v>
      </c>
      <c r="U14" s="218">
        <f t="shared" si="3"/>
        <v>1</v>
      </c>
      <c r="V14" s="214">
        <f t="shared" si="4"/>
        <v>0.17668356837389645</v>
      </c>
      <c r="W14" s="214">
        <f t="shared" si="5"/>
        <v>0.18949312708100396</v>
      </c>
      <c r="X14" s="214">
        <f t="shared" si="23"/>
        <v>0.63382330454509961</v>
      </c>
      <c r="Y14" s="218">
        <f t="shared" si="24"/>
        <v>0.535404752648171</v>
      </c>
      <c r="Z14" s="214">
        <f t="shared" si="6"/>
        <v>1.0708095052963422</v>
      </c>
      <c r="AA14" s="214">
        <f t="shared" si="25"/>
        <v>1.0708095052963422</v>
      </c>
      <c r="AB14" s="219">
        <f t="shared" si="7"/>
        <v>0.25986612544434745</v>
      </c>
      <c r="AC14" s="218">
        <v>0</v>
      </c>
      <c r="AD14" s="214">
        <f t="shared" si="26"/>
        <v>2.0259120946037193E-3</v>
      </c>
      <c r="AE14" s="219">
        <f t="shared" si="27"/>
        <v>2.0259120946037193E-3</v>
      </c>
      <c r="AF14" s="58">
        <f t="shared" si="8"/>
        <v>2.2703333333333339E-2</v>
      </c>
      <c r="AG14" s="61">
        <f t="shared" si="9"/>
        <v>2.2703333333333339E-2</v>
      </c>
      <c r="AH14" s="58">
        <f t="shared" si="10"/>
        <v>5.8751450743507868E-4</v>
      </c>
      <c r="AI14" s="49">
        <f t="shared" si="11"/>
        <v>1.3996085228987641E-2</v>
      </c>
      <c r="AJ14" s="61">
        <f t="shared" si="45"/>
        <v>1.4583599736422721E-2</v>
      </c>
      <c r="AK14" s="218">
        <f t="shared" si="12"/>
        <v>1.1200000000000001</v>
      </c>
      <c r="AL14" s="214">
        <f t="shared" si="13"/>
        <v>48</v>
      </c>
      <c r="AM14" s="219">
        <f t="shared" si="28"/>
        <v>2.3333333333333334E-2</v>
      </c>
      <c r="AN14" s="218">
        <f t="shared" si="29"/>
        <v>1</v>
      </c>
      <c r="AO14" s="214">
        <f t="shared" si="30"/>
        <v>0.18949312708100396</v>
      </c>
      <c r="AP14" s="214">
        <f t="shared" si="31"/>
        <v>0.12313551257908616</v>
      </c>
      <c r="AQ14" s="214">
        <f t="shared" si="32"/>
        <v>0.24960594529052268</v>
      </c>
      <c r="AR14" s="214">
        <f t="shared" si="46"/>
        <v>0.2479384852243475</v>
      </c>
      <c r="AS14" s="219">
        <f t="shared" si="47"/>
        <v>6.2313199024373746E-2</v>
      </c>
      <c r="AT14" s="218"/>
      <c r="AU14" s="214">
        <f t="shared" si="33"/>
        <v>6.533333333333334E-6</v>
      </c>
      <c r="AV14" s="219">
        <f t="shared" si="48"/>
        <v>6.533333333333334E-6</v>
      </c>
      <c r="AW14" s="218">
        <f t="shared" si="34"/>
        <v>0.109428</v>
      </c>
      <c r="AX14" s="214">
        <f t="shared" si="35"/>
        <v>7.0000000000000001E-3</v>
      </c>
      <c r="AY14" s="219">
        <f t="shared" si="49"/>
        <v>0.116428</v>
      </c>
      <c r="AZ14" s="218">
        <f t="shared" si="14"/>
        <v>1.5166666666666665E-2</v>
      </c>
      <c r="BA14" s="214">
        <f t="shared" si="15"/>
        <v>6.5</v>
      </c>
      <c r="BB14" s="214">
        <f t="shared" si="50"/>
        <v>2.3333333333333331E-3</v>
      </c>
      <c r="BC14" s="61">
        <f t="shared" si="36"/>
        <v>2.3333333333333331E-3</v>
      </c>
      <c r="BD14" s="58">
        <v>0</v>
      </c>
      <c r="BE14" s="49">
        <f t="shared" si="51"/>
        <v>6.5333333333333323E-8</v>
      </c>
      <c r="BF14" s="61">
        <f t="shared" si="52"/>
        <v>6.5333333333333323E-8</v>
      </c>
      <c r="BG14" s="58">
        <f t="shared" si="37"/>
        <v>1.4700399999999999E-2</v>
      </c>
      <c r="BH14" s="49">
        <f t="shared" si="38"/>
        <v>6.9999999999999988E-4</v>
      </c>
      <c r="BI14" s="61">
        <f t="shared" si="39"/>
        <v>1.5400399999999998E-2</v>
      </c>
      <c r="BK14" s="218">
        <f t="shared" si="17"/>
        <v>0</v>
      </c>
      <c r="BL14" s="214">
        <f t="shared" si="18"/>
        <v>0</v>
      </c>
      <c r="BM14" s="214">
        <f t="shared" si="19"/>
        <v>0</v>
      </c>
      <c r="BN14" s="61">
        <f t="shared" si="40"/>
        <v>0</v>
      </c>
      <c r="BO14" s="58">
        <v>0</v>
      </c>
      <c r="BP14" s="49">
        <f t="shared" si="41"/>
        <v>0</v>
      </c>
      <c r="BQ14" s="61">
        <f t="shared" si="53"/>
        <v>0</v>
      </c>
      <c r="BR14" s="58">
        <f t="shared" si="42"/>
        <v>0</v>
      </c>
      <c r="BS14" s="49">
        <f t="shared" si="54"/>
        <v>0</v>
      </c>
      <c r="BT14" s="61">
        <f t="shared" si="55"/>
        <v>0</v>
      </c>
      <c r="BU14" s="58">
        <f t="shared" si="20"/>
        <v>1.3506080630691465E-4</v>
      </c>
      <c r="BV14" s="49">
        <f t="shared" si="21"/>
        <v>2.59875E-2</v>
      </c>
      <c r="BW14" s="61">
        <f t="shared" si="22"/>
        <v>5.4000000000000003E-3</v>
      </c>
      <c r="BX14" s="49">
        <f t="shared" si="56"/>
        <v>2.4729310761270391E-2</v>
      </c>
      <c r="BY14" s="49">
        <f t="shared" si="43"/>
        <v>0.22537373797066673</v>
      </c>
      <c r="BZ14" s="49">
        <f t="shared" si="44"/>
        <v>83.434983834181494</v>
      </c>
    </row>
    <row r="15" spans="1:78" x14ac:dyDescent="0.35">
      <c r="A15" s="49" t="s">
        <v>594</v>
      </c>
      <c r="B15" s="49">
        <f>POUT2/O11</f>
        <v>2.1666666666666666E-3</v>
      </c>
      <c r="O15" s="49">
        <f>0.205*2.5/(Lm*Fsw)</f>
        <v>0.25883838383838381</v>
      </c>
      <c r="Q15" s="49">
        <v>8</v>
      </c>
      <c r="R15" s="218">
        <f t="shared" si="0"/>
        <v>1.2973333333333334</v>
      </c>
      <c r="S15" s="214">
        <f t="shared" si="1"/>
        <v>12</v>
      </c>
      <c r="T15" s="219">
        <f t="shared" si="2"/>
        <v>0.10811111111111112</v>
      </c>
      <c r="U15" s="218">
        <f t="shared" si="3"/>
        <v>1</v>
      </c>
      <c r="V15" s="214">
        <f t="shared" si="4"/>
        <v>0.18888267963650524</v>
      </c>
      <c r="W15" s="214">
        <f t="shared" si="5"/>
        <v>0.20257667391015188</v>
      </c>
      <c r="X15" s="214">
        <f t="shared" si="23"/>
        <v>0.60854064645334283</v>
      </c>
      <c r="Y15" s="218">
        <f t="shared" si="24"/>
        <v>0.57237175647425831</v>
      </c>
      <c r="Z15" s="214">
        <f t="shared" si="6"/>
        <v>1.1447435129485164</v>
      </c>
      <c r="AA15" s="214">
        <f t="shared" si="25"/>
        <v>1.1447435129485166</v>
      </c>
      <c r="AB15" s="219">
        <f t="shared" si="7"/>
        <v>0.28723914905191317</v>
      </c>
      <c r="AC15" s="218">
        <v>0</v>
      </c>
      <c r="AD15" s="214">
        <f t="shared" si="26"/>
        <v>2.4751898624420158E-3</v>
      </c>
      <c r="AE15" s="219">
        <f t="shared" si="27"/>
        <v>2.4751898624420158E-3</v>
      </c>
      <c r="AF15" s="58">
        <f t="shared" si="8"/>
        <v>2.594666666666667E-2</v>
      </c>
      <c r="AG15" s="61">
        <f t="shared" si="9"/>
        <v>2.594666666666667E-2</v>
      </c>
      <c r="AH15" s="58">
        <f t="shared" si="10"/>
        <v>7.1780506010818456E-4</v>
      </c>
      <c r="AI15" s="49">
        <f t="shared" si="11"/>
        <v>1.4962444480845501E-2</v>
      </c>
      <c r="AJ15" s="61">
        <f t="shared" si="45"/>
        <v>1.5680249540953685E-2</v>
      </c>
      <c r="AK15" s="218">
        <f t="shared" si="12"/>
        <v>1.28</v>
      </c>
      <c r="AL15" s="214">
        <f t="shared" si="13"/>
        <v>48</v>
      </c>
      <c r="AM15" s="219">
        <f t="shared" si="28"/>
        <v>2.6666666666666668E-2</v>
      </c>
      <c r="AN15" s="218">
        <f t="shared" si="29"/>
        <v>1</v>
      </c>
      <c r="AO15" s="214">
        <f t="shared" si="30"/>
        <v>0.20257667391015188</v>
      </c>
      <c r="AP15" s="214">
        <f t="shared" si="31"/>
        <v>0.1316374000616381</v>
      </c>
      <c r="AQ15" s="214">
        <f t="shared" si="32"/>
        <v>0.26683997970827894</v>
      </c>
      <c r="AR15" s="214">
        <f t="shared" si="46"/>
        <v>0.26505738991577754</v>
      </c>
      <c r="AS15" s="219">
        <f t="shared" si="47"/>
        <v>6.8876965906419368E-2</v>
      </c>
      <c r="AT15" s="218"/>
      <c r="AU15" s="214">
        <f t="shared" si="33"/>
        <v>8.5333333333333352E-6</v>
      </c>
      <c r="AV15" s="219">
        <f t="shared" si="48"/>
        <v>8.5333333333333352E-6</v>
      </c>
      <c r="AW15" s="218">
        <f t="shared" si="34"/>
        <v>0.109428</v>
      </c>
      <c r="AX15" s="214">
        <f t="shared" si="35"/>
        <v>8.0000000000000002E-3</v>
      </c>
      <c r="AY15" s="219">
        <f t="shared" si="49"/>
        <v>0.117428</v>
      </c>
      <c r="AZ15" s="218">
        <f t="shared" si="14"/>
        <v>1.7333333333333333E-2</v>
      </c>
      <c r="BA15" s="214">
        <f t="shared" si="15"/>
        <v>6.5</v>
      </c>
      <c r="BB15" s="214">
        <f t="shared" si="50"/>
        <v>2.6666666666666666E-3</v>
      </c>
      <c r="BC15" s="61">
        <f t="shared" si="36"/>
        <v>2.6666666666666666E-3</v>
      </c>
      <c r="BD15" s="58">
        <v>0</v>
      </c>
      <c r="BE15" s="49">
        <f t="shared" si="51"/>
        <v>8.533333333333333E-8</v>
      </c>
      <c r="BF15" s="61">
        <f t="shared" si="52"/>
        <v>8.533333333333333E-8</v>
      </c>
      <c r="BG15" s="58">
        <f t="shared" si="37"/>
        <v>1.4700399999999999E-2</v>
      </c>
      <c r="BH15" s="49">
        <f t="shared" si="38"/>
        <v>7.9999999999999993E-4</v>
      </c>
      <c r="BI15" s="61">
        <f t="shared" si="39"/>
        <v>1.5500399999999999E-2</v>
      </c>
      <c r="BK15" s="218">
        <f t="shared" si="17"/>
        <v>0</v>
      </c>
      <c r="BL15" s="214">
        <f t="shared" si="18"/>
        <v>0</v>
      </c>
      <c r="BM15" s="214">
        <f t="shared" si="19"/>
        <v>0</v>
      </c>
      <c r="BN15" s="61">
        <f t="shared" si="40"/>
        <v>0</v>
      </c>
      <c r="BO15" s="58">
        <v>0</v>
      </c>
      <c r="BP15" s="49">
        <f t="shared" si="41"/>
        <v>0</v>
      </c>
      <c r="BQ15" s="61">
        <f t="shared" si="53"/>
        <v>0</v>
      </c>
      <c r="BR15" s="58">
        <f t="shared" si="42"/>
        <v>0</v>
      </c>
      <c r="BS15" s="49">
        <f t="shared" si="54"/>
        <v>0</v>
      </c>
      <c r="BT15" s="61">
        <f t="shared" si="55"/>
        <v>0</v>
      </c>
      <c r="BU15" s="58">
        <f t="shared" si="20"/>
        <v>1.6501265749613439E-4</v>
      </c>
      <c r="BV15" s="49">
        <f t="shared" si="21"/>
        <v>2.59875E-2</v>
      </c>
      <c r="BW15" s="61">
        <f t="shared" si="22"/>
        <v>5.4000000000000003E-3</v>
      </c>
      <c r="BX15" s="49">
        <f t="shared" si="56"/>
        <v>2.842194186244202E-2</v>
      </c>
      <c r="BY15" s="49">
        <f t="shared" si="43"/>
        <v>0.23453830406089185</v>
      </c>
      <c r="BZ15" s="49">
        <f t="shared" si="44"/>
        <v>84.689428387103575</v>
      </c>
    </row>
    <row r="16" spans="1:78" x14ac:dyDescent="0.35">
      <c r="Q16" s="49">
        <v>9</v>
      </c>
      <c r="R16" s="218">
        <f t="shared" si="0"/>
        <v>1.4595</v>
      </c>
      <c r="S16" s="214">
        <f t="shared" si="1"/>
        <v>12</v>
      </c>
      <c r="T16" s="219">
        <f t="shared" si="2"/>
        <v>0.121625</v>
      </c>
      <c r="U16" s="218">
        <f t="shared" si="3"/>
        <v>1</v>
      </c>
      <c r="V16" s="214">
        <f t="shared" si="4"/>
        <v>0.20034033542948859</v>
      </c>
      <c r="W16" s="214">
        <f t="shared" si="5"/>
        <v>0.21486500974812653</v>
      </c>
      <c r="X16" s="214">
        <f t="shared" si="23"/>
        <v>0.58479465482238491</v>
      </c>
      <c r="Y16" s="218">
        <f t="shared" si="24"/>
        <v>0.60709192554390479</v>
      </c>
      <c r="Z16" s="214">
        <f t="shared" si="6"/>
        <v>1.2141838510878096</v>
      </c>
      <c r="AA16" s="214">
        <f t="shared" si="25"/>
        <v>1.2141838510878096</v>
      </c>
      <c r="AB16" s="219">
        <f t="shared" si="7"/>
        <v>0.3137675475980638</v>
      </c>
      <c r="AC16" s="218">
        <v>0</v>
      </c>
      <c r="AD16" s="214">
        <f t="shared" si="26"/>
        <v>2.9535022177710969E-3</v>
      </c>
      <c r="AE16" s="219">
        <f t="shared" si="27"/>
        <v>2.9535022177710969E-3</v>
      </c>
      <c r="AF16" s="58">
        <f t="shared" si="8"/>
        <v>2.9190000000000001E-2</v>
      </c>
      <c r="AG16" s="61">
        <f t="shared" si="9"/>
        <v>2.9190000000000001E-2</v>
      </c>
      <c r="AH16" s="58">
        <f t="shared" si="10"/>
        <v>8.5651564315361811E-4</v>
      </c>
      <c r="AI16" s="49">
        <f t="shared" si="11"/>
        <v>1.5870068933299626E-2</v>
      </c>
      <c r="AJ16" s="61">
        <f t="shared" si="45"/>
        <v>1.6726584576453245E-2</v>
      </c>
      <c r="AK16" s="218">
        <f t="shared" si="12"/>
        <v>1.44</v>
      </c>
      <c r="AL16" s="214">
        <f t="shared" si="13"/>
        <v>48</v>
      </c>
      <c r="AM16" s="219">
        <f t="shared" si="28"/>
        <v>0.03</v>
      </c>
      <c r="AN16" s="218">
        <f t="shared" si="29"/>
        <v>1</v>
      </c>
      <c r="AO16" s="214">
        <f t="shared" si="30"/>
        <v>0.21486500974812653</v>
      </c>
      <c r="AP16" s="214">
        <f t="shared" si="31"/>
        <v>0.13962254736202612</v>
      </c>
      <c r="AQ16" s="214">
        <f t="shared" si="32"/>
        <v>0.28302653871510719</v>
      </c>
      <c r="AR16" s="214">
        <f t="shared" si="46"/>
        <v>0.28113581671957971</v>
      </c>
      <c r="AS16" s="219">
        <f t="shared" si="47"/>
        <v>7.5238200467398014E-2</v>
      </c>
      <c r="AT16" s="218"/>
      <c r="AU16" s="214">
        <f t="shared" si="33"/>
        <v>1.08E-5</v>
      </c>
      <c r="AV16" s="219">
        <f t="shared" si="48"/>
        <v>1.08E-5</v>
      </c>
      <c r="AW16" s="218">
        <f t="shared" si="34"/>
        <v>0.109428</v>
      </c>
      <c r="AX16" s="214">
        <f t="shared" si="35"/>
        <v>8.9999999999999993E-3</v>
      </c>
      <c r="AY16" s="219">
        <f t="shared" si="49"/>
        <v>0.11842799999999999</v>
      </c>
      <c r="AZ16" s="218">
        <f t="shared" si="14"/>
        <v>1.95E-2</v>
      </c>
      <c r="BA16" s="214">
        <f t="shared" si="15"/>
        <v>6.5</v>
      </c>
      <c r="BB16" s="214">
        <f t="shared" si="50"/>
        <v>3.0000000000000001E-3</v>
      </c>
      <c r="BC16" s="61">
        <f t="shared" si="36"/>
        <v>3.0000000000000001E-3</v>
      </c>
      <c r="BD16" s="58">
        <v>0</v>
      </c>
      <c r="BE16" s="49">
        <f t="shared" si="51"/>
        <v>1.08E-7</v>
      </c>
      <c r="BF16" s="61">
        <f t="shared" si="52"/>
        <v>1.08E-7</v>
      </c>
      <c r="BG16" s="58">
        <f t="shared" si="37"/>
        <v>1.4700399999999999E-2</v>
      </c>
      <c r="BH16" s="49">
        <f t="shared" si="38"/>
        <v>8.9999999999999998E-4</v>
      </c>
      <c r="BI16" s="61">
        <f t="shared" si="39"/>
        <v>1.5600399999999999E-2</v>
      </c>
      <c r="BK16" s="218">
        <f t="shared" si="17"/>
        <v>0</v>
      </c>
      <c r="BL16" s="214">
        <f t="shared" si="18"/>
        <v>0</v>
      </c>
      <c r="BM16" s="214">
        <f t="shared" si="19"/>
        <v>0</v>
      </c>
      <c r="BN16" s="61">
        <f t="shared" si="40"/>
        <v>0</v>
      </c>
      <c r="BO16" s="58">
        <v>0</v>
      </c>
      <c r="BP16" s="49">
        <f t="shared" si="41"/>
        <v>0</v>
      </c>
      <c r="BQ16" s="61">
        <f t="shared" si="53"/>
        <v>0</v>
      </c>
      <c r="BR16" s="58">
        <f t="shared" si="42"/>
        <v>0</v>
      </c>
      <c r="BS16" s="49">
        <f t="shared" si="54"/>
        <v>0</v>
      </c>
      <c r="BT16" s="61">
        <f t="shared" si="55"/>
        <v>0</v>
      </c>
      <c r="BU16" s="58">
        <f t="shared" si="20"/>
        <v>1.9690014785140648E-4</v>
      </c>
      <c r="BV16" s="49">
        <f t="shared" si="21"/>
        <v>2.59875E-2</v>
      </c>
      <c r="BW16" s="61">
        <f t="shared" si="22"/>
        <v>5.4000000000000003E-3</v>
      </c>
      <c r="BX16" s="49">
        <f t="shared" si="56"/>
        <v>3.2143610217771096E-2</v>
      </c>
      <c r="BY16" s="49">
        <f t="shared" si="43"/>
        <v>0.24368379494207573</v>
      </c>
      <c r="BZ16" s="49">
        <f t="shared" si="44"/>
        <v>85.692454586184965</v>
      </c>
    </row>
    <row r="17" spans="1:78" x14ac:dyDescent="0.35">
      <c r="Q17" s="49">
        <v>10</v>
      </c>
      <c r="R17" s="218">
        <f t="shared" si="0"/>
        <v>1.6216666666666668</v>
      </c>
      <c r="S17" s="214">
        <f t="shared" si="1"/>
        <v>12</v>
      </c>
      <c r="T17" s="219">
        <f t="shared" si="2"/>
        <v>0.13513888888888889</v>
      </c>
      <c r="U17" s="218">
        <f t="shared" si="3"/>
        <v>1</v>
      </c>
      <c r="V17" s="214">
        <f t="shared" si="4"/>
        <v>0.2111772557197705</v>
      </c>
      <c r="W17" s="214">
        <f t="shared" si="5"/>
        <v>0.2264876067594539</v>
      </c>
      <c r="X17" s="214">
        <f t="shared" si="23"/>
        <v>0.56233513752077557</v>
      </c>
      <c r="Y17" s="218">
        <f t="shared" si="24"/>
        <v>0.63993107793869841</v>
      </c>
      <c r="Z17" s="214">
        <f t="shared" si="6"/>
        <v>1.2798621558773968</v>
      </c>
      <c r="AA17" s="214">
        <f t="shared" si="25"/>
        <v>1.2798621558773968</v>
      </c>
      <c r="AB17" s="219">
        <f t="shared" si="7"/>
        <v>0.33956751874132418</v>
      </c>
      <c r="AC17" s="218">
        <v>0</v>
      </c>
      <c r="AD17" s="214">
        <f t="shared" si="26"/>
        <v>3.4591829935241864E-3</v>
      </c>
      <c r="AE17" s="219">
        <f t="shared" si="27"/>
        <v>3.4591829935241864E-3</v>
      </c>
      <c r="AF17" s="58">
        <f t="shared" si="8"/>
        <v>3.2433333333333335E-2</v>
      </c>
      <c r="AG17" s="61">
        <f t="shared" si="9"/>
        <v>3.2433333333333335E-2</v>
      </c>
      <c r="AH17" s="58">
        <f t="shared" si="10"/>
        <v>1.0031630681220139E-3</v>
      </c>
      <c r="AI17" s="49">
        <f t="shared" si="11"/>
        <v>1.6728521484368545E-2</v>
      </c>
      <c r="AJ17" s="61">
        <f t="shared" si="45"/>
        <v>1.7731684552490558E-2</v>
      </c>
      <c r="AK17" s="218">
        <f t="shared" si="12"/>
        <v>1.6</v>
      </c>
      <c r="AL17" s="214">
        <f t="shared" si="13"/>
        <v>48</v>
      </c>
      <c r="AM17" s="219">
        <f t="shared" si="28"/>
        <v>3.3333333333333333E-2</v>
      </c>
      <c r="AN17" s="218">
        <f t="shared" si="29"/>
        <v>1</v>
      </c>
      <c r="AO17" s="214">
        <f t="shared" si="30"/>
        <v>0.22648760675945387</v>
      </c>
      <c r="AP17" s="214">
        <f t="shared" si="31"/>
        <v>0.14717508745957888</v>
      </c>
      <c r="AQ17" s="214">
        <f t="shared" si="32"/>
        <v>0.29833616687118814</v>
      </c>
      <c r="AR17" s="214">
        <f t="shared" si="46"/>
        <v>0.29634317089517292</v>
      </c>
      <c r="AS17" s="219">
        <f t="shared" si="47"/>
        <v>8.1424765699492418E-2</v>
      </c>
      <c r="AT17" s="218"/>
      <c r="AU17" s="214">
        <f t="shared" si="33"/>
        <v>1.3333333333333333E-5</v>
      </c>
      <c r="AV17" s="219">
        <f t="shared" si="48"/>
        <v>1.3333333333333333E-5</v>
      </c>
      <c r="AW17" s="218">
        <f t="shared" si="34"/>
        <v>0.109428</v>
      </c>
      <c r="AX17" s="214">
        <f t="shared" si="35"/>
        <v>0.01</v>
      </c>
      <c r="AY17" s="219">
        <f t="shared" si="49"/>
        <v>0.11942799999999999</v>
      </c>
      <c r="AZ17" s="218">
        <f t="shared" si="14"/>
        <v>2.1666666666666667E-2</v>
      </c>
      <c r="BA17" s="214">
        <f t="shared" si="15"/>
        <v>6.5</v>
      </c>
      <c r="BB17" s="214">
        <f t="shared" si="50"/>
        <v>3.3333333333333335E-3</v>
      </c>
      <c r="BC17" s="61">
        <f t="shared" si="36"/>
        <v>3.3333333333333335E-3</v>
      </c>
      <c r="BD17" s="58">
        <v>0</v>
      </c>
      <c r="BE17" s="49">
        <f t="shared" si="51"/>
        <v>1.3333333333333336E-7</v>
      </c>
      <c r="BF17" s="61">
        <f t="shared" si="52"/>
        <v>1.3333333333333336E-7</v>
      </c>
      <c r="BG17" s="58">
        <f t="shared" si="37"/>
        <v>1.4700399999999999E-2</v>
      </c>
      <c r="BH17" s="49">
        <f t="shared" si="38"/>
        <v>1E-3</v>
      </c>
      <c r="BI17" s="61">
        <f t="shared" si="39"/>
        <v>1.57004E-2</v>
      </c>
      <c r="BK17" s="218">
        <f t="shared" si="17"/>
        <v>0</v>
      </c>
      <c r="BL17" s="214">
        <f t="shared" si="18"/>
        <v>0</v>
      </c>
      <c r="BM17" s="214">
        <f t="shared" si="19"/>
        <v>0</v>
      </c>
      <c r="BN17" s="61">
        <f t="shared" si="40"/>
        <v>0</v>
      </c>
      <c r="BO17" s="58">
        <v>0</v>
      </c>
      <c r="BP17" s="49">
        <f t="shared" si="41"/>
        <v>0</v>
      </c>
      <c r="BQ17" s="61">
        <f t="shared" si="53"/>
        <v>0</v>
      </c>
      <c r="BR17" s="58">
        <f t="shared" si="42"/>
        <v>0</v>
      </c>
      <c r="BS17" s="49">
        <f t="shared" si="54"/>
        <v>0</v>
      </c>
      <c r="BT17" s="61">
        <f t="shared" si="55"/>
        <v>0</v>
      </c>
      <c r="BU17" s="58">
        <f t="shared" si="20"/>
        <v>2.3061219956827911E-4</v>
      </c>
      <c r="BV17" s="49">
        <f t="shared" si="21"/>
        <v>2.59875E-2</v>
      </c>
      <c r="BW17" s="61">
        <f t="shared" si="22"/>
        <v>5.4000000000000003E-3</v>
      </c>
      <c r="BX17" s="49">
        <f t="shared" si="56"/>
        <v>3.5892649660190852E-2</v>
      </c>
      <c r="BY17" s="49">
        <f t="shared" si="43"/>
        <v>0.25281751307891631</v>
      </c>
      <c r="BZ17" s="49">
        <f t="shared" si="44"/>
        <v>86.512688887391391</v>
      </c>
    </row>
    <row r="18" spans="1:78" x14ac:dyDescent="0.35">
      <c r="A18" s="49" t="s">
        <v>592</v>
      </c>
      <c r="B18" s="64">
        <f>VOUT3*IOUT3</f>
        <v>0</v>
      </c>
      <c r="Q18" s="49">
        <v>11</v>
      </c>
      <c r="R18" s="218">
        <f t="shared" si="0"/>
        <v>1.7838333333333334</v>
      </c>
      <c r="S18" s="214">
        <f t="shared" si="1"/>
        <v>12</v>
      </c>
      <c r="T18" s="219">
        <f t="shared" si="2"/>
        <v>0.14865277777777777</v>
      </c>
      <c r="U18" s="218">
        <f t="shared" si="3"/>
        <v>1</v>
      </c>
      <c r="V18" s="214">
        <f t="shared" si="4"/>
        <v>0.22148457433118601</v>
      </c>
      <c r="W18" s="214">
        <f t="shared" si="5"/>
        <v>0.23754220597019701</v>
      </c>
      <c r="X18" s="214">
        <f t="shared" si="23"/>
        <v>0.540973219698617</v>
      </c>
      <c r="Y18" s="218">
        <f t="shared" si="24"/>
        <v>0.67116537676116972</v>
      </c>
      <c r="Z18" s="214">
        <f t="shared" si="6"/>
        <v>1.3423307535223397</v>
      </c>
      <c r="AA18" s="214">
        <f t="shared" si="25"/>
        <v>1.3423307535223397</v>
      </c>
      <c r="AB18" s="219">
        <f t="shared" si="7"/>
        <v>0.36472930163582357</v>
      </c>
      <c r="AC18" s="218">
        <v>0</v>
      </c>
      <c r="AD18" s="214">
        <f t="shared" si="26"/>
        <v>3.9908239041526669E-3</v>
      </c>
      <c r="AE18" s="219">
        <f t="shared" si="27"/>
        <v>3.9908239041526669E-3</v>
      </c>
      <c r="AF18" s="58">
        <f t="shared" si="8"/>
        <v>3.5676666666666669E-2</v>
      </c>
      <c r="AG18" s="61">
        <f t="shared" si="9"/>
        <v>3.5676666666666669E-2</v>
      </c>
      <c r="AH18" s="58">
        <f t="shared" si="10"/>
        <v>1.1573389322042734E-3</v>
      </c>
      <c r="AI18" s="49">
        <f t="shared" si="11"/>
        <v>1.7545021349610206E-2</v>
      </c>
      <c r="AJ18" s="61">
        <f t="shared" si="45"/>
        <v>1.8702360281814479E-2</v>
      </c>
      <c r="AK18" s="218">
        <f t="shared" si="12"/>
        <v>1.76</v>
      </c>
      <c r="AL18" s="214">
        <f t="shared" si="13"/>
        <v>48</v>
      </c>
      <c r="AM18" s="219">
        <f t="shared" si="28"/>
        <v>3.6666666666666667E-2</v>
      </c>
      <c r="AN18" s="218">
        <f t="shared" si="29"/>
        <v>1</v>
      </c>
      <c r="AO18" s="214">
        <f t="shared" si="30"/>
        <v>0.23754220597019707</v>
      </c>
      <c r="AP18" s="214">
        <f t="shared" si="31"/>
        <v>0.15435853395782223</v>
      </c>
      <c r="AQ18" s="214">
        <f t="shared" si="32"/>
        <v>0.31289761154366902</v>
      </c>
      <c r="AR18" s="214">
        <f t="shared" si="46"/>
        <v>0.31080733972965674</v>
      </c>
      <c r="AS18" s="219">
        <f t="shared" si="47"/>
        <v>8.7458300015025234E-2</v>
      </c>
      <c r="AT18" s="218"/>
      <c r="AU18" s="214">
        <f t="shared" si="33"/>
        <v>1.6133333333333334E-5</v>
      </c>
      <c r="AV18" s="219">
        <f t="shared" si="48"/>
        <v>1.6133333333333334E-5</v>
      </c>
      <c r="AW18" s="218">
        <f t="shared" si="34"/>
        <v>0.109428</v>
      </c>
      <c r="AX18" s="214">
        <f t="shared" si="35"/>
        <v>1.0999999999999999E-2</v>
      </c>
      <c r="AY18" s="219">
        <f t="shared" si="49"/>
        <v>0.12042799999999999</v>
      </c>
      <c r="AZ18" s="218">
        <f t="shared" si="14"/>
        <v>2.3833333333333331E-2</v>
      </c>
      <c r="BA18" s="214">
        <f t="shared" si="15"/>
        <v>6.5</v>
      </c>
      <c r="BB18" s="214">
        <f t="shared" si="50"/>
        <v>3.6666666666666662E-3</v>
      </c>
      <c r="BC18" s="61">
        <f t="shared" si="36"/>
        <v>3.6666666666666662E-3</v>
      </c>
      <c r="BD18" s="58">
        <v>0</v>
      </c>
      <c r="BE18" s="49">
        <f t="shared" si="51"/>
        <v>1.613333333333333E-7</v>
      </c>
      <c r="BF18" s="61">
        <f t="shared" si="52"/>
        <v>1.613333333333333E-7</v>
      </c>
      <c r="BG18" s="58">
        <f t="shared" si="37"/>
        <v>1.4700399999999999E-2</v>
      </c>
      <c r="BH18" s="49">
        <f t="shared" si="38"/>
        <v>1.0999999999999998E-3</v>
      </c>
      <c r="BI18" s="61">
        <f t="shared" si="39"/>
        <v>1.5800399999999999E-2</v>
      </c>
      <c r="BK18" s="218">
        <f t="shared" si="17"/>
        <v>0</v>
      </c>
      <c r="BL18" s="214">
        <f t="shared" si="18"/>
        <v>0</v>
      </c>
      <c r="BM18" s="214">
        <f t="shared" si="19"/>
        <v>0</v>
      </c>
      <c r="BN18" s="61">
        <f t="shared" si="40"/>
        <v>0</v>
      </c>
      <c r="BO18" s="58">
        <v>0</v>
      </c>
      <c r="BP18" s="49">
        <f t="shared" si="41"/>
        <v>0</v>
      </c>
      <c r="BQ18" s="61">
        <f t="shared" si="53"/>
        <v>0</v>
      </c>
      <c r="BR18" s="58">
        <f t="shared" si="42"/>
        <v>0</v>
      </c>
      <c r="BS18" s="49">
        <f t="shared" si="54"/>
        <v>0</v>
      </c>
      <c r="BT18" s="61">
        <f t="shared" si="55"/>
        <v>0</v>
      </c>
      <c r="BU18" s="58">
        <f t="shared" si="20"/>
        <v>2.6605492694351115E-4</v>
      </c>
      <c r="BV18" s="49">
        <f t="shared" si="21"/>
        <v>2.59875E-2</v>
      </c>
      <c r="BW18" s="61">
        <f t="shared" si="22"/>
        <v>5.4000000000000003E-3</v>
      </c>
      <c r="BX18" s="49">
        <f t="shared" si="56"/>
        <v>3.9667651904152668E-2</v>
      </c>
      <c r="BY18" s="49">
        <f t="shared" si="43"/>
        <v>0.26194476711291065</v>
      </c>
      <c r="BZ18" s="49">
        <f t="shared" si="44"/>
        <v>87.195836779376364</v>
      </c>
    </row>
    <row r="19" spans="1:78" x14ac:dyDescent="0.35">
      <c r="A19" s="49" t="s">
        <v>595</v>
      </c>
      <c r="B19" s="49">
        <f>POUT3/O11</f>
        <v>0</v>
      </c>
      <c r="Q19" s="49">
        <v>12</v>
      </c>
      <c r="R19" s="218">
        <f t="shared" si="0"/>
        <v>1.946</v>
      </c>
      <c r="S19" s="214">
        <f t="shared" si="1"/>
        <v>12</v>
      </c>
      <c r="T19" s="219">
        <f t="shared" si="2"/>
        <v>0.16216666666666665</v>
      </c>
      <c r="U19" s="218">
        <f t="shared" si="3"/>
        <v>1</v>
      </c>
      <c r="V19" s="214">
        <f t="shared" si="4"/>
        <v>0.23133309317951031</v>
      </c>
      <c r="W19" s="214">
        <f t="shared" si="5"/>
        <v>0.24810474243502481</v>
      </c>
      <c r="X19" s="214">
        <f t="shared" si="23"/>
        <v>0.52056216438546488</v>
      </c>
      <c r="Y19" s="218">
        <f t="shared" si="24"/>
        <v>0.70100937327124335</v>
      </c>
      <c r="Z19" s="214">
        <f t="shared" si="6"/>
        <v>1.4020187465424867</v>
      </c>
      <c r="AA19" s="214">
        <f t="shared" si="25"/>
        <v>1.4020187465424867</v>
      </c>
      <c r="AB19" s="219">
        <f t="shared" si="7"/>
        <v>0.38932480589774332</v>
      </c>
      <c r="AC19" s="218">
        <v>0</v>
      </c>
      <c r="AD19" s="214">
        <f t="shared" si="26"/>
        <v>4.5472141346194648E-3</v>
      </c>
      <c r="AE19" s="219">
        <f t="shared" si="27"/>
        <v>4.5472141346194648E-3</v>
      </c>
      <c r="AF19" s="58">
        <f t="shared" si="8"/>
        <v>3.8920000000000003E-2</v>
      </c>
      <c r="AG19" s="61">
        <f t="shared" si="9"/>
        <v>3.8920000000000003E-2</v>
      </c>
      <c r="AH19" s="58">
        <f t="shared" si="10"/>
        <v>1.3186920990396448E-3</v>
      </c>
      <c r="AI19" s="49">
        <f t="shared" si="11"/>
        <v>1.8325177141396917E-2</v>
      </c>
      <c r="AJ19" s="61">
        <f t="shared" si="45"/>
        <v>1.9643869240436561E-2</v>
      </c>
      <c r="AK19" s="218">
        <f t="shared" si="12"/>
        <v>1.92</v>
      </c>
      <c r="AL19" s="214">
        <f t="shared" si="13"/>
        <v>48</v>
      </c>
      <c r="AM19" s="219">
        <f t="shared" si="28"/>
        <v>0.04</v>
      </c>
      <c r="AN19" s="218">
        <f t="shared" si="29"/>
        <v>1</v>
      </c>
      <c r="AO19" s="214">
        <f t="shared" si="30"/>
        <v>0.24810474243502484</v>
      </c>
      <c r="AP19" s="214">
        <f t="shared" si="31"/>
        <v>0.1612222306088141</v>
      </c>
      <c r="AQ19" s="214">
        <f t="shared" si="32"/>
        <v>0.32681089662995033</v>
      </c>
      <c r="AR19" s="214">
        <f t="shared" si="46"/>
        <v>0.3246276789237893</v>
      </c>
      <c r="AS19" s="219">
        <f t="shared" si="47"/>
        <v>9.3356046593411277E-2</v>
      </c>
      <c r="AT19" s="218"/>
      <c r="AU19" s="214">
        <f t="shared" si="33"/>
        <v>1.9200000000000003E-5</v>
      </c>
      <c r="AV19" s="219">
        <f t="shared" si="48"/>
        <v>1.9200000000000003E-5</v>
      </c>
      <c r="AW19" s="218">
        <f t="shared" si="34"/>
        <v>0.109428</v>
      </c>
      <c r="AX19" s="214">
        <f t="shared" si="35"/>
        <v>1.2E-2</v>
      </c>
      <c r="AY19" s="219">
        <f t="shared" si="49"/>
        <v>0.12142799999999999</v>
      </c>
      <c r="AZ19" s="218">
        <f t="shared" si="14"/>
        <v>2.5999999999999999E-2</v>
      </c>
      <c r="BA19" s="214">
        <f t="shared" si="15"/>
        <v>6.5</v>
      </c>
      <c r="BB19" s="214">
        <f t="shared" si="50"/>
        <v>4.0000000000000001E-3</v>
      </c>
      <c r="BC19" s="61">
        <f t="shared" si="36"/>
        <v>4.0000000000000001E-3</v>
      </c>
      <c r="BD19" s="58">
        <v>0</v>
      </c>
      <c r="BE19" s="49">
        <f t="shared" si="51"/>
        <v>1.92E-7</v>
      </c>
      <c r="BF19" s="61">
        <f t="shared" si="52"/>
        <v>1.92E-7</v>
      </c>
      <c r="BG19" s="58">
        <f t="shared" si="37"/>
        <v>1.4700399999999999E-2</v>
      </c>
      <c r="BH19" s="49">
        <f t="shared" si="38"/>
        <v>1.1999999999999999E-3</v>
      </c>
      <c r="BI19" s="61">
        <f t="shared" si="39"/>
        <v>1.5900399999999999E-2</v>
      </c>
      <c r="BK19" s="218">
        <f t="shared" si="17"/>
        <v>0</v>
      </c>
      <c r="BL19" s="214">
        <f t="shared" si="18"/>
        <v>0</v>
      </c>
      <c r="BM19" s="214">
        <f t="shared" si="19"/>
        <v>0</v>
      </c>
      <c r="BN19" s="61">
        <f t="shared" si="40"/>
        <v>0</v>
      </c>
      <c r="BO19" s="58">
        <v>0</v>
      </c>
      <c r="BP19" s="49">
        <f t="shared" si="41"/>
        <v>0</v>
      </c>
      <c r="BQ19" s="61">
        <f t="shared" si="53"/>
        <v>0</v>
      </c>
      <c r="BR19" s="58">
        <f t="shared" si="42"/>
        <v>0</v>
      </c>
      <c r="BS19" s="49">
        <f t="shared" si="54"/>
        <v>0</v>
      </c>
      <c r="BT19" s="61">
        <f t="shared" si="55"/>
        <v>0</v>
      </c>
      <c r="BU19" s="58">
        <f t="shared" si="20"/>
        <v>3.0314760897463101E-4</v>
      </c>
      <c r="BV19" s="49">
        <f t="shared" si="21"/>
        <v>2.59875E-2</v>
      </c>
      <c r="BW19" s="61">
        <f t="shared" si="22"/>
        <v>5.4000000000000003E-3</v>
      </c>
      <c r="BX19" s="49">
        <f t="shared" si="56"/>
        <v>4.3467406134619468E-2</v>
      </c>
      <c r="BY19" s="49">
        <f t="shared" si="43"/>
        <v>0.2710695229840307</v>
      </c>
      <c r="BZ19" s="49">
        <f t="shared" si="44"/>
        <v>87.773521751397809</v>
      </c>
    </row>
    <row r="20" spans="1:78" x14ac:dyDescent="0.35">
      <c r="Q20" s="49">
        <v>13</v>
      </c>
      <c r="R20" s="218">
        <f t="shared" si="0"/>
        <v>2.1081666666666665</v>
      </c>
      <c r="S20" s="214">
        <f t="shared" si="1"/>
        <v>12</v>
      </c>
      <c r="T20" s="219">
        <f t="shared" si="2"/>
        <v>0.17568055555555553</v>
      </c>
      <c r="U20" s="218">
        <f t="shared" si="3"/>
        <v>1</v>
      </c>
      <c r="V20" s="214">
        <f t="shared" si="4"/>
        <v>0.24077911731155868</v>
      </c>
      <c r="W20" s="214">
        <f t="shared" si="5"/>
        <v>0.25823560331664669</v>
      </c>
      <c r="X20" s="214">
        <f t="shared" si="23"/>
        <v>0.5009852793717946</v>
      </c>
      <c r="Y20" s="218">
        <f t="shared" si="24"/>
        <v>0.72963368882290491</v>
      </c>
      <c r="Z20" s="214">
        <f t="shared" si="6"/>
        <v>1.4592673776458103</v>
      </c>
      <c r="AA20" s="214">
        <f t="shared" si="25"/>
        <v>1.45926737764581</v>
      </c>
      <c r="AB20" s="219">
        <f t="shared" si="7"/>
        <v>0.41341254908296676</v>
      </c>
      <c r="AC20" s="218">
        <v>0</v>
      </c>
      <c r="AD20" s="214">
        <f t="shared" si="26"/>
        <v>5.1272980721782917E-3</v>
      </c>
      <c r="AE20" s="219">
        <f t="shared" si="27"/>
        <v>5.1272980721782917E-3</v>
      </c>
      <c r="AF20" s="58">
        <f t="shared" si="8"/>
        <v>4.216333333333333E-2</v>
      </c>
      <c r="AG20" s="61">
        <f t="shared" si="9"/>
        <v>4.216333333333333E-2</v>
      </c>
      <c r="AH20" s="58">
        <f t="shared" si="10"/>
        <v>1.4869164409317046E-3</v>
      </c>
      <c r="AI20" s="49">
        <f t="shared" si="11"/>
        <v>1.9073449094719964E-2</v>
      </c>
      <c r="AJ20" s="61">
        <f t="shared" si="45"/>
        <v>2.0560365535651669E-2</v>
      </c>
      <c r="AK20" s="218">
        <f t="shared" si="12"/>
        <v>2.08</v>
      </c>
      <c r="AL20" s="214">
        <f t="shared" si="13"/>
        <v>48</v>
      </c>
      <c r="AM20" s="219">
        <f t="shared" si="28"/>
        <v>4.3333333333333335E-2</v>
      </c>
      <c r="AN20" s="218">
        <f t="shared" si="29"/>
        <v>1</v>
      </c>
      <c r="AO20" s="214">
        <f t="shared" si="30"/>
        <v>0.25823560331664669</v>
      </c>
      <c r="AP20" s="214">
        <f t="shared" si="31"/>
        <v>0.16780541790822817</v>
      </c>
      <c r="AQ20" s="214">
        <f t="shared" si="32"/>
        <v>0.34015556588480428</v>
      </c>
      <c r="AR20" s="214">
        <f t="shared" si="46"/>
        <v>0.33788320085063028</v>
      </c>
      <c r="AS20" s="219">
        <f t="shared" si="47"/>
        <v>9.9132037337038528E-2</v>
      </c>
      <c r="AT20" s="218"/>
      <c r="AU20" s="214">
        <f t="shared" si="33"/>
        <v>2.2533333333333337E-5</v>
      </c>
      <c r="AV20" s="219">
        <f t="shared" si="48"/>
        <v>2.2533333333333337E-5</v>
      </c>
      <c r="AW20" s="218">
        <f t="shared" si="34"/>
        <v>0.109428</v>
      </c>
      <c r="AX20" s="214">
        <f t="shared" si="35"/>
        <v>1.2999999999999999E-2</v>
      </c>
      <c r="AY20" s="219">
        <f t="shared" si="49"/>
        <v>0.122428</v>
      </c>
      <c r="AZ20" s="218">
        <f t="shared" si="14"/>
        <v>2.8166666666666666E-2</v>
      </c>
      <c r="BA20" s="214">
        <f t="shared" si="15"/>
        <v>6.5</v>
      </c>
      <c r="BB20" s="214">
        <f t="shared" si="50"/>
        <v>4.3333333333333331E-3</v>
      </c>
      <c r="BC20" s="61">
        <f t="shared" si="36"/>
        <v>4.3333333333333331E-3</v>
      </c>
      <c r="BD20" s="58">
        <v>0</v>
      </c>
      <c r="BE20" s="49">
        <f t="shared" si="51"/>
        <v>2.2533333333333334E-7</v>
      </c>
      <c r="BF20" s="61">
        <f t="shared" si="52"/>
        <v>2.2533333333333334E-7</v>
      </c>
      <c r="BG20" s="58">
        <f t="shared" si="37"/>
        <v>1.4700399999999999E-2</v>
      </c>
      <c r="BH20" s="49">
        <f t="shared" si="38"/>
        <v>1.2999999999999999E-3</v>
      </c>
      <c r="BI20" s="61">
        <f t="shared" si="39"/>
        <v>1.6000399999999998E-2</v>
      </c>
      <c r="BK20" s="218">
        <f t="shared" si="17"/>
        <v>0</v>
      </c>
      <c r="BL20" s="214">
        <f t="shared" si="18"/>
        <v>0</v>
      </c>
      <c r="BM20" s="214">
        <f t="shared" si="19"/>
        <v>0</v>
      </c>
      <c r="BN20" s="61">
        <f t="shared" si="40"/>
        <v>0</v>
      </c>
      <c r="BO20" s="58">
        <v>0</v>
      </c>
      <c r="BP20" s="49">
        <f t="shared" si="41"/>
        <v>0</v>
      </c>
      <c r="BQ20" s="61">
        <f t="shared" si="53"/>
        <v>0</v>
      </c>
      <c r="BR20" s="58">
        <f t="shared" si="42"/>
        <v>0</v>
      </c>
      <c r="BS20" s="49">
        <f t="shared" si="54"/>
        <v>0</v>
      </c>
      <c r="BT20" s="61">
        <f t="shared" si="55"/>
        <v>0</v>
      </c>
      <c r="BU20" s="58">
        <f t="shared" si="20"/>
        <v>3.4181987147855283E-4</v>
      </c>
      <c r="BV20" s="49">
        <f t="shared" si="21"/>
        <v>2.59875E-2</v>
      </c>
      <c r="BW20" s="61">
        <f t="shared" si="22"/>
        <v>5.4000000000000003E-3</v>
      </c>
      <c r="BX20" s="49">
        <f t="shared" si="56"/>
        <v>4.7290856738844957E-2</v>
      </c>
      <c r="BY20" s="49">
        <f t="shared" si="43"/>
        <v>0.2801948088126418</v>
      </c>
      <c r="BZ20" s="49">
        <f t="shared" si="44"/>
        <v>88.268324887613133</v>
      </c>
    </row>
    <row r="21" spans="1:78" x14ac:dyDescent="0.35">
      <c r="Q21" s="49">
        <v>14</v>
      </c>
      <c r="R21" s="218">
        <f t="shared" si="0"/>
        <v>2.2703333333333338</v>
      </c>
      <c r="S21" s="214">
        <f t="shared" si="1"/>
        <v>12</v>
      </c>
      <c r="T21" s="219">
        <f t="shared" si="2"/>
        <v>0.18919444444444447</v>
      </c>
      <c r="U21" s="218">
        <f t="shared" si="3"/>
        <v>1</v>
      </c>
      <c r="V21" s="214">
        <f t="shared" si="4"/>
        <v>0.24986829864283841</v>
      </c>
      <c r="W21" s="214">
        <f t="shared" si="5"/>
        <v>0.26798375029444421</v>
      </c>
      <c r="X21" s="214">
        <f t="shared" si="23"/>
        <v>0.48214795106271735</v>
      </c>
      <c r="Y21" s="218">
        <f t="shared" si="24"/>
        <v>0.7571766625540558</v>
      </c>
      <c r="Z21" s="214">
        <f t="shared" si="6"/>
        <v>1.5143533251081116</v>
      </c>
      <c r="AA21" s="214">
        <f t="shared" si="25"/>
        <v>1.5143533251081116</v>
      </c>
      <c r="AB21" s="219">
        <f t="shared" si="7"/>
        <v>0.43704098666404761</v>
      </c>
      <c r="AC21" s="218">
        <v>0</v>
      </c>
      <c r="AD21" s="214">
        <f t="shared" si="26"/>
        <v>5.7301447207285276E-3</v>
      </c>
      <c r="AE21" s="219">
        <f t="shared" si="27"/>
        <v>5.7301447207285276E-3</v>
      </c>
      <c r="AF21" s="58">
        <f t="shared" si="8"/>
        <v>4.5406666666666679E-2</v>
      </c>
      <c r="AG21" s="61">
        <f t="shared" si="9"/>
        <v>4.5406666666666679E-2</v>
      </c>
      <c r="AH21" s="58">
        <f t="shared" si="10"/>
        <v>1.6617419690112729E-3</v>
      </c>
      <c r="AI21" s="49">
        <f t="shared" si="11"/>
        <v>1.9793453550964069E-2</v>
      </c>
      <c r="AJ21" s="61">
        <f t="shared" si="45"/>
        <v>2.145519551997534E-2</v>
      </c>
      <c r="AK21" s="218">
        <f t="shared" si="12"/>
        <v>2.2400000000000002</v>
      </c>
      <c r="AL21" s="214">
        <f t="shared" si="13"/>
        <v>48</v>
      </c>
      <c r="AM21" s="219">
        <f t="shared" si="28"/>
        <v>4.6666666666666669E-2</v>
      </c>
      <c r="AN21" s="218">
        <f t="shared" si="29"/>
        <v>1</v>
      </c>
      <c r="AO21" s="214">
        <f t="shared" si="30"/>
        <v>0.26798375029444416</v>
      </c>
      <c r="AP21" s="214">
        <f t="shared" si="31"/>
        <v>0.17413991189910652</v>
      </c>
      <c r="AQ21" s="214">
        <f t="shared" si="32"/>
        <v>0.35299611307881384</v>
      </c>
      <c r="AR21" s="214">
        <f t="shared" si="46"/>
        <v>0.35063796843851347</v>
      </c>
      <c r="AS21" s="219">
        <f t="shared" si="47"/>
        <v>0.10479789136517426</v>
      </c>
      <c r="AT21" s="218"/>
      <c r="AU21" s="214">
        <f t="shared" si="33"/>
        <v>2.6133333333333336E-5</v>
      </c>
      <c r="AV21" s="219">
        <f t="shared" si="48"/>
        <v>2.6133333333333336E-5</v>
      </c>
      <c r="AW21" s="218">
        <f t="shared" si="34"/>
        <v>0.109428</v>
      </c>
      <c r="AX21" s="214">
        <f t="shared" si="35"/>
        <v>1.4E-2</v>
      </c>
      <c r="AY21" s="219">
        <f t="shared" si="49"/>
        <v>0.123428</v>
      </c>
      <c r="AZ21" s="218">
        <f t="shared" si="14"/>
        <v>3.033333333333333E-2</v>
      </c>
      <c r="BA21" s="214">
        <f t="shared" si="15"/>
        <v>6.5</v>
      </c>
      <c r="BB21" s="214">
        <f t="shared" si="50"/>
        <v>4.6666666666666662E-3</v>
      </c>
      <c r="BC21" s="61">
        <f t="shared" si="36"/>
        <v>4.6666666666666662E-3</v>
      </c>
      <c r="BD21" s="58">
        <v>0</v>
      </c>
      <c r="BE21" s="49">
        <f t="shared" si="51"/>
        <v>2.6133333333333329E-7</v>
      </c>
      <c r="BF21" s="61">
        <f t="shared" si="52"/>
        <v>2.6133333333333329E-7</v>
      </c>
      <c r="BG21" s="58">
        <f t="shared" si="37"/>
        <v>1.4700399999999999E-2</v>
      </c>
      <c r="BH21" s="49">
        <f t="shared" si="38"/>
        <v>1.3999999999999998E-3</v>
      </c>
      <c r="BI21" s="61">
        <f t="shared" si="39"/>
        <v>1.6100399999999997E-2</v>
      </c>
      <c r="BK21" s="218">
        <f t="shared" si="17"/>
        <v>0</v>
      </c>
      <c r="BL21" s="214">
        <f t="shared" si="18"/>
        <v>0</v>
      </c>
      <c r="BM21" s="214">
        <f t="shared" si="19"/>
        <v>0</v>
      </c>
      <c r="BN21" s="61">
        <f t="shared" si="40"/>
        <v>0</v>
      </c>
      <c r="BO21" s="58">
        <v>0</v>
      </c>
      <c r="BP21" s="49">
        <f t="shared" si="41"/>
        <v>0</v>
      </c>
      <c r="BQ21" s="61">
        <f t="shared" si="53"/>
        <v>0</v>
      </c>
      <c r="BR21" s="58">
        <f t="shared" si="42"/>
        <v>0</v>
      </c>
      <c r="BS21" s="49">
        <f t="shared" si="54"/>
        <v>0</v>
      </c>
      <c r="BT21" s="61">
        <f t="shared" si="55"/>
        <v>0</v>
      </c>
      <c r="BU21" s="58">
        <f t="shared" si="20"/>
        <v>3.8200964804856852E-4</v>
      </c>
      <c r="BV21" s="49">
        <f t="shared" si="21"/>
        <v>2.59875E-2</v>
      </c>
      <c r="BW21" s="61">
        <f t="shared" si="22"/>
        <v>5.4000000000000003E-3</v>
      </c>
      <c r="BX21" s="49">
        <f t="shared" si="56"/>
        <v>5.1137072720728538E-2</v>
      </c>
      <c r="BY21" s="49">
        <f t="shared" si="43"/>
        <v>0.2893229778887525</v>
      </c>
      <c r="BZ21" s="49">
        <f t="shared" si="44"/>
        <v>88.696803683357871</v>
      </c>
    </row>
    <row r="22" spans="1:78" x14ac:dyDescent="0.35">
      <c r="Q22" s="49">
        <v>15</v>
      </c>
      <c r="R22" s="218">
        <f t="shared" si="0"/>
        <v>2.4325000000000001</v>
      </c>
      <c r="S22" s="214">
        <f t="shared" si="1"/>
        <v>12</v>
      </c>
      <c r="T22" s="219">
        <f t="shared" si="2"/>
        <v>0.20270833333333335</v>
      </c>
      <c r="U22" s="218">
        <f t="shared" si="3"/>
        <v>1</v>
      </c>
      <c r="V22" s="214">
        <f t="shared" si="4"/>
        <v>0.25863826089733899</v>
      </c>
      <c r="W22" s="214">
        <f t="shared" si="5"/>
        <v>0.27738953481239609</v>
      </c>
      <c r="X22" s="214">
        <f t="shared" si="23"/>
        <v>0.46397220429026492</v>
      </c>
      <c r="Y22" s="218">
        <f t="shared" si="24"/>
        <v>0.78375230574951227</v>
      </c>
      <c r="Z22" s="214">
        <f t="shared" si="6"/>
        <v>1.5675046114990241</v>
      </c>
      <c r="AA22" s="214">
        <f t="shared" si="25"/>
        <v>1.5675046114990243</v>
      </c>
      <c r="AB22" s="219">
        <f t="shared" si="7"/>
        <v>0.46025083544322609</v>
      </c>
      <c r="AC22" s="218">
        <v>0</v>
      </c>
      <c r="AD22" s="214">
        <f t="shared" si="26"/>
        <v>6.3549249457856274E-3</v>
      </c>
      <c r="AE22" s="219">
        <f t="shared" si="27"/>
        <v>6.3549249457856274E-3</v>
      </c>
      <c r="AF22" s="58">
        <f t="shared" si="8"/>
        <v>4.8650000000000006E-2</v>
      </c>
      <c r="AG22" s="61">
        <f t="shared" si="9"/>
        <v>4.8650000000000006E-2</v>
      </c>
      <c r="AH22" s="58">
        <f t="shared" si="10"/>
        <v>1.8429282342778319E-3</v>
      </c>
      <c r="AI22" s="49">
        <f t="shared" si="11"/>
        <v>2.0488170893944391E-2</v>
      </c>
      <c r="AJ22" s="61">
        <f t="shared" si="45"/>
        <v>2.2331099128222221E-2</v>
      </c>
      <c r="AK22" s="218">
        <f t="shared" si="12"/>
        <v>2.4</v>
      </c>
      <c r="AL22" s="214">
        <f t="shared" si="13"/>
        <v>48</v>
      </c>
      <c r="AM22" s="219">
        <f t="shared" si="28"/>
        <v>4.9999999999999996E-2</v>
      </c>
      <c r="AN22" s="218">
        <f t="shared" si="29"/>
        <v>1</v>
      </c>
      <c r="AO22" s="214">
        <f t="shared" si="30"/>
        <v>0.27738953481239603</v>
      </c>
      <c r="AP22" s="214">
        <f t="shared" si="31"/>
        <v>0.18025193356272787</v>
      </c>
      <c r="AQ22" s="214">
        <f t="shared" si="32"/>
        <v>0.36538569032611284</v>
      </c>
      <c r="AR22" s="214">
        <f t="shared" si="46"/>
        <v>0.36294477872578429</v>
      </c>
      <c r="AS22" s="219">
        <f t="shared" si="47"/>
        <v>0.11036337214428527</v>
      </c>
      <c r="AT22" s="218"/>
      <c r="AU22" s="214">
        <f t="shared" si="33"/>
        <v>2.9999999999999997E-5</v>
      </c>
      <c r="AV22" s="219">
        <f t="shared" si="48"/>
        <v>2.9999999999999997E-5</v>
      </c>
      <c r="AW22" s="218">
        <f t="shared" si="34"/>
        <v>0.109428</v>
      </c>
      <c r="AX22" s="214">
        <f t="shared" si="35"/>
        <v>1.4999999999999998E-2</v>
      </c>
      <c r="AY22" s="219">
        <f t="shared" si="49"/>
        <v>0.124428</v>
      </c>
      <c r="AZ22" s="218">
        <f t="shared" si="14"/>
        <v>3.2500000000000001E-2</v>
      </c>
      <c r="BA22" s="214">
        <f t="shared" si="15"/>
        <v>6.5</v>
      </c>
      <c r="BB22" s="214">
        <f t="shared" si="50"/>
        <v>5.0000000000000001E-3</v>
      </c>
      <c r="BC22" s="61">
        <f t="shared" si="36"/>
        <v>5.0000000000000001E-3</v>
      </c>
      <c r="BD22" s="58">
        <v>0</v>
      </c>
      <c r="BE22" s="49">
        <f t="shared" si="51"/>
        <v>3.0000000000000004E-7</v>
      </c>
      <c r="BF22" s="61">
        <f t="shared" si="52"/>
        <v>3.0000000000000004E-7</v>
      </c>
      <c r="BG22" s="58">
        <f t="shared" si="37"/>
        <v>1.4700399999999999E-2</v>
      </c>
      <c r="BH22" s="49">
        <f t="shared" si="38"/>
        <v>1.5E-3</v>
      </c>
      <c r="BI22" s="61">
        <f t="shared" si="39"/>
        <v>1.62004E-2</v>
      </c>
      <c r="BK22" s="218">
        <f t="shared" si="17"/>
        <v>0</v>
      </c>
      <c r="BL22" s="214">
        <f t="shared" si="18"/>
        <v>0</v>
      </c>
      <c r="BM22" s="214">
        <f t="shared" si="19"/>
        <v>0</v>
      </c>
      <c r="BN22" s="61">
        <f t="shared" si="40"/>
        <v>0</v>
      </c>
      <c r="BO22" s="58">
        <v>0</v>
      </c>
      <c r="BP22" s="49">
        <f t="shared" si="41"/>
        <v>0</v>
      </c>
      <c r="BQ22" s="61">
        <f t="shared" si="53"/>
        <v>0</v>
      </c>
      <c r="BR22" s="58">
        <f t="shared" si="42"/>
        <v>0</v>
      </c>
      <c r="BS22" s="49">
        <f t="shared" si="54"/>
        <v>0</v>
      </c>
      <c r="BT22" s="61">
        <f t="shared" si="55"/>
        <v>0</v>
      </c>
      <c r="BU22" s="58">
        <f t="shared" si="20"/>
        <v>4.2366166305237519E-4</v>
      </c>
      <c r="BV22" s="49">
        <f t="shared" si="21"/>
        <v>2.59875E-2</v>
      </c>
      <c r="BW22" s="61">
        <f t="shared" si="22"/>
        <v>5.4000000000000003E-3</v>
      </c>
      <c r="BX22" s="49">
        <f t="shared" si="56"/>
        <v>5.5005224945785636E-2</v>
      </c>
      <c r="BY22" s="49">
        <f t="shared" si="43"/>
        <v>0.29845588573706022</v>
      </c>
      <c r="BZ22" s="49">
        <f t="shared" si="44"/>
        <v>89.071376535380779</v>
      </c>
    </row>
    <row r="23" spans="1:78" x14ac:dyDescent="0.35">
      <c r="Q23" s="49">
        <v>16</v>
      </c>
      <c r="R23" s="218">
        <f t="shared" si="0"/>
        <v>2.5946666666666669</v>
      </c>
      <c r="S23" s="214">
        <f t="shared" si="1"/>
        <v>12</v>
      </c>
      <c r="T23" s="219">
        <f t="shared" si="2"/>
        <v>0.21622222222222223</v>
      </c>
      <c r="U23" s="218">
        <f t="shared" si="3"/>
        <v>1</v>
      </c>
      <c r="V23" s="214">
        <f t="shared" si="4"/>
        <v>0.2671204472393181</v>
      </c>
      <c r="W23" s="214">
        <f t="shared" si="5"/>
        <v>0.28648667966416869</v>
      </c>
      <c r="X23" s="214">
        <f t="shared" si="23"/>
        <v>0.44639287309651327</v>
      </c>
      <c r="Y23" s="218">
        <f t="shared" si="24"/>
        <v>0.80945590072520646</v>
      </c>
      <c r="Z23" s="214">
        <f t="shared" si="6"/>
        <v>1.6189118014504129</v>
      </c>
      <c r="AA23" s="214">
        <f t="shared" si="25"/>
        <v>1.6189118014504129</v>
      </c>
      <c r="AB23" s="219">
        <f t="shared" si="7"/>
        <v>0.48307674151656221</v>
      </c>
      <c r="AC23" s="218">
        <v>0</v>
      </c>
      <c r="AD23" s="214">
        <f t="shared" si="26"/>
        <v>7.0008941458277836E-3</v>
      </c>
      <c r="AE23" s="219">
        <f t="shared" si="27"/>
        <v>7.0008941458277836E-3</v>
      </c>
      <c r="AF23" s="58">
        <f t="shared" si="8"/>
        <v>5.189333333333334E-2</v>
      </c>
      <c r="AG23" s="61">
        <f t="shared" si="9"/>
        <v>5.189333333333334E-2</v>
      </c>
      <c r="AH23" s="58">
        <f t="shared" si="10"/>
        <v>2.0302593022900571E-3</v>
      </c>
      <c r="AI23" s="49">
        <f t="shared" si="11"/>
        <v>2.1160091911066173E-2</v>
      </c>
      <c r="AJ23" s="61">
        <f t="shared" si="45"/>
        <v>2.319035121335623E-2</v>
      </c>
      <c r="AK23" s="218">
        <f t="shared" si="12"/>
        <v>2.56</v>
      </c>
      <c r="AL23" s="214">
        <f t="shared" si="13"/>
        <v>48</v>
      </c>
      <c r="AM23" s="219">
        <f t="shared" si="28"/>
        <v>5.3333333333333337E-2</v>
      </c>
      <c r="AN23" s="218">
        <f t="shared" si="29"/>
        <v>1</v>
      </c>
      <c r="AO23" s="214">
        <f t="shared" si="30"/>
        <v>0.28648667966416869</v>
      </c>
      <c r="AP23" s="214">
        <f t="shared" si="31"/>
        <v>0.1861633964827015</v>
      </c>
      <c r="AQ23" s="214">
        <f t="shared" si="32"/>
        <v>0.37736871828680951</v>
      </c>
      <c r="AR23" s="214">
        <f t="shared" si="46"/>
        <v>0.37484775562610628</v>
      </c>
      <c r="AS23" s="219">
        <f t="shared" si="47"/>
        <v>0.11583678744852073</v>
      </c>
      <c r="AT23" s="218"/>
      <c r="AU23" s="214">
        <f t="shared" si="33"/>
        <v>3.4133333333333341E-5</v>
      </c>
      <c r="AV23" s="219">
        <f t="shared" si="48"/>
        <v>3.4133333333333341E-5</v>
      </c>
      <c r="AW23" s="218">
        <f t="shared" si="34"/>
        <v>0.109428</v>
      </c>
      <c r="AX23" s="214">
        <f t="shared" si="35"/>
        <v>1.6E-2</v>
      </c>
      <c r="AY23" s="219">
        <f t="shared" si="49"/>
        <v>0.12542799999999998</v>
      </c>
      <c r="AZ23" s="218">
        <f t="shared" si="14"/>
        <v>3.4666666666666665E-2</v>
      </c>
      <c r="BA23" s="214">
        <f t="shared" si="15"/>
        <v>6.5</v>
      </c>
      <c r="BB23" s="214">
        <f t="shared" si="50"/>
        <v>5.3333333333333332E-3</v>
      </c>
      <c r="BC23" s="61">
        <f t="shared" si="36"/>
        <v>5.3333333333333332E-3</v>
      </c>
      <c r="BD23" s="58">
        <v>0</v>
      </c>
      <c r="BE23" s="49">
        <f t="shared" si="51"/>
        <v>3.4133333333333332E-7</v>
      </c>
      <c r="BF23" s="61">
        <f t="shared" si="52"/>
        <v>3.4133333333333332E-7</v>
      </c>
      <c r="BG23" s="58">
        <f t="shared" si="37"/>
        <v>1.4700399999999999E-2</v>
      </c>
      <c r="BH23" s="49">
        <f t="shared" si="38"/>
        <v>1.5999999999999999E-3</v>
      </c>
      <c r="BI23" s="61">
        <f t="shared" si="39"/>
        <v>1.63004E-2</v>
      </c>
      <c r="BK23" s="218">
        <f t="shared" si="17"/>
        <v>0</v>
      </c>
      <c r="BL23" s="214">
        <f t="shared" si="18"/>
        <v>0</v>
      </c>
      <c r="BM23" s="214">
        <f t="shared" si="19"/>
        <v>0</v>
      </c>
      <c r="BN23" s="61">
        <f t="shared" si="40"/>
        <v>0</v>
      </c>
      <c r="BO23" s="58">
        <v>0</v>
      </c>
      <c r="BP23" s="49">
        <f t="shared" si="41"/>
        <v>0</v>
      </c>
      <c r="BQ23" s="61">
        <f t="shared" si="53"/>
        <v>0</v>
      </c>
      <c r="BR23" s="58">
        <f t="shared" si="42"/>
        <v>0</v>
      </c>
      <c r="BS23" s="49">
        <f t="shared" si="54"/>
        <v>0</v>
      </c>
      <c r="BT23" s="61">
        <f t="shared" si="55"/>
        <v>0</v>
      </c>
      <c r="BU23" s="58">
        <f t="shared" si="20"/>
        <v>4.6672627638851894E-4</v>
      </c>
      <c r="BV23" s="49">
        <f t="shared" si="21"/>
        <v>2.59875E-2</v>
      </c>
      <c r="BW23" s="61">
        <f t="shared" si="22"/>
        <v>5.4000000000000003E-3</v>
      </c>
      <c r="BX23" s="49">
        <f t="shared" si="56"/>
        <v>5.8894568812494455E-2</v>
      </c>
      <c r="BY23" s="49">
        <f t="shared" si="43"/>
        <v>0.30759501296890585</v>
      </c>
      <c r="BZ23" s="49">
        <f t="shared" si="44"/>
        <v>89.401541042035547</v>
      </c>
    </row>
    <row r="24" spans="1:78" x14ac:dyDescent="0.35">
      <c r="Q24" s="49">
        <v>17</v>
      </c>
      <c r="R24" s="218">
        <f t="shared" si="0"/>
        <v>2.7568333333333337</v>
      </c>
      <c r="S24" s="214">
        <f t="shared" si="1"/>
        <v>12</v>
      </c>
      <c r="T24" s="219">
        <f t="shared" si="2"/>
        <v>0.22973611111111114</v>
      </c>
      <c r="U24" s="218">
        <f t="shared" si="3"/>
        <v>1</v>
      </c>
      <c r="V24" s="214">
        <f t="shared" si="4"/>
        <v>0.27534145468248455</v>
      </c>
      <c r="W24" s="214">
        <f t="shared" si="5"/>
        <v>0.29530371014696472</v>
      </c>
      <c r="X24" s="214">
        <f t="shared" si="23"/>
        <v>0.42935483517055067</v>
      </c>
      <c r="Y24" s="218">
        <f t="shared" si="24"/>
        <v>0.83436804449237734</v>
      </c>
      <c r="Z24" s="214">
        <f t="shared" si="6"/>
        <v>1.6687360889847547</v>
      </c>
      <c r="AA24" s="214">
        <f t="shared" si="25"/>
        <v>1.6687360889847547</v>
      </c>
      <c r="AB24" s="219">
        <f t="shared" si="7"/>
        <v>0.50554850710498778</v>
      </c>
      <c r="AC24" s="218">
        <v>0</v>
      </c>
      <c r="AD24" s="214">
        <f t="shared" si="26"/>
        <v>7.6673787910824564E-3</v>
      </c>
      <c r="AE24" s="219">
        <f t="shared" si="27"/>
        <v>7.6673787910824564E-3</v>
      </c>
      <c r="AF24" s="58">
        <f t="shared" si="8"/>
        <v>5.5136666666666674E-2</v>
      </c>
      <c r="AG24" s="61">
        <f t="shared" si="9"/>
        <v>5.5136666666666674E-2</v>
      </c>
      <c r="AH24" s="58">
        <f t="shared" si="10"/>
        <v>2.2235398494139125E-3</v>
      </c>
      <c r="AI24" s="49">
        <f t="shared" si="11"/>
        <v>2.181132349927592E-2</v>
      </c>
      <c r="AJ24" s="61">
        <f t="shared" si="45"/>
        <v>2.4034863348689831E-2</v>
      </c>
      <c r="AK24" s="218">
        <f t="shared" si="12"/>
        <v>2.72</v>
      </c>
      <c r="AL24" s="214">
        <f t="shared" si="13"/>
        <v>48</v>
      </c>
      <c r="AM24" s="219">
        <f t="shared" si="28"/>
        <v>5.6666666666666671E-2</v>
      </c>
      <c r="AN24" s="218">
        <f t="shared" si="29"/>
        <v>1</v>
      </c>
      <c r="AO24" s="214">
        <f t="shared" si="30"/>
        <v>0.2953037101469646</v>
      </c>
      <c r="AP24" s="214">
        <f t="shared" si="31"/>
        <v>0.19189283683047942</v>
      </c>
      <c r="AQ24" s="214">
        <f t="shared" si="32"/>
        <v>0.38898277132511755</v>
      </c>
      <c r="AR24" s="214">
        <f t="shared" si="46"/>
        <v>0.38638422249303817</v>
      </c>
      <c r="AS24" s="219">
        <f t="shared" si="47"/>
        <v>0.12122528354106164</v>
      </c>
      <c r="AT24" s="218"/>
      <c r="AU24" s="214">
        <f t="shared" si="33"/>
        <v>3.8533333333333339E-5</v>
      </c>
      <c r="AV24" s="219">
        <f t="shared" si="48"/>
        <v>3.8533333333333339E-5</v>
      </c>
      <c r="AW24" s="218">
        <f t="shared" si="34"/>
        <v>0.109428</v>
      </c>
      <c r="AX24" s="214">
        <f t="shared" si="35"/>
        <v>1.7000000000000001E-2</v>
      </c>
      <c r="AY24" s="219">
        <f t="shared" si="49"/>
        <v>0.12642799999999998</v>
      </c>
      <c r="AZ24" s="218">
        <f t="shared" si="14"/>
        <v>3.6833333333333329E-2</v>
      </c>
      <c r="BA24" s="214">
        <f t="shared" si="15"/>
        <v>6.5</v>
      </c>
      <c r="BB24" s="214">
        <f t="shared" si="50"/>
        <v>5.6666666666666662E-3</v>
      </c>
      <c r="BC24" s="61">
        <f t="shared" si="36"/>
        <v>5.6666666666666662E-3</v>
      </c>
      <c r="BD24" s="58">
        <v>0</v>
      </c>
      <c r="BE24" s="49">
        <f t="shared" si="51"/>
        <v>3.8533333333333329E-7</v>
      </c>
      <c r="BF24" s="61">
        <f t="shared" si="52"/>
        <v>3.8533333333333329E-7</v>
      </c>
      <c r="BG24" s="58">
        <f t="shared" si="37"/>
        <v>1.4700399999999999E-2</v>
      </c>
      <c r="BH24" s="49">
        <f t="shared" si="38"/>
        <v>1.6999999999999999E-3</v>
      </c>
      <c r="BI24" s="61">
        <f t="shared" si="39"/>
        <v>1.6400399999999999E-2</v>
      </c>
      <c r="BK24" s="218">
        <f t="shared" si="17"/>
        <v>0</v>
      </c>
      <c r="BL24" s="214">
        <f t="shared" si="18"/>
        <v>0</v>
      </c>
      <c r="BM24" s="214">
        <f t="shared" si="19"/>
        <v>0</v>
      </c>
      <c r="BN24" s="61">
        <f t="shared" si="40"/>
        <v>0</v>
      </c>
      <c r="BO24" s="58">
        <v>0</v>
      </c>
      <c r="BP24" s="49">
        <f t="shared" si="41"/>
        <v>0</v>
      </c>
      <c r="BQ24" s="61">
        <f t="shared" si="53"/>
        <v>0</v>
      </c>
      <c r="BR24" s="58">
        <f t="shared" si="42"/>
        <v>0</v>
      </c>
      <c r="BS24" s="49">
        <f t="shared" si="54"/>
        <v>0</v>
      </c>
      <c r="BT24" s="61">
        <f t="shared" si="55"/>
        <v>0</v>
      </c>
      <c r="BU24" s="58">
        <f t="shared" si="20"/>
        <v>5.1115858607216384E-4</v>
      </c>
      <c r="BV24" s="49">
        <f t="shared" si="21"/>
        <v>2.59875E-2</v>
      </c>
      <c r="BW24" s="61">
        <f t="shared" si="22"/>
        <v>5.4000000000000003E-3</v>
      </c>
      <c r="BX24" s="49">
        <f t="shared" si="56"/>
        <v>6.2804430791082458E-2</v>
      </c>
      <c r="BY24" s="49">
        <f t="shared" si="43"/>
        <v>0.31674155272584448</v>
      </c>
      <c r="BZ24" s="49">
        <f t="shared" si="44"/>
        <v>89.694685684656974</v>
      </c>
    </row>
    <row r="25" spans="1:78" s="216" customFormat="1" x14ac:dyDescent="0.35">
      <c r="Q25" s="216">
        <v>18</v>
      </c>
      <c r="R25" s="218">
        <f t="shared" si="0"/>
        <v>2.919</v>
      </c>
      <c r="S25" s="214">
        <f t="shared" si="1"/>
        <v>12</v>
      </c>
      <c r="T25" s="219">
        <f t="shared" si="2"/>
        <v>0.24324999999999999</v>
      </c>
      <c r="U25" s="218">
        <f t="shared" si="3"/>
        <v>1</v>
      </c>
      <c r="V25" s="214">
        <f t="shared" si="4"/>
        <v>0.28332401945475783</v>
      </c>
      <c r="W25" s="214">
        <f t="shared" si="5"/>
        <v>0.30386501086522782</v>
      </c>
      <c r="X25" s="214">
        <f t="shared" si="23"/>
        <v>0.41281096968001435</v>
      </c>
      <c r="Y25" s="218">
        <f t="shared" si="24"/>
        <v>0.85855763471138746</v>
      </c>
      <c r="Z25" s="214">
        <f t="shared" si="6"/>
        <v>1.7171152694227747</v>
      </c>
      <c r="AA25" s="214">
        <f t="shared" si="25"/>
        <v>1.7171152694227749</v>
      </c>
      <c r="AB25" s="219">
        <f t="shared" si="7"/>
        <v>0.52769201199632221</v>
      </c>
      <c r="AC25" s="218">
        <v>0</v>
      </c>
      <c r="AD25" s="214">
        <f t="shared" si="26"/>
        <v>8.3537657857417989E-3</v>
      </c>
      <c r="AE25" s="219">
        <f t="shared" si="27"/>
        <v>8.3537657857417989E-3</v>
      </c>
      <c r="AF25" s="58">
        <f t="shared" si="8"/>
        <v>5.8380000000000001E-2</v>
      </c>
      <c r="AG25" s="61">
        <f t="shared" si="9"/>
        <v>5.8380000000000001E-2</v>
      </c>
      <c r="AH25" s="58">
        <f t="shared" si="10"/>
        <v>2.4225920778651218E-3</v>
      </c>
      <c r="AI25" s="49">
        <f t="shared" si="11"/>
        <v>2.2443666721268251E-2</v>
      </c>
      <c r="AJ25" s="224">
        <f t="shared" si="45"/>
        <v>2.4866258799133373E-2</v>
      </c>
      <c r="AK25" s="218">
        <f t="shared" si="12"/>
        <v>2.88</v>
      </c>
      <c r="AL25" s="214">
        <f t="shared" si="13"/>
        <v>48</v>
      </c>
      <c r="AM25" s="219">
        <f t="shared" si="28"/>
        <v>0.06</v>
      </c>
      <c r="AN25" s="218">
        <f t="shared" si="29"/>
        <v>1</v>
      </c>
      <c r="AO25" s="214">
        <f t="shared" si="30"/>
        <v>0.30386501086522777</v>
      </c>
      <c r="AP25" s="214">
        <f t="shared" si="31"/>
        <v>0.19745610009245715</v>
      </c>
      <c r="AQ25" s="214">
        <f t="shared" si="32"/>
        <v>0.40025996956241838</v>
      </c>
      <c r="AR25" s="214">
        <f t="shared" si="46"/>
        <v>0.39758608487366631</v>
      </c>
      <c r="AS25" s="219">
        <f t="shared" si="47"/>
        <v>0.12653506612635068</v>
      </c>
      <c r="AT25" s="218"/>
      <c r="AU25" s="214">
        <f t="shared" si="33"/>
        <v>4.32E-5</v>
      </c>
      <c r="AV25" s="219">
        <f t="shared" si="48"/>
        <v>4.32E-5</v>
      </c>
      <c r="AW25" s="218">
        <f t="shared" si="34"/>
        <v>0.109428</v>
      </c>
      <c r="AX25" s="214">
        <f t="shared" si="35"/>
        <v>1.7999999999999999E-2</v>
      </c>
      <c r="AY25" s="219">
        <f t="shared" si="49"/>
        <v>0.12742799999999999</v>
      </c>
      <c r="AZ25" s="218">
        <f t="shared" si="14"/>
        <v>3.9E-2</v>
      </c>
      <c r="BA25" s="214">
        <f t="shared" si="15"/>
        <v>6.5</v>
      </c>
      <c r="BB25" s="214">
        <f t="shared" si="50"/>
        <v>6.0000000000000001E-3</v>
      </c>
      <c r="BC25" s="61">
        <f t="shared" si="36"/>
        <v>6.0000000000000001E-3</v>
      </c>
      <c r="BD25" s="58">
        <v>0</v>
      </c>
      <c r="BE25" s="49">
        <f t="shared" si="51"/>
        <v>4.32E-7</v>
      </c>
      <c r="BF25" s="61">
        <f t="shared" si="52"/>
        <v>4.32E-7</v>
      </c>
      <c r="BG25" s="58">
        <f t="shared" si="37"/>
        <v>1.4700399999999999E-2</v>
      </c>
      <c r="BH25" s="49">
        <f t="shared" si="38"/>
        <v>1.8E-3</v>
      </c>
      <c r="BI25" s="61">
        <f t="shared" si="39"/>
        <v>1.6500399999999998E-2</v>
      </c>
      <c r="BJ25" s="49"/>
      <c r="BK25" s="218">
        <f t="shared" si="17"/>
        <v>0</v>
      </c>
      <c r="BL25" s="214">
        <f t="shared" si="18"/>
        <v>0</v>
      </c>
      <c r="BM25" s="214">
        <f t="shared" si="19"/>
        <v>0</v>
      </c>
      <c r="BN25" s="61">
        <f t="shared" si="40"/>
        <v>0</v>
      </c>
      <c r="BO25" s="58">
        <v>0</v>
      </c>
      <c r="BP25" s="49">
        <f t="shared" si="41"/>
        <v>0</v>
      </c>
      <c r="BQ25" s="61">
        <f t="shared" si="53"/>
        <v>0</v>
      </c>
      <c r="BR25" s="58">
        <f t="shared" si="42"/>
        <v>0</v>
      </c>
      <c r="BS25" s="49">
        <f t="shared" si="54"/>
        <v>0</v>
      </c>
      <c r="BT25" s="61">
        <f t="shared" si="55"/>
        <v>0</v>
      </c>
      <c r="BU25" s="58">
        <f t="shared" si="20"/>
        <v>5.5691771904945332E-4</v>
      </c>
      <c r="BV25" s="49">
        <f t="shared" si="21"/>
        <v>2.59875E-2</v>
      </c>
      <c r="BW25" s="61">
        <f t="shared" si="22"/>
        <v>5.4000000000000003E-3</v>
      </c>
      <c r="BX25" s="49">
        <f t="shared" si="56"/>
        <v>6.67341977857418E-2</v>
      </c>
      <c r="BY25" s="49">
        <f t="shared" si="43"/>
        <v>0.3258964743039246</v>
      </c>
      <c r="BZ25" s="49">
        <f t="shared" si="44"/>
        <v>89.956644938146013</v>
      </c>
    </row>
    <row r="26" spans="1:78" x14ac:dyDescent="0.35">
      <c r="Q26" s="49">
        <v>19</v>
      </c>
      <c r="R26" s="218">
        <f t="shared" si="0"/>
        <v>3.0811666666666668</v>
      </c>
      <c r="S26" s="214">
        <f t="shared" si="1"/>
        <v>12</v>
      </c>
      <c r="T26" s="219">
        <f t="shared" si="2"/>
        <v>0.2567638888888889</v>
      </c>
      <c r="U26" s="218">
        <f t="shared" si="3"/>
        <v>1</v>
      </c>
      <c r="V26" s="214">
        <f t="shared" si="4"/>
        <v>0.29108775881739402</v>
      </c>
      <c r="W26" s="214">
        <f t="shared" si="5"/>
        <v>0.31219162133165512</v>
      </c>
      <c r="X26" s="214">
        <f t="shared" si="23"/>
        <v>0.39672061985095086</v>
      </c>
      <c r="Y26" s="218">
        <f t="shared" si="24"/>
        <v>0.88208411762846661</v>
      </c>
      <c r="Z26" s="214">
        <f t="shared" si="6"/>
        <v>1.7641682352569334</v>
      </c>
      <c r="AA26" s="214">
        <f t="shared" si="25"/>
        <v>1.7641682352569332</v>
      </c>
      <c r="AB26" s="219">
        <f t="shared" si="7"/>
        <v>0.54952991834768394</v>
      </c>
      <c r="AC26" s="218">
        <v>0</v>
      </c>
      <c r="AD26" s="214">
        <f t="shared" si="26"/>
        <v>9.059493934776364E-3</v>
      </c>
      <c r="AE26" s="219">
        <f t="shared" si="27"/>
        <v>9.059493934776364E-3</v>
      </c>
      <c r="AF26" s="58">
        <f t="shared" si="8"/>
        <v>6.1623333333333336E-2</v>
      </c>
      <c r="AG26" s="61">
        <f t="shared" si="9"/>
        <v>6.1623333333333336E-2</v>
      </c>
      <c r="AH26" s="58">
        <f t="shared" si="10"/>
        <v>2.6272532410851457E-3</v>
      </c>
      <c r="AI26" s="49">
        <f t="shared" si="11"/>
        <v>2.3058675569092468E-2</v>
      </c>
      <c r="AJ26" s="61">
        <f t="shared" si="45"/>
        <v>2.5685928810177613E-2</v>
      </c>
      <c r="AK26" s="218">
        <f t="shared" si="12"/>
        <v>3.04</v>
      </c>
      <c r="AL26" s="214">
        <f t="shared" si="13"/>
        <v>48</v>
      </c>
      <c r="AM26" s="219">
        <f t="shared" si="28"/>
        <v>6.3333333333333339E-2</v>
      </c>
      <c r="AN26" s="218">
        <f t="shared" si="29"/>
        <v>1</v>
      </c>
      <c r="AO26" s="214">
        <f t="shared" si="30"/>
        <v>0.31219162133165512</v>
      </c>
      <c r="AP26" s="214">
        <f t="shared" si="31"/>
        <v>0.20286685806359775</v>
      </c>
      <c r="AQ26" s="214">
        <f t="shared" si="32"/>
        <v>0.41122802686641813</v>
      </c>
      <c r="AR26" s="214">
        <f t="shared" si="46"/>
        <v>0.40848087149680679</v>
      </c>
      <c r="AS26" s="219">
        <f t="shared" si="47"/>
        <v>0.13177156935439252</v>
      </c>
      <c r="AT26" s="218"/>
      <c r="AU26" s="214">
        <f t="shared" si="33"/>
        <v>4.8133333333333342E-5</v>
      </c>
      <c r="AV26" s="219">
        <f t="shared" si="48"/>
        <v>4.8133333333333342E-5</v>
      </c>
      <c r="AW26" s="218">
        <f t="shared" si="34"/>
        <v>0.109428</v>
      </c>
      <c r="AX26" s="214">
        <f t="shared" si="35"/>
        <v>1.9E-2</v>
      </c>
      <c r="AY26" s="219">
        <f t="shared" si="49"/>
        <v>0.12842799999999999</v>
      </c>
      <c r="AZ26" s="218">
        <f t="shared" si="14"/>
        <v>4.1166666666666664E-2</v>
      </c>
      <c r="BA26" s="214">
        <f t="shared" si="15"/>
        <v>6.5</v>
      </c>
      <c r="BB26" s="214">
        <f t="shared" si="50"/>
        <v>6.3333333333333332E-3</v>
      </c>
      <c r="BC26" s="61">
        <f t="shared" si="36"/>
        <v>6.3333333333333332E-3</v>
      </c>
      <c r="BD26" s="58">
        <v>0</v>
      </c>
      <c r="BE26" s="49">
        <f t="shared" si="51"/>
        <v>4.8133333333333336E-7</v>
      </c>
      <c r="BF26" s="61">
        <f t="shared" si="52"/>
        <v>4.8133333333333336E-7</v>
      </c>
      <c r="BG26" s="58">
        <f t="shared" si="37"/>
        <v>1.4700399999999999E-2</v>
      </c>
      <c r="BH26" s="49">
        <f t="shared" si="38"/>
        <v>1.8999999999999998E-3</v>
      </c>
      <c r="BI26" s="61">
        <f t="shared" si="39"/>
        <v>1.6600399999999998E-2</v>
      </c>
      <c r="BK26" s="218">
        <f t="shared" si="17"/>
        <v>0</v>
      </c>
      <c r="BL26" s="214">
        <f t="shared" si="18"/>
        <v>0</v>
      </c>
      <c r="BM26" s="214">
        <f t="shared" si="19"/>
        <v>0</v>
      </c>
      <c r="BN26" s="61">
        <f t="shared" si="40"/>
        <v>0</v>
      </c>
      <c r="BO26" s="58">
        <v>0</v>
      </c>
      <c r="BP26" s="49">
        <f t="shared" si="41"/>
        <v>0</v>
      </c>
      <c r="BQ26" s="61">
        <f t="shared" si="53"/>
        <v>0</v>
      </c>
      <c r="BR26" s="58">
        <f t="shared" si="42"/>
        <v>0</v>
      </c>
      <c r="BS26" s="49">
        <f t="shared" si="54"/>
        <v>0</v>
      </c>
      <c r="BT26" s="61">
        <f t="shared" si="55"/>
        <v>0</v>
      </c>
      <c r="BU26" s="58">
        <f t="shared" si="20"/>
        <v>6.039662623184243E-4</v>
      </c>
      <c r="BV26" s="49">
        <f t="shared" si="21"/>
        <v>2.59875E-2</v>
      </c>
      <c r="BW26" s="61">
        <f t="shared" si="22"/>
        <v>5.4000000000000003E-3</v>
      </c>
      <c r="BX26" s="49">
        <f t="shared" si="56"/>
        <v>7.0683308601443035E-2</v>
      </c>
      <c r="BY26" s="49">
        <f t="shared" si="43"/>
        <v>0.33506057034060577</v>
      </c>
      <c r="BZ26" s="49">
        <f t="shared" si="44"/>
        <v>90.19208773026088</v>
      </c>
    </row>
    <row r="27" spans="1:78" x14ac:dyDescent="0.35">
      <c r="Q27" s="49">
        <v>20</v>
      </c>
      <c r="R27" s="218">
        <f t="shared" si="0"/>
        <v>3.2433333333333336</v>
      </c>
      <c r="S27" s="214">
        <f t="shared" si="1"/>
        <v>12</v>
      </c>
      <c r="T27" s="219">
        <f t="shared" si="2"/>
        <v>0.27027777777777778</v>
      </c>
      <c r="U27" s="218">
        <f t="shared" si="3"/>
        <v>1</v>
      </c>
      <c r="V27" s="214">
        <f t="shared" si="4"/>
        <v>0.29864973910363068</v>
      </c>
      <c r="W27" s="214">
        <f t="shared" si="5"/>
        <v>0.32030184518864396</v>
      </c>
      <c r="X27" s="214">
        <f t="shared" si="23"/>
        <v>0.38104841570772535</v>
      </c>
      <c r="Y27" s="218">
        <f t="shared" si="24"/>
        <v>0.9049992094049415</v>
      </c>
      <c r="Z27" s="214">
        <f t="shared" si="6"/>
        <v>1.809998418809883</v>
      </c>
      <c r="AA27" s="214">
        <f t="shared" si="25"/>
        <v>1.809998418809883</v>
      </c>
      <c r="AB27" s="219">
        <f t="shared" si="7"/>
        <v>0.57108221849235619</v>
      </c>
      <c r="AC27" s="218">
        <v>0</v>
      </c>
      <c r="AD27" s="214">
        <f t="shared" si="26"/>
        <v>9.7840470083445357E-3</v>
      </c>
      <c r="AE27" s="219">
        <f t="shared" si="27"/>
        <v>9.7840470083445357E-3</v>
      </c>
      <c r="AF27" s="58">
        <f t="shared" si="8"/>
        <v>6.486666666666667E-2</v>
      </c>
      <c r="AG27" s="61">
        <f t="shared" si="9"/>
        <v>6.486666666666667E-2</v>
      </c>
      <c r="AH27" s="58">
        <f t="shared" si="10"/>
        <v>2.8373736324199153E-3</v>
      </c>
      <c r="AI27" s="49">
        <f t="shared" si="11"/>
        <v>2.3657701961643698E-2</v>
      </c>
      <c r="AJ27" s="61">
        <f t="shared" si="45"/>
        <v>2.6495075594063614E-2</v>
      </c>
      <c r="AK27" s="218">
        <f t="shared" si="12"/>
        <v>3.2</v>
      </c>
      <c r="AL27" s="214">
        <f t="shared" si="13"/>
        <v>48</v>
      </c>
      <c r="AM27" s="219">
        <f t="shared" si="28"/>
        <v>6.6666666666666666E-2</v>
      </c>
      <c r="AN27" s="218">
        <f t="shared" si="29"/>
        <v>1</v>
      </c>
      <c r="AO27" s="214">
        <f t="shared" si="30"/>
        <v>0.32030184518864391</v>
      </c>
      <c r="AP27" s="214">
        <f t="shared" si="31"/>
        <v>0.20813700472878291</v>
      </c>
      <c r="AQ27" s="214">
        <f t="shared" si="32"/>
        <v>0.42191105333563705</v>
      </c>
      <c r="AR27" s="214">
        <f t="shared" si="46"/>
        <v>0.41909253139660141</v>
      </c>
      <c r="AS27" s="219">
        <f t="shared" si="47"/>
        <v>0.13693958717915358</v>
      </c>
      <c r="AT27" s="218"/>
      <c r="AU27" s="214">
        <f t="shared" si="33"/>
        <v>5.3333333333333333E-5</v>
      </c>
      <c r="AV27" s="219">
        <f t="shared" si="48"/>
        <v>5.3333333333333333E-5</v>
      </c>
      <c r="AW27" s="218">
        <f t="shared" si="34"/>
        <v>0.109428</v>
      </c>
      <c r="AX27" s="214">
        <f t="shared" si="35"/>
        <v>0.02</v>
      </c>
      <c r="AY27" s="219">
        <f t="shared" si="49"/>
        <v>0.12942799999999999</v>
      </c>
      <c r="AZ27" s="218">
        <f t="shared" si="14"/>
        <v>4.3333333333333335E-2</v>
      </c>
      <c r="BA27" s="214">
        <f t="shared" si="15"/>
        <v>6.5</v>
      </c>
      <c r="BB27" s="214">
        <f t="shared" si="50"/>
        <v>6.6666666666666671E-3</v>
      </c>
      <c r="BC27" s="61">
        <f t="shared" si="36"/>
        <v>6.6666666666666671E-3</v>
      </c>
      <c r="BD27" s="58">
        <v>0</v>
      </c>
      <c r="BE27" s="49">
        <f t="shared" si="51"/>
        <v>5.3333333333333345E-7</v>
      </c>
      <c r="BF27" s="61">
        <f t="shared" si="52"/>
        <v>5.3333333333333345E-7</v>
      </c>
      <c r="BG27" s="58">
        <f t="shared" si="37"/>
        <v>1.4700399999999999E-2</v>
      </c>
      <c r="BH27" s="49">
        <f t="shared" si="38"/>
        <v>2E-3</v>
      </c>
      <c r="BI27" s="61">
        <f t="shared" si="39"/>
        <v>1.6700399999999997E-2</v>
      </c>
      <c r="BK27" s="218">
        <f t="shared" si="17"/>
        <v>0</v>
      </c>
      <c r="BL27" s="214">
        <f t="shared" si="18"/>
        <v>0</v>
      </c>
      <c r="BM27" s="214">
        <f t="shared" si="19"/>
        <v>0</v>
      </c>
      <c r="BN27" s="61">
        <f t="shared" si="40"/>
        <v>0</v>
      </c>
      <c r="BO27" s="58">
        <v>0</v>
      </c>
      <c r="BP27" s="49">
        <f t="shared" si="41"/>
        <v>0</v>
      </c>
      <c r="BQ27" s="61">
        <f t="shared" si="53"/>
        <v>0</v>
      </c>
      <c r="BR27" s="58">
        <f t="shared" si="42"/>
        <v>0</v>
      </c>
      <c r="BS27" s="49">
        <f t="shared" si="54"/>
        <v>0</v>
      </c>
      <c r="BT27" s="61">
        <f t="shared" si="55"/>
        <v>0</v>
      </c>
      <c r="BU27" s="58">
        <f t="shared" si="20"/>
        <v>6.5226980055630248E-4</v>
      </c>
      <c r="BV27" s="49">
        <f t="shared" si="21"/>
        <v>2.59875E-2</v>
      </c>
      <c r="BW27" s="61">
        <f t="shared" si="22"/>
        <v>5.4000000000000003E-3</v>
      </c>
      <c r="BX27" s="49">
        <f t="shared" si="56"/>
        <v>7.4651247008344537E-2</v>
      </c>
      <c r="BY27" s="49">
        <f t="shared" si="43"/>
        <v>0.34423449240296439</v>
      </c>
      <c r="BZ27" s="49">
        <f t="shared" si="44"/>
        <v>90.404794860364348</v>
      </c>
    </row>
    <row r="28" spans="1:78" x14ac:dyDescent="0.35">
      <c r="Q28" s="49">
        <v>21</v>
      </c>
      <c r="R28" s="218">
        <f t="shared" si="0"/>
        <v>3.4055</v>
      </c>
      <c r="S28" s="214">
        <f t="shared" si="1"/>
        <v>12</v>
      </c>
      <c r="T28" s="219">
        <f t="shared" si="2"/>
        <v>0.28379166666666666</v>
      </c>
      <c r="U28" s="218">
        <f t="shared" si="3"/>
        <v>1</v>
      </c>
      <c r="V28" s="214">
        <f t="shared" si="4"/>
        <v>0.30602491728615827</v>
      </c>
      <c r="W28" s="214">
        <f t="shared" si="5"/>
        <v>0.32821172378940477</v>
      </c>
      <c r="X28" s="214">
        <f t="shared" si="23"/>
        <v>0.36576335892443701</v>
      </c>
      <c r="Y28" s="218">
        <f t="shared" si="24"/>
        <v>0.9273482342004794</v>
      </c>
      <c r="Z28" s="214">
        <f t="shared" si="6"/>
        <v>1.8546964684009593</v>
      </c>
      <c r="AA28" s="214">
        <f t="shared" si="25"/>
        <v>1.854696468400959</v>
      </c>
      <c r="AB28" s="219">
        <f t="shared" si="7"/>
        <v>0.59236666681388528</v>
      </c>
      <c r="AC28" s="218">
        <v>0</v>
      </c>
      <c r="AD28" s="214">
        <f t="shared" si="26"/>
        <v>1.0526948038565777E-2</v>
      </c>
      <c r="AE28" s="219">
        <f t="shared" si="27"/>
        <v>1.0526948038565777E-2</v>
      </c>
      <c r="AF28" s="58">
        <f t="shared" si="8"/>
        <v>6.8110000000000004E-2</v>
      </c>
      <c r="AG28" s="61">
        <f t="shared" si="9"/>
        <v>6.8110000000000004E-2</v>
      </c>
      <c r="AH28" s="58">
        <f t="shared" si="10"/>
        <v>3.0528149311840752E-3</v>
      </c>
      <c r="AI28" s="49">
        <f t="shared" si="11"/>
        <v>2.4241930723670872E-2</v>
      </c>
      <c r="AJ28" s="61">
        <f t="shared" si="45"/>
        <v>2.7294745654854947E-2</v>
      </c>
      <c r="AK28" s="218">
        <f t="shared" si="12"/>
        <v>3.36</v>
      </c>
      <c r="AL28" s="214">
        <f t="shared" si="13"/>
        <v>48</v>
      </c>
      <c r="AM28" s="219">
        <f t="shared" si="28"/>
        <v>6.9999999999999993E-2</v>
      </c>
      <c r="AN28" s="218">
        <f t="shared" si="29"/>
        <v>1</v>
      </c>
      <c r="AO28" s="214">
        <f t="shared" si="30"/>
        <v>0.32821172378940477</v>
      </c>
      <c r="AP28" s="214">
        <f t="shared" si="31"/>
        <v>0.2132769640030138</v>
      </c>
      <c r="AQ28" s="214">
        <f t="shared" si="32"/>
        <v>0.43233017911444277</v>
      </c>
      <c r="AR28" s="214">
        <f t="shared" si="46"/>
        <v>0.42944205356023518</v>
      </c>
      <c r="AS28" s="219">
        <f t="shared" si="47"/>
        <v>0.14204337691748747</v>
      </c>
      <c r="AT28" s="218"/>
      <c r="AU28" s="214">
        <f t="shared" si="33"/>
        <v>5.8799999999999986E-5</v>
      </c>
      <c r="AV28" s="219">
        <f t="shared" si="48"/>
        <v>5.8799999999999986E-5</v>
      </c>
      <c r="AW28" s="218">
        <f t="shared" si="34"/>
        <v>0.109428</v>
      </c>
      <c r="AX28" s="214">
        <f t="shared" si="35"/>
        <v>2.0999999999999998E-2</v>
      </c>
      <c r="AY28" s="219">
        <f t="shared" si="49"/>
        <v>0.13042799999999999</v>
      </c>
      <c r="AZ28" s="218">
        <f t="shared" si="14"/>
        <v>4.5499999999999999E-2</v>
      </c>
      <c r="BA28" s="214">
        <f t="shared" si="15"/>
        <v>6.5</v>
      </c>
      <c r="BB28" s="214">
        <f t="shared" si="50"/>
        <v>7.0000000000000001E-3</v>
      </c>
      <c r="BC28" s="61">
        <f t="shared" si="36"/>
        <v>7.0000000000000001E-3</v>
      </c>
      <c r="BD28" s="58">
        <v>0</v>
      </c>
      <c r="BE28" s="49">
        <f t="shared" si="51"/>
        <v>5.8800000000000002E-7</v>
      </c>
      <c r="BF28" s="61">
        <f t="shared" si="52"/>
        <v>5.8800000000000002E-7</v>
      </c>
      <c r="BG28" s="58">
        <f t="shared" si="37"/>
        <v>1.4700399999999999E-2</v>
      </c>
      <c r="BH28" s="49">
        <f t="shared" si="38"/>
        <v>2.0999999999999999E-3</v>
      </c>
      <c r="BI28" s="61">
        <f t="shared" si="39"/>
        <v>1.68004E-2</v>
      </c>
      <c r="BK28" s="218">
        <f t="shared" si="17"/>
        <v>0</v>
      </c>
      <c r="BL28" s="214">
        <f t="shared" si="18"/>
        <v>0</v>
      </c>
      <c r="BM28" s="214">
        <f t="shared" si="19"/>
        <v>0</v>
      </c>
      <c r="BN28" s="61">
        <f t="shared" si="40"/>
        <v>0</v>
      </c>
      <c r="BO28" s="58">
        <v>0</v>
      </c>
      <c r="BP28" s="49">
        <f t="shared" si="41"/>
        <v>0</v>
      </c>
      <c r="BQ28" s="61">
        <f t="shared" si="53"/>
        <v>0</v>
      </c>
      <c r="BR28" s="58">
        <f t="shared" si="42"/>
        <v>0</v>
      </c>
      <c r="BS28" s="49">
        <f t="shared" si="54"/>
        <v>0</v>
      </c>
      <c r="BT28" s="61">
        <f t="shared" si="55"/>
        <v>0</v>
      </c>
      <c r="BU28" s="58">
        <f t="shared" si="20"/>
        <v>7.0179653590438519E-4</v>
      </c>
      <c r="BV28" s="49">
        <f t="shared" si="21"/>
        <v>2.59875E-2</v>
      </c>
      <c r="BW28" s="61">
        <f t="shared" si="22"/>
        <v>5.4000000000000003E-3</v>
      </c>
      <c r="BX28" s="49">
        <f t="shared" si="56"/>
        <v>7.8637536038565783E-2</v>
      </c>
      <c r="BY28" s="49">
        <f t="shared" si="43"/>
        <v>0.3534187782293251</v>
      </c>
      <c r="BZ28" s="49">
        <f t="shared" si="44"/>
        <v>90.597860739204208</v>
      </c>
    </row>
    <row r="29" spans="1:78" x14ac:dyDescent="0.35">
      <c r="Q29" s="49">
        <v>22</v>
      </c>
      <c r="R29" s="218">
        <f t="shared" si="0"/>
        <v>3.5676666666666668</v>
      </c>
      <c r="S29" s="214">
        <f t="shared" si="1"/>
        <v>12</v>
      </c>
      <c r="T29" s="219">
        <f t="shared" si="2"/>
        <v>0.29730555555555555</v>
      </c>
      <c r="U29" s="218">
        <f t="shared" si="3"/>
        <v>1</v>
      </c>
      <c r="V29" s="214">
        <f t="shared" si="4"/>
        <v>0.31322648887559512</v>
      </c>
      <c r="W29" s="214">
        <f t="shared" si="5"/>
        <v>0.33593540931907578</v>
      </c>
      <c r="X29" s="214">
        <f t="shared" si="23"/>
        <v>0.35083810180532909</v>
      </c>
      <c r="Y29" s="218">
        <f t="shared" si="24"/>
        <v>0.94917117841089449</v>
      </c>
      <c r="Z29" s="214">
        <f t="shared" si="6"/>
        <v>1.8983423568217885</v>
      </c>
      <c r="AA29" s="214">
        <f t="shared" si="25"/>
        <v>1.8983423568217888</v>
      </c>
      <c r="AB29" s="219">
        <f t="shared" si="7"/>
        <v>0.61339912456710954</v>
      </c>
      <c r="AC29" s="218">
        <v>0</v>
      </c>
      <c r="AD29" s="214">
        <f t="shared" si="26"/>
        <v>1.128775458059089E-2</v>
      </c>
      <c r="AE29" s="219">
        <f t="shared" si="27"/>
        <v>1.128775458059089E-2</v>
      </c>
      <c r="AF29" s="58">
        <f t="shared" si="8"/>
        <v>7.1353333333333338E-2</v>
      </c>
      <c r="AG29" s="61">
        <f t="shared" si="9"/>
        <v>7.1353333333333338E-2</v>
      </c>
      <c r="AH29" s="58">
        <f t="shared" si="10"/>
        <v>3.273448828371358E-3</v>
      </c>
      <c r="AI29" s="49">
        <f t="shared" si="11"/>
        <v>2.4812407144744267E-2</v>
      </c>
      <c r="AJ29" s="61">
        <f t="shared" si="45"/>
        <v>2.8085855973115626E-2</v>
      </c>
      <c r="AK29" s="218">
        <f t="shared" si="12"/>
        <v>3.52</v>
      </c>
      <c r="AL29" s="214">
        <f t="shared" si="13"/>
        <v>48</v>
      </c>
      <c r="AM29" s="219">
        <f t="shared" si="28"/>
        <v>7.3333333333333334E-2</v>
      </c>
      <c r="AN29" s="218">
        <f t="shared" si="29"/>
        <v>1</v>
      </c>
      <c r="AO29" s="214">
        <f t="shared" si="30"/>
        <v>0.33593540931907584</v>
      </c>
      <c r="AP29" s="214">
        <f t="shared" si="31"/>
        <v>0.21829593219118018</v>
      </c>
      <c r="AQ29" s="214">
        <f t="shared" si="32"/>
        <v>0.44250404587920494</v>
      </c>
      <c r="AR29" s="214">
        <f t="shared" si="46"/>
        <v>0.43954795513078265</v>
      </c>
      <c r="AS29" s="219">
        <f t="shared" si="47"/>
        <v>0.14708674193363722</v>
      </c>
      <c r="AT29" s="218"/>
      <c r="AU29" s="214">
        <f t="shared" si="33"/>
        <v>6.4533333333333334E-5</v>
      </c>
      <c r="AV29" s="219">
        <f t="shared" si="48"/>
        <v>6.4533333333333334E-5</v>
      </c>
      <c r="AW29" s="218">
        <f t="shared" si="34"/>
        <v>0.109428</v>
      </c>
      <c r="AX29" s="214">
        <f t="shared" si="35"/>
        <v>2.1999999999999999E-2</v>
      </c>
      <c r="AY29" s="219">
        <f t="shared" si="49"/>
        <v>0.13142799999999999</v>
      </c>
      <c r="AZ29" s="218">
        <f t="shared" si="14"/>
        <v>4.7666666666666663E-2</v>
      </c>
      <c r="BA29" s="214">
        <f t="shared" si="15"/>
        <v>6.5</v>
      </c>
      <c r="BB29" s="214">
        <f t="shared" si="50"/>
        <v>7.3333333333333323E-3</v>
      </c>
      <c r="BC29" s="61">
        <f t="shared" si="36"/>
        <v>7.3333333333333323E-3</v>
      </c>
      <c r="BD29" s="58">
        <v>0</v>
      </c>
      <c r="BE29" s="49">
        <f t="shared" si="51"/>
        <v>6.4533333333333318E-7</v>
      </c>
      <c r="BF29" s="61">
        <f t="shared" si="52"/>
        <v>6.4533333333333318E-7</v>
      </c>
      <c r="BG29" s="58">
        <f t="shared" si="37"/>
        <v>1.4700399999999999E-2</v>
      </c>
      <c r="BH29" s="49">
        <f t="shared" si="38"/>
        <v>2.1999999999999997E-3</v>
      </c>
      <c r="BI29" s="61">
        <f t="shared" si="39"/>
        <v>1.6900399999999999E-2</v>
      </c>
      <c r="BK29" s="218">
        <f t="shared" si="17"/>
        <v>0</v>
      </c>
      <c r="BL29" s="214">
        <f t="shared" si="18"/>
        <v>0</v>
      </c>
      <c r="BM29" s="214">
        <f t="shared" si="19"/>
        <v>0</v>
      </c>
      <c r="BN29" s="61">
        <f t="shared" si="40"/>
        <v>0</v>
      </c>
      <c r="BO29" s="58">
        <v>0</v>
      </c>
      <c r="BP29" s="49">
        <f t="shared" si="41"/>
        <v>0</v>
      </c>
      <c r="BQ29" s="61">
        <f t="shared" si="53"/>
        <v>0</v>
      </c>
      <c r="BR29" s="58">
        <f t="shared" si="42"/>
        <v>0</v>
      </c>
      <c r="BS29" s="49">
        <f t="shared" si="54"/>
        <v>0</v>
      </c>
      <c r="BT29" s="61">
        <f t="shared" si="55"/>
        <v>0</v>
      </c>
      <c r="BU29" s="58">
        <f t="shared" si="20"/>
        <v>7.5251697203939272E-4</v>
      </c>
      <c r="BV29" s="49">
        <f t="shared" si="21"/>
        <v>2.59875E-2</v>
      </c>
      <c r="BW29" s="61">
        <f t="shared" si="22"/>
        <v>5.4000000000000003E-3</v>
      </c>
      <c r="BX29" s="49">
        <f t="shared" si="56"/>
        <v>8.2641733247257557E-2</v>
      </c>
      <c r="BY29" s="49">
        <f t="shared" si="43"/>
        <v>0.36261387285907926</v>
      </c>
      <c r="BZ29" s="49">
        <f t="shared" si="44"/>
        <v>90.773842497695227</v>
      </c>
    </row>
    <row r="30" spans="1:78" x14ac:dyDescent="0.35">
      <c r="Q30" s="49">
        <v>23</v>
      </c>
      <c r="R30" s="218">
        <f t="shared" si="0"/>
        <v>3.7298333333333336</v>
      </c>
      <c r="S30" s="214">
        <f t="shared" si="1"/>
        <v>12</v>
      </c>
      <c r="T30" s="219">
        <f t="shared" si="2"/>
        <v>0.31081944444444448</v>
      </c>
      <c r="U30" s="218">
        <f t="shared" si="3"/>
        <v>1</v>
      </c>
      <c r="V30" s="214">
        <f t="shared" si="4"/>
        <v>0.32026616534792851</v>
      </c>
      <c r="W30" s="214">
        <f t="shared" si="5"/>
        <v>0.34348546233565336</v>
      </c>
      <c r="X30" s="214">
        <f t="shared" si="23"/>
        <v>0.33624837231641813</v>
      </c>
      <c r="Y30" s="218">
        <f t="shared" si="24"/>
        <v>0.97050353135735901</v>
      </c>
      <c r="Z30" s="214">
        <f t="shared" si="6"/>
        <v>1.9410070627147182</v>
      </c>
      <c r="AA30" s="214">
        <f t="shared" si="25"/>
        <v>1.9410070627147182</v>
      </c>
      <c r="AB30" s="219">
        <f t="shared" si="7"/>
        <v>0.6341938383468847</v>
      </c>
      <c r="AC30" s="218">
        <v>0</v>
      </c>
      <c r="AD30" s="214">
        <f t="shared" si="26"/>
        <v>1.2066054737914635E-2</v>
      </c>
      <c r="AE30" s="219">
        <f t="shared" si="27"/>
        <v>1.2066054737914635E-2</v>
      </c>
      <c r="AF30" s="58">
        <f t="shared" si="8"/>
        <v>7.4596666666666672E-2</v>
      </c>
      <c r="AG30" s="61">
        <f t="shared" si="9"/>
        <v>7.4596666666666672E-2</v>
      </c>
      <c r="AH30" s="58">
        <f t="shared" si="10"/>
        <v>3.4991558739952441E-3</v>
      </c>
      <c r="AI30" s="49">
        <f t="shared" si="11"/>
        <v>2.5370058955821406E-2</v>
      </c>
      <c r="AJ30" s="61">
        <f t="shared" si="45"/>
        <v>2.886921482981665E-2</v>
      </c>
      <c r="AK30" s="218">
        <f t="shared" si="12"/>
        <v>3.68</v>
      </c>
      <c r="AL30" s="214">
        <f t="shared" si="13"/>
        <v>48</v>
      </c>
      <c r="AM30" s="219">
        <f t="shared" si="28"/>
        <v>7.6666666666666675E-2</v>
      </c>
      <c r="AN30" s="218">
        <f t="shared" si="29"/>
        <v>1</v>
      </c>
      <c r="AO30" s="214">
        <f t="shared" si="30"/>
        <v>0.34348546233565336</v>
      </c>
      <c r="AP30" s="214">
        <f t="shared" si="31"/>
        <v>0.22320207133467604</v>
      </c>
      <c r="AQ30" s="214">
        <f t="shared" si="32"/>
        <v>0.45244919876799966</v>
      </c>
      <c r="AR30" s="214">
        <f t="shared" si="46"/>
        <v>0.44942667071867587</v>
      </c>
      <c r="AS30" s="219">
        <f t="shared" si="47"/>
        <v>0.15207309841314504</v>
      </c>
      <c r="AT30" s="218"/>
      <c r="AU30" s="214">
        <f t="shared" si="33"/>
        <v>7.0533333333333345E-5</v>
      </c>
      <c r="AV30" s="219">
        <f t="shared" si="48"/>
        <v>7.0533333333333345E-5</v>
      </c>
      <c r="AW30" s="218">
        <f t="shared" si="34"/>
        <v>0.109428</v>
      </c>
      <c r="AX30" s="214">
        <f t="shared" si="35"/>
        <v>2.3000000000000003E-2</v>
      </c>
      <c r="AY30" s="219">
        <f t="shared" si="49"/>
        <v>0.13242799999999999</v>
      </c>
      <c r="AZ30" s="218">
        <f t="shared" si="14"/>
        <v>4.9833333333333334E-2</v>
      </c>
      <c r="BA30" s="214">
        <f t="shared" si="15"/>
        <v>6.5</v>
      </c>
      <c r="BB30" s="214">
        <f t="shared" si="50"/>
        <v>7.6666666666666671E-3</v>
      </c>
      <c r="BC30" s="61">
        <f t="shared" si="36"/>
        <v>7.6666666666666671E-3</v>
      </c>
      <c r="BD30" s="58">
        <v>0</v>
      </c>
      <c r="BE30" s="49">
        <f t="shared" si="51"/>
        <v>7.0533333333333346E-7</v>
      </c>
      <c r="BF30" s="61">
        <f t="shared" si="52"/>
        <v>7.0533333333333346E-7</v>
      </c>
      <c r="BG30" s="58">
        <f t="shared" si="37"/>
        <v>1.4700399999999999E-2</v>
      </c>
      <c r="BH30" s="49">
        <f t="shared" si="38"/>
        <v>2.3E-3</v>
      </c>
      <c r="BI30" s="61">
        <f t="shared" si="39"/>
        <v>1.7000399999999999E-2</v>
      </c>
      <c r="BK30" s="218">
        <f t="shared" si="17"/>
        <v>0</v>
      </c>
      <c r="BL30" s="214">
        <f t="shared" si="18"/>
        <v>0</v>
      </c>
      <c r="BM30" s="214">
        <f t="shared" si="19"/>
        <v>0</v>
      </c>
      <c r="BN30" s="61">
        <f t="shared" si="40"/>
        <v>0</v>
      </c>
      <c r="BO30" s="58">
        <v>0</v>
      </c>
      <c r="BP30" s="49">
        <f t="shared" si="41"/>
        <v>0</v>
      </c>
      <c r="BQ30" s="61">
        <f t="shared" si="53"/>
        <v>0</v>
      </c>
      <c r="BR30" s="58">
        <f t="shared" si="42"/>
        <v>0</v>
      </c>
      <c r="BS30" s="49">
        <f t="shared" si="54"/>
        <v>0</v>
      </c>
      <c r="BT30" s="61">
        <f t="shared" si="55"/>
        <v>0</v>
      </c>
      <c r="BU30" s="58">
        <f t="shared" si="20"/>
        <v>8.0440364919430907E-4</v>
      </c>
      <c r="BV30" s="49">
        <f t="shared" si="21"/>
        <v>2.59875E-2</v>
      </c>
      <c r="BW30" s="61">
        <f t="shared" si="22"/>
        <v>5.4000000000000003E-3</v>
      </c>
      <c r="BX30" s="49">
        <f t="shared" si="56"/>
        <v>8.6663426737914634E-2</v>
      </c>
      <c r="BY30" s="49">
        <f t="shared" si="43"/>
        <v>0.37182014521692563</v>
      </c>
      <c r="BZ30" s="49">
        <f t="shared" si="44"/>
        <v>90.934871822757017</v>
      </c>
    </row>
    <row r="31" spans="1:78" x14ac:dyDescent="0.35">
      <c r="Q31" s="49">
        <v>24</v>
      </c>
      <c r="R31" s="218">
        <f t="shared" si="0"/>
        <v>3.8919999999999999</v>
      </c>
      <c r="S31" s="214">
        <f t="shared" si="1"/>
        <v>12</v>
      </c>
      <c r="T31" s="219">
        <f t="shared" si="2"/>
        <v>0.32433333333333331</v>
      </c>
      <c r="U31" s="218">
        <f t="shared" si="3"/>
        <v>1</v>
      </c>
      <c r="V31" s="214">
        <f t="shared" si="4"/>
        <v>0.32715439780018241</v>
      </c>
      <c r="W31" s="214">
        <f t="shared" si="5"/>
        <v>0.35087309164069569</v>
      </c>
      <c r="X31" s="214">
        <f t="shared" si="23"/>
        <v>0.3219725105591219</v>
      </c>
      <c r="Y31" s="218">
        <f t="shared" si="24"/>
        <v>0.99137696303085576</v>
      </c>
      <c r="Z31" s="214">
        <f t="shared" si="6"/>
        <v>1.9827539260617115</v>
      </c>
      <c r="AA31" s="214">
        <f t="shared" si="25"/>
        <v>1.9827539260617115</v>
      </c>
      <c r="AB31" s="219">
        <f t="shared" si="7"/>
        <v>0.65476366729752111</v>
      </c>
      <c r="AC31" s="218">
        <v>0</v>
      </c>
      <c r="AD31" s="214">
        <f t="shared" si="26"/>
        <v>1.2861463800386967E-2</v>
      </c>
      <c r="AE31" s="219">
        <f t="shared" si="27"/>
        <v>1.2861463800386967E-2</v>
      </c>
      <c r="AF31" s="58">
        <f t="shared" si="8"/>
        <v>7.7840000000000006E-2</v>
      </c>
      <c r="AG31" s="61">
        <f t="shared" si="9"/>
        <v>7.7840000000000006E-2</v>
      </c>
      <c r="AH31" s="58">
        <f t="shared" si="10"/>
        <v>3.7298245021122199E-3</v>
      </c>
      <c r="AI31" s="49">
        <f t="shared" si="11"/>
        <v>2.5915714046252942E-2</v>
      </c>
      <c r="AJ31" s="61">
        <f t="shared" si="45"/>
        <v>2.9645538548365161E-2</v>
      </c>
      <c r="AK31" s="218">
        <f t="shared" si="12"/>
        <v>3.84</v>
      </c>
      <c r="AL31" s="214">
        <f t="shared" si="13"/>
        <v>48</v>
      </c>
      <c r="AM31" s="219">
        <f t="shared" si="28"/>
        <v>0.08</v>
      </c>
      <c r="AN31" s="218">
        <f t="shared" si="29"/>
        <v>1</v>
      </c>
      <c r="AO31" s="214">
        <f t="shared" si="30"/>
        <v>0.35087309164069569</v>
      </c>
      <c r="AP31" s="214">
        <f t="shared" si="31"/>
        <v>0.22800266508302763</v>
      </c>
      <c r="AQ31" s="214">
        <f t="shared" si="32"/>
        <v>0.46218040234538743</v>
      </c>
      <c r="AR31" s="214">
        <f t="shared" si="46"/>
        <v>0.45909286625572132</v>
      </c>
      <c r="AS31" s="219">
        <f t="shared" si="47"/>
        <v>0.15700552984531657</v>
      </c>
      <c r="AT31" s="218"/>
      <c r="AU31" s="214">
        <f t="shared" si="33"/>
        <v>7.680000000000001E-5</v>
      </c>
      <c r="AV31" s="219">
        <f t="shared" si="48"/>
        <v>7.680000000000001E-5</v>
      </c>
      <c r="AW31" s="218">
        <f t="shared" si="34"/>
        <v>0.109428</v>
      </c>
      <c r="AX31" s="214">
        <f t="shared" si="35"/>
        <v>2.4E-2</v>
      </c>
      <c r="AY31" s="219">
        <f t="shared" si="49"/>
        <v>0.13342799999999999</v>
      </c>
      <c r="AZ31" s="218">
        <f t="shared" si="14"/>
        <v>5.1999999999999998E-2</v>
      </c>
      <c r="BA31" s="214">
        <f t="shared" si="15"/>
        <v>6.5</v>
      </c>
      <c r="BB31" s="214">
        <f t="shared" si="50"/>
        <v>8.0000000000000002E-3</v>
      </c>
      <c r="BC31" s="61">
        <f t="shared" si="36"/>
        <v>8.0000000000000002E-3</v>
      </c>
      <c r="BD31" s="58">
        <v>0</v>
      </c>
      <c r="BE31" s="49">
        <f t="shared" si="51"/>
        <v>7.6799999999999999E-7</v>
      </c>
      <c r="BF31" s="61">
        <f t="shared" si="52"/>
        <v>7.6799999999999999E-7</v>
      </c>
      <c r="BG31" s="58">
        <f t="shared" si="37"/>
        <v>1.4700399999999999E-2</v>
      </c>
      <c r="BH31" s="49">
        <f t="shared" si="38"/>
        <v>2.3999999999999998E-3</v>
      </c>
      <c r="BI31" s="61">
        <f t="shared" si="39"/>
        <v>1.7100399999999998E-2</v>
      </c>
      <c r="BK31" s="218">
        <f t="shared" si="17"/>
        <v>0</v>
      </c>
      <c r="BL31" s="214">
        <f t="shared" si="18"/>
        <v>0</v>
      </c>
      <c r="BM31" s="214">
        <f t="shared" si="19"/>
        <v>0</v>
      </c>
      <c r="BN31" s="61">
        <f t="shared" si="40"/>
        <v>0</v>
      </c>
      <c r="BO31" s="58">
        <v>0</v>
      </c>
      <c r="BP31" s="49">
        <f t="shared" si="41"/>
        <v>0</v>
      </c>
      <c r="BQ31" s="61">
        <f t="shared" si="53"/>
        <v>0</v>
      </c>
      <c r="BR31" s="58">
        <f t="shared" si="42"/>
        <v>0</v>
      </c>
      <c r="BS31" s="49">
        <f t="shared" si="54"/>
        <v>0</v>
      </c>
      <c r="BT31" s="61">
        <f t="shared" si="55"/>
        <v>0</v>
      </c>
      <c r="BU31" s="58">
        <f t="shared" si="20"/>
        <v>8.574309200257978E-4</v>
      </c>
      <c r="BV31" s="49">
        <f t="shared" si="21"/>
        <v>2.59875E-2</v>
      </c>
      <c r="BW31" s="61">
        <f t="shared" si="22"/>
        <v>5.4000000000000003E-3</v>
      </c>
      <c r="BX31" s="49">
        <f t="shared" si="56"/>
        <v>9.0702231800386973E-2</v>
      </c>
      <c r="BY31" s="49">
        <f t="shared" si="43"/>
        <v>0.3810379012687779</v>
      </c>
      <c r="BZ31" s="49">
        <f t="shared" si="44"/>
        <v>91.082739959885757</v>
      </c>
    </row>
    <row r="32" spans="1:78" x14ac:dyDescent="0.35">
      <c r="Q32" s="49">
        <v>25</v>
      </c>
      <c r="R32" s="218">
        <f t="shared" si="0"/>
        <v>4.0541666666666663</v>
      </c>
      <c r="S32" s="214">
        <f t="shared" si="1"/>
        <v>12</v>
      </c>
      <c r="T32" s="219">
        <f t="shared" si="2"/>
        <v>0.33784722222222219</v>
      </c>
      <c r="U32" s="218">
        <f t="shared" si="3"/>
        <v>1</v>
      </c>
      <c r="V32" s="214">
        <f t="shared" si="4"/>
        <v>0.33390055904914767</v>
      </c>
      <c r="W32" s="214">
        <f t="shared" si="5"/>
        <v>0.35810834958021087</v>
      </c>
      <c r="X32" s="214">
        <f t="shared" si="23"/>
        <v>0.3079910913706414</v>
      </c>
      <c r="Y32" s="218">
        <f t="shared" si="24"/>
        <v>1.0118198759065078</v>
      </c>
      <c r="Z32" s="214">
        <f t="shared" si="6"/>
        <v>2.023639751813016</v>
      </c>
      <c r="AA32" s="214">
        <f t="shared" si="25"/>
        <v>2.0236397518130156</v>
      </c>
      <c r="AB32" s="219">
        <f t="shared" si="7"/>
        <v>0.67512027023757992</v>
      </c>
      <c r="AC32" s="218">
        <v>0</v>
      </c>
      <c r="AD32" s="214">
        <f t="shared" si="26"/>
        <v>1.3673621378569888E-2</v>
      </c>
      <c r="AE32" s="219">
        <f t="shared" si="27"/>
        <v>1.3673621378569888E-2</v>
      </c>
      <c r="AF32" s="58">
        <f t="shared" si="8"/>
        <v>8.1083333333333327E-2</v>
      </c>
      <c r="AG32" s="61">
        <f t="shared" si="9"/>
        <v>8.1083333333333327E-2</v>
      </c>
      <c r="AH32" s="58">
        <f t="shared" si="10"/>
        <v>3.9653501997852676E-3</v>
      </c>
      <c r="AI32" s="49">
        <f t="shared" si="11"/>
        <v>2.6450114888832709E-2</v>
      </c>
      <c r="AJ32" s="61">
        <f t="shared" si="45"/>
        <v>3.0415465088617977E-2</v>
      </c>
      <c r="AK32" s="218">
        <f t="shared" si="12"/>
        <v>4</v>
      </c>
      <c r="AL32" s="214">
        <f t="shared" si="13"/>
        <v>48</v>
      </c>
      <c r="AM32" s="219">
        <f t="shared" si="28"/>
        <v>8.3333333333333329E-2</v>
      </c>
      <c r="AN32" s="218">
        <f t="shared" si="29"/>
        <v>1</v>
      </c>
      <c r="AO32" s="214">
        <f t="shared" si="30"/>
        <v>0.35810834958021087</v>
      </c>
      <c r="AP32" s="214">
        <f t="shared" si="31"/>
        <v>0.23270424560337685</v>
      </c>
      <c r="AQ32" s="214">
        <f t="shared" si="32"/>
        <v>0.47171089785851195</v>
      </c>
      <c r="AR32" s="214">
        <f t="shared" si="46"/>
        <v>0.4685596945326328</v>
      </c>
      <c r="AS32" s="219">
        <f t="shared" si="47"/>
        <v>0.16188683189380421</v>
      </c>
      <c r="AT32" s="218"/>
      <c r="AU32" s="214">
        <f t="shared" si="33"/>
        <v>8.3333333333333331E-5</v>
      </c>
      <c r="AV32" s="219">
        <f t="shared" si="48"/>
        <v>8.3333333333333331E-5</v>
      </c>
      <c r="AW32" s="218">
        <f t="shared" si="34"/>
        <v>0.109428</v>
      </c>
      <c r="AX32" s="214">
        <f t="shared" si="35"/>
        <v>2.4999999999999998E-2</v>
      </c>
      <c r="AY32" s="219">
        <f t="shared" si="49"/>
        <v>0.13442799999999999</v>
      </c>
      <c r="AZ32" s="218">
        <f t="shared" si="14"/>
        <v>5.4166666666666662E-2</v>
      </c>
      <c r="BA32" s="214">
        <f t="shared" si="15"/>
        <v>6.5</v>
      </c>
      <c r="BB32" s="214">
        <f t="shared" si="50"/>
        <v>8.3333333333333332E-3</v>
      </c>
      <c r="BC32" s="61">
        <f t="shared" si="36"/>
        <v>8.3333333333333332E-3</v>
      </c>
      <c r="BD32" s="58">
        <v>0</v>
      </c>
      <c r="BE32" s="49">
        <f t="shared" si="51"/>
        <v>8.3333333333333333E-7</v>
      </c>
      <c r="BF32" s="61">
        <f t="shared" si="52"/>
        <v>8.3333333333333333E-7</v>
      </c>
      <c r="BG32" s="58">
        <f t="shared" si="37"/>
        <v>1.4700399999999999E-2</v>
      </c>
      <c r="BH32" s="49">
        <f t="shared" si="38"/>
        <v>2.5000000000000001E-3</v>
      </c>
      <c r="BI32" s="61">
        <f t="shared" si="39"/>
        <v>1.7200399999999998E-2</v>
      </c>
      <c r="BK32" s="218">
        <f t="shared" si="17"/>
        <v>0</v>
      </c>
      <c r="BL32" s="214">
        <f t="shared" si="18"/>
        <v>0</v>
      </c>
      <c r="BM32" s="214">
        <f t="shared" si="19"/>
        <v>0</v>
      </c>
      <c r="BN32" s="61">
        <f t="shared" si="40"/>
        <v>0</v>
      </c>
      <c r="BO32" s="58">
        <v>0</v>
      </c>
      <c r="BP32" s="49">
        <f t="shared" si="41"/>
        <v>0</v>
      </c>
      <c r="BQ32" s="61">
        <f t="shared" si="53"/>
        <v>0</v>
      </c>
      <c r="BR32" s="58">
        <f t="shared" si="42"/>
        <v>0</v>
      </c>
      <c r="BS32" s="49">
        <f t="shared" si="54"/>
        <v>0</v>
      </c>
      <c r="BT32" s="61">
        <f t="shared" si="55"/>
        <v>0</v>
      </c>
      <c r="BU32" s="58">
        <f t="shared" si="20"/>
        <v>9.1157475857132583E-4</v>
      </c>
      <c r="BV32" s="49">
        <f t="shared" si="21"/>
        <v>2.59875E-2</v>
      </c>
      <c r="BW32" s="61">
        <f t="shared" si="22"/>
        <v>5.4000000000000003E-3</v>
      </c>
      <c r="BX32" s="49">
        <f t="shared" si="56"/>
        <v>9.4757788045236546E-2</v>
      </c>
      <c r="BY32" s="49">
        <f t="shared" si="43"/>
        <v>0.39026739455909248</v>
      </c>
      <c r="BZ32" s="49">
        <f t="shared" si="44"/>
        <v>91.218963107949492</v>
      </c>
    </row>
    <row r="33" spans="17:78" x14ac:dyDescent="0.35">
      <c r="Q33" s="49">
        <v>26</v>
      </c>
      <c r="R33" s="218">
        <f t="shared" si="0"/>
        <v>4.216333333333333</v>
      </c>
      <c r="S33" s="214">
        <f t="shared" si="1"/>
        <v>12</v>
      </c>
      <c r="T33" s="219">
        <f t="shared" si="2"/>
        <v>0.35136111111111107</v>
      </c>
      <c r="U33" s="218">
        <f t="shared" si="3"/>
        <v>1</v>
      </c>
      <c r="V33" s="214">
        <f t="shared" si="4"/>
        <v>0.34051309323822876</v>
      </c>
      <c r="W33" s="214">
        <f t="shared" si="5"/>
        <v>0.3652002924980004</v>
      </c>
      <c r="X33" s="214">
        <f t="shared" si="23"/>
        <v>0.29428661426377084</v>
      </c>
      <c r="Y33" s="218">
        <f t="shared" si="24"/>
        <v>1.0318578582976627</v>
      </c>
      <c r="Z33" s="214">
        <f t="shared" si="6"/>
        <v>2.0637157165953259</v>
      </c>
      <c r="AA33" s="214">
        <f t="shared" si="25"/>
        <v>2.0637157165953255</v>
      </c>
      <c r="AB33" s="219">
        <f t="shared" si="7"/>
        <v>0.69527426108953405</v>
      </c>
      <c r="AC33" s="218">
        <v>0</v>
      </c>
      <c r="AD33" s="214">
        <f t="shared" si="26"/>
        <v>1.4502188944007927E-2</v>
      </c>
      <c r="AE33" s="219">
        <f t="shared" si="27"/>
        <v>1.4502188944007927E-2</v>
      </c>
      <c r="AF33" s="58">
        <f t="shared" si="8"/>
        <v>8.4326666666666661E-2</v>
      </c>
      <c r="AG33" s="61">
        <f t="shared" si="9"/>
        <v>8.4326666666666661E-2</v>
      </c>
      <c r="AH33" s="58">
        <f t="shared" si="10"/>
        <v>4.2056347937622987E-3</v>
      </c>
      <c r="AI33" s="49">
        <f t="shared" si="11"/>
        <v>2.6973930390985803E-2</v>
      </c>
      <c r="AJ33" s="61">
        <f t="shared" si="45"/>
        <v>3.1179565184748102E-2</v>
      </c>
      <c r="AK33" s="218">
        <f t="shared" si="12"/>
        <v>4.16</v>
      </c>
      <c r="AL33" s="214">
        <f t="shared" si="13"/>
        <v>48</v>
      </c>
      <c r="AM33" s="219">
        <f t="shared" si="28"/>
        <v>8.666666666666667E-2</v>
      </c>
      <c r="AN33" s="218">
        <f t="shared" si="29"/>
        <v>1</v>
      </c>
      <c r="AO33" s="214">
        <f t="shared" si="30"/>
        <v>0.36520029249800035</v>
      </c>
      <c r="AP33" s="214">
        <f t="shared" si="31"/>
        <v>0.23731269784550135</v>
      </c>
      <c r="AQ33" s="214">
        <f t="shared" si="32"/>
        <v>0.48105261459098508</v>
      </c>
      <c r="AR33" s="214">
        <f t="shared" si="46"/>
        <v>0.47783900514099387</v>
      </c>
      <c r="AS33" s="219">
        <f t="shared" si="47"/>
        <v>0.16671954966702618</v>
      </c>
      <c r="AT33" s="218"/>
      <c r="AU33" s="214">
        <f t="shared" si="33"/>
        <v>9.0133333333333347E-5</v>
      </c>
      <c r="AV33" s="219">
        <f t="shared" si="48"/>
        <v>9.0133333333333347E-5</v>
      </c>
      <c r="AW33" s="218">
        <f t="shared" si="34"/>
        <v>0.109428</v>
      </c>
      <c r="AX33" s="214">
        <f t="shared" si="35"/>
        <v>2.5999999999999999E-2</v>
      </c>
      <c r="AY33" s="219">
        <f t="shared" si="49"/>
        <v>0.13542799999999999</v>
      </c>
      <c r="AZ33" s="218">
        <f t="shared" si="14"/>
        <v>5.6333333333333332E-2</v>
      </c>
      <c r="BA33" s="214">
        <f t="shared" si="15"/>
        <v>6.5</v>
      </c>
      <c r="BB33" s="214">
        <f t="shared" si="50"/>
        <v>8.6666666666666663E-3</v>
      </c>
      <c r="BC33" s="61">
        <f t="shared" si="36"/>
        <v>8.6666666666666663E-3</v>
      </c>
      <c r="BD33" s="58">
        <v>0</v>
      </c>
      <c r="BE33" s="49">
        <f t="shared" si="51"/>
        <v>9.0133333333333336E-7</v>
      </c>
      <c r="BF33" s="61">
        <f t="shared" si="52"/>
        <v>9.0133333333333336E-7</v>
      </c>
      <c r="BG33" s="58">
        <f t="shared" si="37"/>
        <v>1.4700399999999999E-2</v>
      </c>
      <c r="BH33" s="49">
        <f t="shared" si="38"/>
        <v>2.5999999999999999E-3</v>
      </c>
      <c r="BI33" s="61">
        <f t="shared" si="39"/>
        <v>1.73004E-2</v>
      </c>
      <c r="BK33" s="218">
        <f t="shared" si="17"/>
        <v>0</v>
      </c>
      <c r="BL33" s="214">
        <f t="shared" si="18"/>
        <v>0</v>
      </c>
      <c r="BM33" s="214">
        <f t="shared" si="19"/>
        <v>0</v>
      </c>
      <c r="BN33" s="61">
        <f t="shared" si="40"/>
        <v>0</v>
      </c>
      <c r="BO33" s="58">
        <v>0</v>
      </c>
      <c r="BP33" s="49">
        <f t="shared" si="41"/>
        <v>0</v>
      </c>
      <c r="BQ33" s="61">
        <f t="shared" si="53"/>
        <v>0</v>
      </c>
      <c r="BR33" s="58">
        <f t="shared" si="42"/>
        <v>0</v>
      </c>
      <c r="BS33" s="49">
        <f t="shared" si="54"/>
        <v>0</v>
      </c>
      <c r="BT33" s="61">
        <f t="shared" si="55"/>
        <v>0</v>
      </c>
      <c r="BU33" s="58">
        <f t="shared" si="20"/>
        <v>9.6681259626719518E-4</v>
      </c>
      <c r="BV33" s="49">
        <f t="shared" si="21"/>
        <v>2.59875E-2</v>
      </c>
      <c r="BW33" s="61">
        <f t="shared" si="22"/>
        <v>5.4000000000000003E-3</v>
      </c>
      <c r="BX33" s="49">
        <f t="shared" si="56"/>
        <v>9.8829756944007918E-2</v>
      </c>
      <c r="BY33" s="49">
        <f t="shared" si="43"/>
        <v>0.39950883472502319</v>
      </c>
      <c r="BZ33" s="49">
        <f t="shared" si="44"/>
        <v>91.344833289802978</v>
      </c>
    </row>
    <row r="34" spans="17:78" x14ac:dyDescent="0.35">
      <c r="Q34" s="49">
        <v>27</v>
      </c>
      <c r="R34" s="218">
        <f t="shared" si="0"/>
        <v>4.3785000000000007</v>
      </c>
      <c r="S34" s="214">
        <f t="shared" si="1"/>
        <v>12</v>
      </c>
      <c r="T34" s="219">
        <f t="shared" si="2"/>
        <v>0.36487500000000006</v>
      </c>
      <c r="U34" s="218">
        <f t="shared" si="3"/>
        <v>1</v>
      </c>
      <c r="V34" s="214">
        <f t="shared" si="4"/>
        <v>0.34699963976926551</v>
      </c>
      <c r="W34" s="214">
        <f t="shared" si="5"/>
        <v>0.37215711365253729</v>
      </c>
      <c r="X34" s="214">
        <f t="shared" si="23"/>
        <v>0.2808432465781972</v>
      </c>
      <c r="Y34" s="218">
        <f t="shared" si="24"/>
        <v>1.0515140599068651</v>
      </c>
      <c r="Z34" s="214">
        <f t="shared" si="6"/>
        <v>2.1030281198137306</v>
      </c>
      <c r="AA34" s="214">
        <f t="shared" si="25"/>
        <v>2.1030281198137306</v>
      </c>
      <c r="AB34" s="219">
        <f t="shared" si="7"/>
        <v>0.71523533899318081</v>
      </c>
      <c r="AC34" s="218">
        <v>0</v>
      </c>
      <c r="AD34" s="214">
        <f t="shared" si="26"/>
        <v>1.5346847704340708E-2</v>
      </c>
      <c r="AE34" s="219">
        <f t="shared" si="27"/>
        <v>1.5346847704340708E-2</v>
      </c>
      <c r="AF34" s="58">
        <f t="shared" si="8"/>
        <v>8.7570000000000023E-2</v>
      </c>
      <c r="AG34" s="61">
        <f t="shared" si="9"/>
        <v>8.7570000000000023E-2</v>
      </c>
      <c r="AH34" s="58">
        <f t="shared" si="10"/>
        <v>4.4505858342588052E-3</v>
      </c>
      <c r="AI34" s="49">
        <f t="shared" si="11"/>
        <v>2.7487765712095373E-2</v>
      </c>
      <c r="AJ34" s="61">
        <f t="shared" si="45"/>
        <v>3.1938351546354181E-2</v>
      </c>
      <c r="AK34" s="218">
        <f t="shared" si="12"/>
        <v>4.32</v>
      </c>
      <c r="AL34" s="214">
        <f t="shared" si="13"/>
        <v>48</v>
      </c>
      <c r="AM34" s="219">
        <f t="shared" si="28"/>
        <v>9.0000000000000011E-2</v>
      </c>
      <c r="AN34" s="218">
        <f t="shared" si="29"/>
        <v>1</v>
      </c>
      <c r="AO34" s="214">
        <f t="shared" si="30"/>
        <v>0.37215711365253729</v>
      </c>
      <c r="AP34" s="214">
        <f t="shared" si="31"/>
        <v>0.24183334591322117</v>
      </c>
      <c r="AQ34" s="214">
        <f t="shared" si="32"/>
        <v>0.49021634494492555</v>
      </c>
      <c r="AR34" s="214">
        <f t="shared" si="46"/>
        <v>0.48694151838568395</v>
      </c>
      <c r="AS34" s="219">
        <f t="shared" si="47"/>
        <v>0.17150600891801204</v>
      </c>
      <c r="AT34" s="218"/>
      <c r="AU34" s="214">
        <f t="shared" si="33"/>
        <v>9.7200000000000018E-5</v>
      </c>
      <c r="AV34" s="219">
        <f t="shared" si="48"/>
        <v>9.7200000000000018E-5</v>
      </c>
      <c r="AW34" s="218">
        <f t="shared" si="34"/>
        <v>0.109428</v>
      </c>
      <c r="AX34" s="214">
        <f t="shared" si="35"/>
        <v>2.7000000000000003E-2</v>
      </c>
      <c r="AY34" s="219">
        <f t="shared" si="49"/>
        <v>0.13642799999999999</v>
      </c>
      <c r="AZ34" s="218">
        <f t="shared" si="14"/>
        <v>5.8499999999999996E-2</v>
      </c>
      <c r="BA34" s="214">
        <f t="shared" si="15"/>
        <v>6.5</v>
      </c>
      <c r="BB34" s="214">
        <f t="shared" si="50"/>
        <v>8.9999999999999993E-3</v>
      </c>
      <c r="BC34" s="61">
        <f t="shared" si="36"/>
        <v>8.9999999999999993E-3</v>
      </c>
      <c r="BD34" s="58">
        <v>0</v>
      </c>
      <c r="BE34" s="49">
        <f t="shared" si="51"/>
        <v>9.7199999999999997E-7</v>
      </c>
      <c r="BF34" s="61">
        <f t="shared" si="52"/>
        <v>9.7199999999999997E-7</v>
      </c>
      <c r="BG34" s="58">
        <f t="shared" si="37"/>
        <v>1.4700399999999999E-2</v>
      </c>
      <c r="BH34" s="49">
        <f t="shared" si="38"/>
        <v>2.6999999999999997E-3</v>
      </c>
      <c r="BI34" s="61">
        <f t="shared" si="39"/>
        <v>1.74004E-2</v>
      </c>
      <c r="BK34" s="218">
        <f t="shared" si="17"/>
        <v>0</v>
      </c>
      <c r="BL34" s="214">
        <f t="shared" si="18"/>
        <v>0</v>
      </c>
      <c r="BM34" s="214">
        <f t="shared" si="19"/>
        <v>0</v>
      </c>
      <c r="BN34" s="61">
        <f t="shared" si="40"/>
        <v>0</v>
      </c>
      <c r="BO34" s="58">
        <v>0</v>
      </c>
      <c r="BP34" s="49">
        <f t="shared" si="41"/>
        <v>0</v>
      </c>
      <c r="BQ34" s="61">
        <f t="shared" si="53"/>
        <v>0</v>
      </c>
      <c r="BR34" s="58">
        <f t="shared" si="42"/>
        <v>0</v>
      </c>
      <c r="BS34" s="49">
        <f t="shared" si="54"/>
        <v>0</v>
      </c>
      <c r="BT34" s="61">
        <f t="shared" si="55"/>
        <v>0</v>
      </c>
      <c r="BU34" s="58">
        <f t="shared" si="20"/>
        <v>1.0231231802893806E-3</v>
      </c>
      <c r="BV34" s="49">
        <f t="shared" si="21"/>
        <v>2.59875E-2</v>
      </c>
      <c r="BW34" s="61">
        <f t="shared" si="22"/>
        <v>5.4000000000000003E-3</v>
      </c>
      <c r="BX34" s="49">
        <f t="shared" si="56"/>
        <v>0.10291781970434073</v>
      </c>
      <c r="BY34" s="49">
        <f t="shared" si="43"/>
        <v>0.40876239443098433</v>
      </c>
      <c r="BZ34" s="49">
        <f t="shared" si="44"/>
        <v>91.461458329368014</v>
      </c>
    </row>
    <row r="35" spans="17:78" x14ac:dyDescent="0.35">
      <c r="Q35" s="49">
        <v>28</v>
      </c>
      <c r="R35" s="218">
        <f t="shared" si="0"/>
        <v>4.5406666666666675</v>
      </c>
      <c r="S35" s="214">
        <f t="shared" si="1"/>
        <v>12</v>
      </c>
      <c r="T35" s="219">
        <f t="shared" si="2"/>
        <v>0.37838888888888894</v>
      </c>
      <c r="U35" s="218">
        <f t="shared" si="3"/>
        <v>1</v>
      </c>
      <c r="V35" s="214">
        <f t="shared" si="4"/>
        <v>0.35336713674779291</v>
      </c>
      <c r="W35" s="214">
        <f t="shared" si="5"/>
        <v>0.37898625416200793</v>
      </c>
      <c r="X35" s="214">
        <f t="shared" si="23"/>
        <v>0.26764660909019922</v>
      </c>
      <c r="Y35" s="218">
        <f t="shared" si="24"/>
        <v>1.070809505296342</v>
      </c>
      <c r="Z35" s="214">
        <f t="shared" si="6"/>
        <v>2.1416190105926844</v>
      </c>
      <c r="AA35" s="214">
        <f t="shared" si="25"/>
        <v>2.1416190105926844</v>
      </c>
      <c r="AB35" s="219">
        <f t="shared" si="7"/>
        <v>0.73501239800948825</v>
      </c>
      <c r="AC35" s="218">
        <v>0</v>
      </c>
      <c r="AD35" s="214">
        <f t="shared" si="26"/>
        <v>1.6207296756829748E-2</v>
      </c>
      <c r="AE35" s="219">
        <f t="shared" si="27"/>
        <v>1.6207296756829748E-2</v>
      </c>
      <c r="AF35" s="58">
        <f t="shared" si="8"/>
        <v>9.0813333333333357E-2</v>
      </c>
      <c r="AG35" s="61">
        <f t="shared" si="9"/>
        <v>9.0813333333333357E-2</v>
      </c>
      <c r="AH35" s="58">
        <f t="shared" si="10"/>
        <v>4.7001160594806269E-3</v>
      </c>
      <c r="AI35" s="49">
        <f t="shared" si="11"/>
        <v>2.7992170457975283E-2</v>
      </c>
      <c r="AJ35" s="61">
        <f t="shared" si="45"/>
        <v>3.2692286517455912E-2</v>
      </c>
      <c r="AK35" s="218">
        <f t="shared" si="12"/>
        <v>4.4800000000000004</v>
      </c>
      <c r="AL35" s="214">
        <f t="shared" si="13"/>
        <v>48</v>
      </c>
      <c r="AM35" s="219">
        <f t="shared" si="28"/>
        <v>9.3333333333333338E-2</v>
      </c>
      <c r="AN35" s="218">
        <f t="shared" si="29"/>
        <v>1</v>
      </c>
      <c r="AO35" s="214">
        <f t="shared" si="30"/>
        <v>0.37898625416200793</v>
      </c>
      <c r="AP35" s="214">
        <f t="shared" si="31"/>
        <v>0.24627102515817231</v>
      </c>
      <c r="AQ35" s="214">
        <f t="shared" si="32"/>
        <v>0.49921189058104537</v>
      </c>
      <c r="AR35" s="214">
        <f t="shared" si="46"/>
        <v>0.495876970448695</v>
      </c>
      <c r="AS35" s="219">
        <f t="shared" si="47"/>
        <v>0.1762483423502465</v>
      </c>
      <c r="AT35" s="218"/>
      <c r="AU35" s="214">
        <f t="shared" si="33"/>
        <v>1.0453333333333334E-4</v>
      </c>
      <c r="AV35" s="219">
        <f t="shared" si="48"/>
        <v>1.0453333333333334E-4</v>
      </c>
      <c r="AW35" s="218">
        <f t="shared" si="34"/>
        <v>0.109428</v>
      </c>
      <c r="AX35" s="214">
        <f t="shared" si="35"/>
        <v>2.8000000000000001E-2</v>
      </c>
      <c r="AY35" s="219">
        <f t="shared" si="49"/>
        <v>0.13742799999999999</v>
      </c>
      <c r="AZ35" s="218">
        <f t="shared" si="14"/>
        <v>6.066666666666666E-2</v>
      </c>
      <c r="BA35" s="214">
        <f t="shared" si="15"/>
        <v>6.5</v>
      </c>
      <c r="BB35" s="214">
        <f t="shared" si="50"/>
        <v>9.3333333333333324E-3</v>
      </c>
      <c r="BC35" s="61">
        <f t="shared" si="36"/>
        <v>9.3333333333333324E-3</v>
      </c>
      <c r="BD35" s="58">
        <v>0</v>
      </c>
      <c r="BE35" s="49">
        <f t="shared" si="51"/>
        <v>1.0453333333333332E-6</v>
      </c>
      <c r="BF35" s="61">
        <f t="shared" si="52"/>
        <v>1.0453333333333332E-6</v>
      </c>
      <c r="BG35" s="58">
        <f t="shared" si="37"/>
        <v>1.4700399999999999E-2</v>
      </c>
      <c r="BH35" s="49">
        <f t="shared" si="38"/>
        <v>2.7999999999999995E-3</v>
      </c>
      <c r="BI35" s="61">
        <f t="shared" si="39"/>
        <v>1.7500399999999999E-2</v>
      </c>
      <c r="BK35" s="218">
        <f t="shared" si="17"/>
        <v>0</v>
      </c>
      <c r="BL35" s="214">
        <f t="shared" si="18"/>
        <v>0</v>
      </c>
      <c r="BM35" s="214">
        <f t="shared" si="19"/>
        <v>0</v>
      </c>
      <c r="BN35" s="61">
        <f t="shared" si="40"/>
        <v>0</v>
      </c>
      <c r="BO35" s="58">
        <v>0</v>
      </c>
      <c r="BP35" s="49">
        <f t="shared" si="41"/>
        <v>0</v>
      </c>
      <c r="BQ35" s="61">
        <f t="shared" si="53"/>
        <v>0</v>
      </c>
      <c r="BR35" s="58">
        <f t="shared" si="42"/>
        <v>0</v>
      </c>
      <c r="BS35" s="49">
        <f t="shared" si="54"/>
        <v>0</v>
      </c>
      <c r="BT35" s="61">
        <f t="shared" si="55"/>
        <v>0</v>
      </c>
      <c r="BU35" s="58">
        <f t="shared" si="20"/>
        <v>1.0804864504553168E-3</v>
      </c>
      <c r="BV35" s="49">
        <f t="shared" si="21"/>
        <v>2.59875E-2</v>
      </c>
      <c r="BW35" s="61">
        <f t="shared" si="22"/>
        <v>5.4000000000000003E-3</v>
      </c>
      <c r="BX35" s="49">
        <f t="shared" si="56"/>
        <v>0.10702167542349644</v>
      </c>
      <c r="BY35" s="49">
        <f t="shared" si="43"/>
        <v>0.41802821505807436</v>
      </c>
      <c r="BZ35" s="49">
        <f t="shared" si="44"/>
        <v>91.569793564054208</v>
      </c>
    </row>
    <row r="36" spans="17:78" s="216" customFormat="1" x14ac:dyDescent="0.35">
      <c r="Q36" s="216">
        <v>29</v>
      </c>
      <c r="R36" s="218">
        <f t="shared" si="0"/>
        <v>4.7028333333333334</v>
      </c>
      <c r="S36" s="214">
        <f t="shared" si="1"/>
        <v>12</v>
      </c>
      <c r="T36" s="219">
        <f t="shared" si="2"/>
        <v>0.39190277777777777</v>
      </c>
      <c r="U36" s="218">
        <f t="shared" si="3"/>
        <v>1</v>
      </c>
      <c r="V36" s="214">
        <f t="shared" si="4"/>
        <v>0.35962190793480125</v>
      </c>
      <c r="W36" s="214">
        <f t="shared" si="5"/>
        <v>0.38569449626007435</v>
      </c>
      <c r="X36" s="214">
        <f t="shared" si="23"/>
        <v>0.25468359580512434</v>
      </c>
      <c r="Y36" s="218">
        <f t="shared" si="24"/>
        <v>1.0897633573781857</v>
      </c>
      <c r="Z36" s="214">
        <f t="shared" si="6"/>
        <v>2.1795267147563711</v>
      </c>
      <c r="AA36" s="214">
        <f t="shared" si="25"/>
        <v>2.1795267147563715</v>
      </c>
      <c r="AB36" s="219">
        <f t="shared" si="7"/>
        <v>0.75461362022953904</v>
      </c>
      <c r="AC36" s="218">
        <v>0</v>
      </c>
      <c r="AD36" s="214">
        <f t="shared" si="26"/>
        <v>1.7083251475077929E-2</v>
      </c>
      <c r="AE36" s="219">
        <f t="shared" si="27"/>
        <v>1.7083251475077929E-2</v>
      </c>
      <c r="AF36" s="58">
        <f t="shared" si="8"/>
        <v>9.4056666666666677E-2</v>
      </c>
      <c r="AG36" s="61">
        <f t="shared" si="9"/>
        <v>9.4056666666666677E-2</v>
      </c>
      <c r="AH36" s="58">
        <f t="shared" si="10"/>
        <v>4.9541429277725991E-3</v>
      </c>
      <c r="AI36" s="49">
        <f t="shared" si="11"/>
        <v>2.8487645568801262E-2</v>
      </c>
      <c r="AJ36" s="224">
        <f t="shared" si="45"/>
        <v>3.3441788496573858E-2</v>
      </c>
      <c r="AK36" s="218">
        <f t="shared" si="12"/>
        <v>4.6399999999999997</v>
      </c>
      <c r="AL36" s="214">
        <f t="shared" si="13"/>
        <v>48</v>
      </c>
      <c r="AM36" s="219">
        <f t="shared" si="28"/>
        <v>9.6666666666666665E-2</v>
      </c>
      <c r="AN36" s="218">
        <f t="shared" si="29"/>
        <v>1</v>
      </c>
      <c r="AO36" s="214">
        <f t="shared" si="30"/>
        <v>0.38569449626007435</v>
      </c>
      <c r="AP36" s="214">
        <f t="shared" si="31"/>
        <v>0.25063014277881784</v>
      </c>
      <c r="AQ36" s="214">
        <f t="shared" si="32"/>
        <v>0.50804818525789541</v>
      </c>
      <c r="AR36" s="214">
        <f t="shared" si="46"/>
        <v>0.50465423540776555</v>
      </c>
      <c r="AS36" s="219">
        <f t="shared" si="47"/>
        <v>0.18094851194422679</v>
      </c>
      <c r="AT36" s="218"/>
      <c r="AU36" s="214">
        <f t="shared" si="33"/>
        <v>1.1213333333333333E-4</v>
      </c>
      <c r="AV36" s="219">
        <f t="shared" si="48"/>
        <v>1.1213333333333333E-4</v>
      </c>
      <c r="AW36" s="218">
        <f t="shared" si="34"/>
        <v>0.109428</v>
      </c>
      <c r="AX36" s="214">
        <f t="shared" si="35"/>
        <v>2.8999999999999998E-2</v>
      </c>
      <c r="AY36" s="219">
        <f t="shared" si="49"/>
        <v>0.138428</v>
      </c>
      <c r="AZ36" s="218">
        <f t="shared" si="14"/>
        <v>6.2833333333333324E-2</v>
      </c>
      <c r="BA36" s="214">
        <f t="shared" si="15"/>
        <v>6.5</v>
      </c>
      <c r="BB36" s="214">
        <f t="shared" si="50"/>
        <v>9.6666666666666654E-3</v>
      </c>
      <c r="BC36" s="61">
        <f t="shared" si="36"/>
        <v>9.6666666666666654E-3</v>
      </c>
      <c r="BD36" s="58">
        <v>0</v>
      </c>
      <c r="BE36" s="49">
        <f t="shared" si="51"/>
        <v>1.1213333333333329E-6</v>
      </c>
      <c r="BF36" s="61">
        <f t="shared" si="52"/>
        <v>1.1213333333333329E-6</v>
      </c>
      <c r="BG36" s="58">
        <f t="shared" si="37"/>
        <v>1.4700399999999999E-2</v>
      </c>
      <c r="BH36" s="49">
        <f t="shared" si="38"/>
        <v>2.8999999999999994E-3</v>
      </c>
      <c r="BI36" s="61">
        <f t="shared" si="39"/>
        <v>1.7600399999999999E-2</v>
      </c>
      <c r="BJ36" s="49"/>
      <c r="BK36" s="218">
        <f t="shared" si="17"/>
        <v>0</v>
      </c>
      <c r="BL36" s="214">
        <f t="shared" si="18"/>
        <v>0</v>
      </c>
      <c r="BM36" s="214">
        <f t="shared" si="19"/>
        <v>0</v>
      </c>
      <c r="BN36" s="61">
        <f t="shared" si="40"/>
        <v>0</v>
      </c>
      <c r="BO36" s="58">
        <v>0</v>
      </c>
      <c r="BP36" s="49">
        <f t="shared" si="41"/>
        <v>0</v>
      </c>
      <c r="BQ36" s="61">
        <f t="shared" si="53"/>
        <v>0</v>
      </c>
      <c r="BR36" s="58">
        <f t="shared" si="42"/>
        <v>0</v>
      </c>
      <c r="BS36" s="49">
        <f t="shared" si="54"/>
        <v>0</v>
      </c>
      <c r="BT36" s="61">
        <f t="shared" si="55"/>
        <v>0</v>
      </c>
      <c r="BU36" s="58">
        <f t="shared" si="20"/>
        <v>1.1388834316718619E-3</v>
      </c>
      <c r="BV36" s="49">
        <f t="shared" si="21"/>
        <v>2.59875E-2</v>
      </c>
      <c r="BW36" s="61">
        <f t="shared" si="22"/>
        <v>5.4000000000000003E-3</v>
      </c>
      <c r="BX36" s="49">
        <f t="shared" si="56"/>
        <v>0.11114103947507795</v>
      </c>
      <c r="BY36" s="49">
        <f t="shared" si="43"/>
        <v>0.4273064114033237</v>
      </c>
      <c r="BZ36" s="49">
        <f t="shared" si="44"/>
        <v>91.670667220289175</v>
      </c>
    </row>
    <row r="37" spans="17:78" x14ac:dyDescent="0.35">
      <c r="Q37" s="49">
        <v>30</v>
      </c>
      <c r="R37" s="218">
        <f t="shared" si="0"/>
        <v>4.8650000000000002</v>
      </c>
      <c r="S37" s="214">
        <f t="shared" si="1"/>
        <v>12</v>
      </c>
      <c r="T37" s="219">
        <f t="shared" si="2"/>
        <v>0.4054166666666667</v>
      </c>
      <c r="U37" s="218">
        <f t="shared" si="3"/>
        <v>1</v>
      </c>
      <c r="V37" s="214">
        <f t="shared" si="4"/>
        <v>0.3657697363096078</v>
      </c>
      <c r="W37" s="214">
        <f t="shared" si="5"/>
        <v>0.39228804219205443</v>
      </c>
      <c r="X37" s="214">
        <f t="shared" si="23"/>
        <v>0.24194222149833783</v>
      </c>
      <c r="Y37" s="218">
        <f t="shared" si="24"/>
        <v>1.1083931403321448</v>
      </c>
      <c r="Z37" s="214">
        <f t="shared" si="6"/>
        <v>2.21678628066429</v>
      </c>
      <c r="AA37" s="214">
        <f t="shared" si="25"/>
        <v>2.21678628066429</v>
      </c>
      <c r="AB37" s="219">
        <f t="shared" si="7"/>
        <v>0.77404655528347233</v>
      </c>
      <c r="AC37" s="218">
        <v>0</v>
      </c>
      <c r="AD37" s="214">
        <f t="shared" si="26"/>
        <v>1.7974442092386286E-2</v>
      </c>
      <c r="AE37" s="219">
        <f t="shared" si="27"/>
        <v>1.7974442092386286E-2</v>
      </c>
      <c r="AF37" s="58">
        <f t="shared" si="8"/>
        <v>9.7300000000000011E-2</v>
      </c>
      <c r="AG37" s="61">
        <f t="shared" si="9"/>
        <v>9.7300000000000011E-2</v>
      </c>
      <c r="AH37" s="58">
        <f t="shared" si="10"/>
        <v>5.2125882067920234E-3</v>
      </c>
      <c r="AI37" s="49">
        <f t="shared" si="11"/>
        <v>2.8974649146433853E-2</v>
      </c>
      <c r="AJ37" s="61">
        <f t="shared" si="45"/>
        <v>3.4187237353225874E-2</v>
      </c>
      <c r="AK37" s="218">
        <f t="shared" si="12"/>
        <v>4.8</v>
      </c>
      <c r="AL37" s="214">
        <f t="shared" si="13"/>
        <v>48</v>
      </c>
      <c r="AM37" s="219">
        <f t="shared" si="28"/>
        <v>9.9999999999999992E-2</v>
      </c>
      <c r="AN37" s="218">
        <f t="shared" si="29"/>
        <v>1</v>
      </c>
      <c r="AO37" s="214">
        <f t="shared" si="30"/>
        <v>0.39228804219205438</v>
      </c>
      <c r="AP37" s="214">
        <f t="shared" si="31"/>
        <v>0.25491472908838375</v>
      </c>
      <c r="AQ37" s="214">
        <f t="shared" si="32"/>
        <v>0.51673339875624469</v>
      </c>
      <c r="AR37" s="214">
        <f t="shared" si="46"/>
        <v>0.51328142846650615</v>
      </c>
      <c r="AS37" s="219">
        <f t="shared" si="47"/>
        <v>0.1856083280228823</v>
      </c>
      <c r="AT37" s="218"/>
      <c r="AU37" s="214">
        <f t="shared" si="33"/>
        <v>1.1999999999999999E-4</v>
      </c>
      <c r="AV37" s="219">
        <f t="shared" si="48"/>
        <v>1.1999999999999999E-4</v>
      </c>
      <c r="AW37" s="218">
        <f t="shared" si="34"/>
        <v>0.109428</v>
      </c>
      <c r="AX37" s="214">
        <f t="shared" si="35"/>
        <v>2.9999999999999995E-2</v>
      </c>
      <c r="AY37" s="219">
        <f t="shared" si="49"/>
        <v>0.139428</v>
      </c>
      <c r="AZ37" s="218">
        <f t="shared" si="14"/>
        <v>6.5000000000000002E-2</v>
      </c>
      <c r="BA37" s="214">
        <f t="shared" si="15"/>
        <v>6.5</v>
      </c>
      <c r="BB37" s="214">
        <f t="shared" si="50"/>
        <v>0.01</v>
      </c>
      <c r="BC37" s="61">
        <f t="shared" si="36"/>
        <v>0.01</v>
      </c>
      <c r="BD37" s="58">
        <v>0</v>
      </c>
      <c r="BE37" s="49">
        <f t="shared" si="51"/>
        <v>1.2000000000000002E-6</v>
      </c>
      <c r="BF37" s="61">
        <f t="shared" si="52"/>
        <v>1.2000000000000002E-6</v>
      </c>
      <c r="BG37" s="58">
        <f t="shared" si="37"/>
        <v>1.4700399999999999E-2</v>
      </c>
      <c r="BH37" s="49">
        <f t="shared" si="38"/>
        <v>3.0000000000000001E-3</v>
      </c>
      <c r="BI37" s="61">
        <f t="shared" si="39"/>
        <v>1.7700399999999998E-2</v>
      </c>
      <c r="BK37" s="218">
        <f t="shared" si="17"/>
        <v>0</v>
      </c>
      <c r="BL37" s="214">
        <f t="shared" si="18"/>
        <v>0</v>
      </c>
      <c r="BM37" s="214">
        <f t="shared" si="19"/>
        <v>0</v>
      </c>
      <c r="BN37" s="61">
        <f t="shared" si="40"/>
        <v>0</v>
      </c>
      <c r="BO37" s="58">
        <v>0</v>
      </c>
      <c r="BP37" s="49">
        <f t="shared" si="41"/>
        <v>0</v>
      </c>
      <c r="BQ37" s="61">
        <f t="shared" si="53"/>
        <v>0</v>
      </c>
      <c r="BR37" s="58">
        <f t="shared" si="42"/>
        <v>0</v>
      </c>
      <c r="BS37" s="49">
        <f t="shared" si="54"/>
        <v>0</v>
      </c>
      <c r="BT37" s="61">
        <f t="shared" si="55"/>
        <v>0</v>
      </c>
      <c r="BU37" s="58">
        <f t="shared" si="20"/>
        <v>1.1982961394924193E-3</v>
      </c>
      <c r="BV37" s="49">
        <f t="shared" si="21"/>
        <v>2.59875E-2</v>
      </c>
      <c r="BW37" s="61">
        <f t="shared" si="22"/>
        <v>5.4000000000000003E-3</v>
      </c>
      <c r="BX37" s="49">
        <f t="shared" si="56"/>
        <v>0.1152756420923863</v>
      </c>
      <c r="BY37" s="49">
        <f t="shared" si="43"/>
        <v>0.43659707558510458</v>
      </c>
      <c r="BZ37" s="49">
        <f t="shared" si="44"/>
        <v>91.764800882441264</v>
      </c>
    </row>
    <row r="38" spans="17:78" x14ac:dyDescent="0.35">
      <c r="Q38" s="49">
        <v>31</v>
      </c>
      <c r="R38" s="218">
        <f t="shared" si="0"/>
        <v>5.027166666666667</v>
      </c>
      <c r="S38" s="214">
        <f t="shared" si="1"/>
        <v>12</v>
      </c>
      <c r="T38" s="219">
        <f t="shared" si="2"/>
        <v>0.41893055555555558</v>
      </c>
      <c r="U38" s="218">
        <f t="shared" si="3"/>
        <v>1</v>
      </c>
      <c r="V38" s="214">
        <f t="shared" si="4"/>
        <v>0.37181592668057317</v>
      </c>
      <c r="W38" s="214">
        <f t="shared" si="5"/>
        <v>0.39877258136491478</v>
      </c>
      <c r="X38" s="214">
        <f t="shared" si="23"/>
        <v>0.22941149195451205</v>
      </c>
      <c r="Y38" s="218">
        <f t="shared" si="24"/>
        <v>1.12671492933507</v>
      </c>
      <c r="Z38" s="214">
        <f t="shared" si="6"/>
        <v>2.2534298586701405</v>
      </c>
      <c r="AA38" s="214">
        <f t="shared" si="25"/>
        <v>2.25342985867014</v>
      </c>
      <c r="AB38" s="219">
        <f t="shared" si="7"/>
        <v>0.7933181886221774</v>
      </c>
      <c r="AC38" s="218">
        <v>0</v>
      </c>
      <c r="AD38" s="214">
        <f t="shared" si="26"/>
        <v>1.888061245196318E-2</v>
      </c>
      <c r="AE38" s="219">
        <f t="shared" si="27"/>
        <v>1.888061245196318E-2</v>
      </c>
      <c r="AF38" s="58">
        <f t="shared" si="8"/>
        <v>0.10054333333333335</v>
      </c>
      <c r="AG38" s="61">
        <f t="shared" si="9"/>
        <v>0.10054333333333335</v>
      </c>
      <c r="AH38" s="58">
        <f t="shared" si="10"/>
        <v>5.4753776110693219E-3</v>
      </c>
      <c r="AI38" s="49">
        <f t="shared" si="11"/>
        <v>2.9453601414160507E-2</v>
      </c>
      <c r="AJ38" s="61">
        <f t="shared" si="45"/>
        <v>3.4928979025229831E-2</v>
      </c>
      <c r="AK38" s="218">
        <f t="shared" si="12"/>
        <v>4.96</v>
      </c>
      <c r="AL38" s="214">
        <f t="shared" si="13"/>
        <v>48</v>
      </c>
      <c r="AM38" s="219">
        <f t="shared" si="28"/>
        <v>0.10333333333333333</v>
      </c>
      <c r="AN38" s="218">
        <f t="shared" si="29"/>
        <v>1</v>
      </c>
      <c r="AO38" s="214">
        <f t="shared" si="30"/>
        <v>0.39877258136491472</v>
      </c>
      <c r="AP38" s="214">
        <f t="shared" si="31"/>
        <v>0.2591284811499453</v>
      </c>
      <c r="AQ38" s="214">
        <f t="shared" si="32"/>
        <v>0.52527502533103509</v>
      </c>
      <c r="AR38" s="214">
        <f t="shared" si="46"/>
        <v>0.52176599381546285</v>
      </c>
      <c r="AS38" s="219">
        <f t="shared" si="47"/>
        <v>0.19022946562481524</v>
      </c>
      <c r="AT38" s="218"/>
      <c r="AU38" s="214">
        <f t="shared" si="33"/>
        <v>1.2813333333333332E-4</v>
      </c>
      <c r="AV38" s="219">
        <f t="shared" si="48"/>
        <v>1.2813333333333332E-4</v>
      </c>
      <c r="AW38" s="218">
        <f t="shared" si="34"/>
        <v>0.109428</v>
      </c>
      <c r="AX38" s="214">
        <f t="shared" si="35"/>
        <v>3.1E-2</v>
      </c>
      <c r="AY38" s="219">
        <f t="shared" si="49"/>
        <v>0.140428</v>
      </c>
      <c r="AZ38" s="218">
        <f t="shared" si="14"/>
        <v>6.7166666666666666E-2</v>
      </c>
      <c r="BA38" s="214">
        <f t="shared" si="15"/>
        <v>6.5</v>
      </c>
      <c r="BB38" s="214">
        <f t="shared" si="50"/>
        <v>1.0333333333333333E-2</v>
      </c>
      <c r="BC38" s="61">
        <f t="shared" si="36"/>
        <v>1.0333333333333333E-2</v>
      </c>
      <c r="BD38" s="58">
        <v>0</v>
      </c>
      <c r="BE38" s="49">
        <f t="shared" si="51"/>
        <v>1.2813333333333333E-6</v>
      </c>
      <c r="BF38" s="61">
        <f t="shared" si="52"/>
        <v>1.2813333333333333E-6</v>
      </c>
      <c r="BG38" s="58">
        <f t="shared" si="37"/>
        <v>1.4700399999999999E-2</v>
      </c>
      <c r="BH38" s="49">
        <f t="shared" si="38"/>
        <v>3.0999999999999999E-3</v>
      </c>
      <c r="BI38" s="61">
        <f t="shared" si="39"/>
        <v>1.7800399999999997E-2</v>
      </c>
      <c r="BK38" s="218">
        <f t="shared" si="17"/>
        <v>0</v>
      </c>
      <c r="BL38" s="214">
        <f t="shared" si="18"/>
        <v>0</v>
      </c>
      <c r="BM38" s="214">
        <f t="shared" si="19"/>
        <v>0</v>
      </c>
      <c r="BN38" s="61">
        <f t="shared" si="40"/>
        <v>0</v>
      </c>
      <c r="BO38" s="58">
        <v>0</v>
      </c>
      <c r="BP38" s="49">
        <f t="shared" si="41"/>
        <v>0</v>
      </c>
      <c r="BQ38" s="61">
        <f t="shared" si="53"/>
        <v>0</v>
      </c>
      <c r="BR38" s="58">
        <f t="shared" si="42"/>
        <v>0</v>
      </c>
      <c r="BS38" s="49">
        <f t="shared" si="54"/>
        <v>0</v>
      </c>
      <c r="BT38" s="61">
        <f t="shared" si="55"/>
        <v>0</v>
      </c>
      <c r="BU38" s="58">
        <f t="shared" si="20"/>
        <v>1.2587074967975453E-3</v>
      </c>
      <c r="BV38" s="49">
        <f t="shared" si="21"/>
        <v>2.59875E-2</v>
      </c>
      <c r="BW38" s="61">
        <f t="shared" si="22"/>
        <v>5.4000000000000003E-3</v>
      </c>
      <c r="BX38" s="49">
        <f t="shared" si="56"/>
        <v>0.11942522711862985</v>
      </c>
      <c r="BY38" s="49">
        <f t="shared" si="43"/>
        <v>0.44590028030732387</v>
      </c>
      <c r="BZ38" s="49">
        <f t="shared" si="44"/>
        <v>91.852826127883219</v>
      </c>
    </row>
    <row r="39" spans="17:78" x14ac:dyDescent="0.35">
      <c r="Q39" s="49">
        <v>32</v>
      </c>
      <c r="R39" s="218">
        <f t="shared" ref="R39:R70" si="57">AK39+AZ39+BK39</f>
        <v>5.1893333333333338</v>
      </c>
      <c r="S39" s="214">
        <f t="shared" si="1"/>
        <v>12</v>
      </c>
      <c r="T39" s="219">
        <f t="shared" ref="T39:T70" si="58">(R39)/(S39*EFF_est)</f>
        <v>0.43244444444444446</v>
      </c>
      <c r="U39" s="218">
        <f t="shared" ref="U39:U70" si="59">IF(R39&lt;((((Np/NS1_)*(AL39)/((S39+((Np/NS1_)*(AL39)))))^2)*(S39^2))/(2*Lm*Fsw),1,2)</f>
        <v>1</v>
      </c>
      <c r="V39" s="214">
        <f t="shared" ref="V39:V70" si="60">CHOOSE(U39,SQRT((2*Lm*R39*Fsw)/((S39^2)*EFF_est)),(((Np/NS1_)*(AL39))/(S39+((Np/NS1_)*(AL39)))))</f>
        <v>0.37776535927301047</v>
      </c>
      <c r="W39" s="214">
        <f t="shared" ref="W39:W70" si="61">CHOOSE(U39,(NS1_*S39*V39)/(Np*AL39),1-V39)</f>
        <v>0.40515334782030377</v>
      </c>
      <c r="X39" s="214">
        <f t="shared" si="23"/>
        <v>0.21708129290668576</v>
      </c>
      <c r="Y39" s="218">
        <f t="shared" si="24"/>
        <v>1.1447435129485166</v>
      </c>
      <c r="Z39" s="214">
        <f t="shared" ref="Z39:Z70" si="62">(S39*V39)/(Lm*Fsw)</f>
        <v>2.2894870258970328</v>
      </c>
      <c r="AA39" s="214">
        <f t="shared" si="25"/>
        <v>2.2894870258970332</v>
      </c>
      <c r="AB39" s="219">
        <f t="shared" ref="AB39:AB70" si="63">CHOOSE(U39,AA39*SQRT(V39/3),SQRT(V39*((AA39^2)+((Z39^2)/(3))-(AA39*Z39))))</f>
        <v>0.8124350004674451</v>
      </c>
      <c r="AC39" s="218">
        <v>0</v>
      </c>
      <c r="AD39" s="214">
        <f t="shared" ref="AD39:AD70" si="64">(AB39^2)*Rdcr</f>
        <v>1.9801518899536127E-2</v>
      </c>
      <c r="AE39" s="219">
        <f t="shared" si="27"/>
        <v>1.9801518899536127E-2</v>
      </c>
      <c r="AF39" s="58">
        <f t="shared" ref="AF39:AF70" si="65">R39*0.02</f>
        <v>0.10378666666666668</v>
      </c>
      <c r="AG39" s="61">
        <f t="shared" ref="AG39:AG70" si="66">R39*0.02</f>
        <v>0.10378666666666668</v>
      </c>
      <c r="AH39" s="58">
        <f t="shared" ref="AH39:AH70" si="67">(AB39^2)*RDS_on</f>
        <v>5.7424404808654765E-3</v>
      </c>
      <c r="AI39" s="49">
        <f t="shared" ref="AI39:AI70" si="68">((Y39*(S39+((Np/NS1_)*VOUT1)))/2)*Fsw*(tr_sw+tf_sw)</f>
        <v>2.9924888961691001E-2</v>
      </c>
      <c r="AJ39" s="61">
        <f t="shared" si="45"/>
        <v>3.5667329442556475E-2</v>
      </c>
      <c r="AK39" s="218">
        <f t="shared" ref="AK39:AK70" si="69">Q39*$B$11</f>
        <v>5.12</v>
      </c>
      <c r="AL39" s="214">
        <f t="shared" si="13"/>
        <v>48</v>
      </c>
      <c r="AM39" s="219">
        <f t="shared" si="28"/>
        <v>0.10666666666666667</v>
      </c>
      <c r="AN39" s="218">
        <f t="shared" si="29"/>
        <v>1</v>
      </c>
      <c r="AO39" s="214">
        <f t="shared" si="30"/>
        <v>0.40515334782030377</v>
      </c>
      <c r="AP39" s="214">
        <f t="shared" si="31"/>
        <v>0.2632748001232762</v>
      </c>
      <c r="AQ39" s="214">
        <f t="shared" si="32"/>
        <v>0.53367995941655788</v>
      </c>
      <c r="AR39" s="214">
        <f t="shared" si="46"/>
        <v>0.53011477983155508</v>
      </c>
      <c r="AS39" s="219">
        <f t="shared" si="47"/>
        <v>0.19481347863993506</v>
      </c>
      <c r="AT39" s="218"/>
      <c r="AU39" s="214">
        <f t="shared" si="33"/>
        <v>1.3653333333333336E-4</v>
      </c>
      <c r="AV39" s="219">
        <f t="shared" si="48"/>
        <v>1.3653333333333336E-4</v>
      </c>
      <c r="AW39" s="218">
        <f t="shared" si="34"/>
        <v>0.109428</v>
      </c>
      <c r="AX39" s="214">
        <f t="shared" si="35"/>
        <v>3.2000000000000001E-2</v>
      </c>
      <c r="AY39" s="219">
        <f t="shared" si="49"/>
        <v>0.141428</v>
      </c>
      <c r="AZ39" s="218">
        <f t="shared" ref="AZ39:AZ70" si="70">IF(EN_OUT_2=1,Q39*$B$15,0)</f>
        <v>6.933333333333333E-2</v>
      </c>
      <c r="BA39" s="214">
        <f t="shared" ref="BA39:BA70" si="71">IF(EN_OUT_2=1,VOUT2,0)</f>
        <v>6.5</v>
      </c>
      <c r="BB39" s="214">
        <f t="shared" si="50"/>
        <v>1.0666666666666666E-2</v>
      </c>
      <c r="BC39" s="61">
        <f t="shared" si="36"/>
        <v>1.0666666666666666E-2</v>
      </c>
      <c r="BD39" s="58">
        <v>0</v>
      </c>
      <c r="BE39" s="49">
        <f t="shared" si="51"/>
        <v>1.3653333333333333E-6</v>
      </c>
      <c r="BF39" s="61">
        <f t="shared" si="52"/>
        <v>1.3653333333333333E-6</v>
      </c>
      <c r="BG39" s="58">
        <f t="shared" si="37"/>
        <v>1.4700399999999999E-2</v>
      </c>
      <c r="BH39" s="49">
        <f t="shared" si="38"/>
        <v>3.1999999999999997E-3</v>
      </c>
      <c r="BI39" s="61">
        <f t="shared" si="39"/>
        <v>1.7900399999999997E-2</v>
      </c>
      <c r="BK39" s="218">
        <f t="shared" ref="BK39:BK70" si="72">IF(EN_OUT_3=1,Q39*$B$19,0)</f>
        <v>0</v>
      </c>
      <c r="BL39" s="214">
        <f t="shared" si="18"/>
        <v>0</v>
      </c>
      <c r="BM39" s="214">
        <f t="shared" ref="BM39:BM70" si="73">IF(EN_OUT_3=1,BK39/BL39,0)</f>
        <v>0</v>
      </c>
      <c r="BN39" s="61">
        <f t="shared" si="40"/>
        <v>0</v>
      </c>
      <c r="BO39" s="58">
        <v>0</v>
      </c>
      <c r="BP39" s="49">
        <f t="shared" si="41"/>
        <v>0</v>
      </c>
      <c r="BQ39" s="61">
        <f t="shared" si="53"/>
        <v>0</v>
      </c>
      <c r="BR39" s="58">
        <f t="shared" si="42"/>
        <v>0</v>
      </c>
      <c r="BS39" s="49">
        <f t="shared" si="54"/>
        <v>0</v>
      </c>
      <c r="BT39" s="61">
        <f t="shared" si="55"/>
        <v>0</v>
      </c>
      <c r="BU39" s="58">
        <f t="shared" ref="BU39:BU70" si="74">(AB39^2)*R_cs</f>
        <v>1.3201012599690751E-3</v>
      </c>
      <c r="BV39" s="49">
        <f t="shared" si="21"/>
        <v>2.59875E-2</v>
      </c>
      <c r="BW39" s="61">
        <f t="shared" ref="BW39:BW70" si="75">IQ*S39</f>
        <v>5.4000000000000003E-3</v>
      </c>
      <c r="BX39" s="49">
        <f t="shared" si="56"/>
        <v>0.12358955089953613</v>
      </c>
      <c r="BY39" s="49">
        <f t="shared" si="43"/>
        <v>0.45521608160206173</v>
      </c>
      <c r="BZ39" s="49">
        <f t="shared" si="44"/>
        <v>91.935298140936339</v>
      </c>
    </row>
    <row r="40" spans="17:78" x14ac:dyDescent="0.35">
      <c r="Q40" s="49">
        <v>33</v>
      </c>
      <c r="R40" s="218">
        <f t="shared" si="57"/>
        <v>5.3515000000000006</v>
      </c>
      <c r="S40" s="214">
        <f t="shared" si="1"/>
        <v>12</v>
      </c>
      <c r="T40" s="219">
        <f t="shared" si="58"/>
        <v>0.4459583333333334</v>
      </c>
      <c r="U40" s="218">
        <f t="shared" si="59"/>
        <v>1</v>
      </c>
      <c r="V40" s="214">
        <f t="shared" si="60"/>
        <v>0.38362253583437983</v>
      </c>
      <c r="W40" s="214">
        <f t="shared" si="61"/>
        <v>0.41143516968237237</v>
      </c>
      <c r="X40" s="214">
        <f t="shared" si="23"/>
        <v>0.20494229448324774</v>
      </c>
      <c r="Y40" s="218">
        <f t="shared" ref="Y40:Y71" si="76">R40/(S40*EFF_est*V40)</f>
        <v>1.1624925328314539</v>
      </c>
      <c r="Z40" s="214">
        <f t="shared" si="62"/>
        <v>2.3249850656629079</v>
      </c>
      <c r="AA40" s="214">
        <f t="shared" si="25"/>
        <v>2.3249850656629079</v>
      </c>
      <c r="AB40" s="219">
        <f t="shared" si="63"/>
        <v>0.83140301695704755</v>
      </c>
      <c r="AC40" s="218">
        <v>0</v>
      </c>
      <c r="AD40" s="214">
        <f t="shared" si="64"/>
        <v>2.0736929298158419E-2</v>
      </c>
      <c r="AE40" s="219">
        <f t="shared" si="27"/>
        <v>2.0736929298158419E-2</v>
      </c>
      <c r="AF40" s="58">
        <f t="shared" si="65"/>
        <v>0.10703000000000001</v>
      </c>
      <c r="AG40" s="61">
        <f t="shared" si="66"/>
        <v>0.10703000000000001</v>
      </c>
      <c r="AH40" s="58">
        <f t="shared" si="67"/>
        <v>6.0137094964659412E-3</v>
      </c>
      <c r="AI40" s="49">
        <f t="shared" si="68"/>
        <v>3.0388868397405556E-2</v>
      </c>
      <c r="AJ40" s="61">
        <f t="shared" si="45"/>
        <v>3.6402577893871496E-2</v>
      </c>
      <c r="AK40" s="218">
        <f t="shared" si="69"/>
        <v>5.28</v>
      </c>
      <c r="AL40" s="214">
        <f t="shared" si="13"/>
        <v>48</v>
      </c>
      <c r="AM40" s="219">
        <f t="shared" si="28"/>
        <v>0.11</v>
      </c>
      <c r="AN40" s="218">
        <f t="shared" ref="AN40:AN71" si="77">IF(((AL40*AO40)/(Fsw*$AO$2))/2&gt;AP40,1,2)</f>
        <v>1</v>
      </c>
      <c r="AO40" s="214">
        <f t="shared" ref="AO40:AO71" si="78">AM40/AP40</f>
        <v>0.41143516968237237</v>
      </c>
      <c r="AP40" s="214">
        <f t="shared" ref="AP40:AP71" si="79">Np*$Y40*AK40/(R40*NS1_)</f>
        <v>0.26735682339679401</v>
      </c>
      <c r="AQ40" s="214">
        <f t="shared" ref="AQ40:AQ71" si="80">(AL40*AO40)/(Fsw*$AO$2)</f>
        <v>0.54195456076058468</v>
      </c>
      <c r="AR40" s="214">
        <f t="shared" si="46"/>
        <v>0.53833410377708635</v>
      </c>
      <c r="AS40" s="219">
        <f t="shared" si="47"/>
        <v>0.19936181207351816</v>
      </c>
      <c r="AT40" s="218"/>
      <c r="AU40" s="214">
        <f t="shared" ref="AU40:AU71" si="81">(AM40^2)*Rdcr1</f>
        <v>1.4520000000000001E-4</v>
      </c>
      <c r="AV40" s="219">
        <f t="shared" si="48"/>
        <v>1.4520000000000001E-4</v>
      </c>
      <c r="AW40" s="218">
        <f t="shared" ref="AW40:AW71" si="82">(VOUT1+((NS1_/Np)*S40))*QRR1_*Fsw</f>
        <v>0.109428</v>
      </c>
      <c r="AX40" s="214">
        <f t="shared" ref="AX40:AX71" si="83">AM40*VD1_</f>
        <v>3.3000000000000002E-2</v>
      </c>
      <c r="AY40" s="219">
        <f t="shared" si="49"/>
        <v>0.142428</v>
      </c>
      <c r="AZ40" s="218">
        <f t="shared" si="70"/>
        <v>7.1499999999999994E-2</v>
      </c>
      <c r="BA40" s="214">
        <f t="shared" si="71"/>
        <v>6.5</v>
      </c>
      <c r="BB40" s="214">
        <f t="shared" si="50"/>
        <v>1.0999999999999999E-2</v>
      </c>
      <c r="BC40" s="61">
        <f t="shared" ref="BC40:BC71" si="84">IF(EN_OUT_2=1,AZ40/BA40,0)</f>
        <v>1.0999999999999999E-2</v>
      </c>
      <c r="BD40" s="58">
        <v>0</v>
      </c>
      <c r="BE40" s="49">
        <f t="shared" ref="BE40:BE71" si="85">(BB40^2)*Rdcr2</f>
        <v>1.4519999999999998E-6</v>
      </c>
      <c r="BF40" s="61">
        <f t="shared" si="52"/>
        <v>1.4519999999999998E-6</v>
      </c>
      <c r="BG40" s="58">
        <f t="shared" ref="BG40:BG71" si="86">(VOUT2+((NS2_/Np)*S40))*QRR2_*Fsw</f>
        <v>1.4700399999999999E-2</v>
      </c>
      <c r="BH40" s="49">
        <f t="shared" ref="BH40:BH71" si="87">BB40*VD2_</f>
        <v>3.2999999999999995E-3</v>
      </c>
      <c r="BI40" s="61">
        <f t="shared" ref="BI40:BI71" si="88">BH40+BG40</f>
        <v>1.80004E-2</v>
      </c>
      <c r="BK40" s="218">
        <f t="shared" si="72"/>
        <v>0</v>
      </c>
      <c r="BL40" s="214">
        <f t="shared" si="18"/>
        <v>0</v>
      </c>
      <c r="BM40" s="214">
        <f t="shared" si="73"/>
        <v>0</v>
      </c>
      <c r="BN40" s="61">
        <f t="shared" ref="BN40:BN71" si="89">Y40*(Np/NS3_)*(BK40/R40)</f>
        <v>0</v>
      </c>
      <c r="BO40" s="58">
        <v>0</v>
      </c>
      <c r="BP40" s="49">
        <f t="shared" ref="BP40:BP71" si="90">(BM40^2)*Rdcr3</f>
        <v>0</v>
      </c>
      <c r="BQ40" s="61">
        <f t="shared" si="53"/>
        <v>0</v>
      </c>
      <c r="BR40" s="58">
        <f t="shared" ref="BR40:BR71" si="91">(VOUT3+((NS3_/Np)*S40))*QRR3_*Fsw</f>
        <v>0</v>
      </c>
      <c r="BS40" s="49">
        <f t="shared" ref="BS40:BS71" si="92">BM40*VD3_</f>
        <v>0</v>
      </c>
      <c r="BT40" s="61">
        <f t="shared" si="55"/>
        <v>0</v>
      </c>
      <c r="BU40" s="58">
        <f t="shared" si="74"/>
        <v>1.3824619532105612E-3</v>
      </c>
      <c r="BV40" s="49">
        <f t="shared" si="21"/>
        <v>2.59875E-2</v>
      </c>
      <c r="BW40" s="61">
        <f t="shared" si="75"/>
        <v>5.4000000000000003E-3</v>
      </c>
      <c r="BX40" s="49">
        <f t="shared" si="56"/>
        <v>0.12776838129815843</v>
      </c>
      <c r="BY40" s="49">
        <f t="shared" si="43"/>
        <v>0.46454452114524053</v>
      </c>
      <c r="BZ40" s="49">
        <f t="shared" ref="BZ40:BZ71" si="93">(R40/(R40+BY40))*100</f>
        <v>92.012706927254285</v>
      </c>
    </row>
    <row r="41" spans="17:78" x14ac:dyDescent="0.35">
      <c r="Q41" s="49">
        <v>34</v>
      </c>
      <c r="R41" s="218">
        <f t="shared" si="57"/>
        <v>5.5136666666666674</v>
      </c>
      <c r="S41" s="214">
        <f t="shared" si="1"/>
        <v>12</v>
      </c>
      <c r="T41" s="219">
        <f t="shared" si="58"/>
        <v>0.45947222222222228</v>
      </c>
      <c r="U41" s="218">
        <f t="shared" si="59"/>
        <v>1</v>
      </c>
      <c r="V41" s="214">
        <f t="shared" si="60"/>
        <v>0.3893916194955066</v>
      </c>
      <c r="W41" s="214">
        <f t="shared" si="61"/>
        <v>0.4176225119089309</v>
      </c>
      <c r="X41" s="214">
        <f t="shared" si="23"/>
        <v>0.19298586859556249</v>
      </c>
      <c r="Y41" s="218">
        <f t="shared" si="76"/>
        <v>1.179974604531838</v>
      </c>
      <c r="Z41" s="214">
        <f t="shared" si="62"/>
        <v>2.359949209063676</v>
      </c>
      <c r="AA41" s="214">
        <f t="shared" si="25"/>
        <v>2.359949209063676</v>
      </c>
      <c r="AB41" s="219">
        <f t="shared" si="63"/>
        <v>0.85022785472290241</v>
      </c>
      <c r="AC41" s="218">
        <v>0</v>
      </c>
      <c r="AD41" s="214">
        <f t="shared" si="64"/>
        <v>2.1686622148401266E-2</v>
      </c>
      <c r="AE41" s="219">
        <f t="shared" si="27"/>
        <v>2.1686622148401266E-2</v>
      </c>
      <c r="AF41" s="58">
        <f t="shared" si="65"/>
        <v>0.11027333333333335</v>
      </c>
      <c r="AG41" s="61">
        <f t="shared" si="66"/>
        <v>0.11027333333333335</v>
      </c>
      <c r="AH41" s="58">
        <f t="shared" si="67"/>
        <v>6.2891204230363668E-3</v>
      </c>
      <c r="AI41" s="49">
        <f t="shared" si="68"/>
        <v>3.0845869505983003E-2</v>
      </c>
      <c r="AJ41" s="61">
        <f t="shared" si="45"/>
        <v>3.7134989929019369E-2</v>
      </c>
      <c r="AK41" s="218">
        <f t="shared" si="69"/>
        <v>5.44</v>
      </c>
      <c r="AL41" s="214">
        <f t="shared" si="13"/>
        <v>48</v>
      </c>
      <c r="AM41" s="219">
        <f t="shared" si="28"/>
        <v>0.11333333333333334</v>
      </c>
      <c r="AN41" s="218">
        <f t="shared" si="77"/>
        <v>1</v>
      </c>
      <c r="AO41" s="214">
        <f t="shared" si="78"/>
        <v>0.41762251190893074</v>
      </c>
      <c r="AP41" s="214">
        <f t="shared" si="79"/>
        <v>0.27137745236791133</v>
      </c>
      <c r="AQ41" s="214">
        <f t="shared" si="80"/>
        <v>0.55010471073745359</v>
      </c>
      <c r="AR41" s="214">
        <f t="shared" si="46"/>
        <v>0.54642980773663807</v>
      </c>
      <c r="AS41" s="219">
        <f t="shared" si="47"/>
        <v>0.20387581273558775</v>
      </c>
      <c r="AT41" s="218"/>
      <c r="AU41" s="214">
        <f t="shared" si="81"/>
        <v>1.5413333333333336E-4</v>
      </c>
      <c r="AV41" s="219">
        <f t="shared" si="48"/>
        <v>1.5413333333333336E-4</v>
      </c>
      <c r="AW41" s="218">
        <f t="shared" si="82"/>
        <v>0.109428</v>
      </c>
      <c r="AX41" s="214">
        <f t="shared" si="83"/>
        <v>3.4000000000000002E-2</v>
      </c>
      <c r="AY41" s="219">
        <f t="shared" si="49"/>
        <v>0.143428</v>
      </c>
      <c r="AZ41" s="218">
        <f t="shared" si="70"/>
        <v>7.3666666666666658E-2</v>
      </c>
      <c r="BA41" s="214">
        <f t="shared" si="71"/>
        <v>6.5</v>
      </c>
      <c r="BB41" s="214">
        <f t="shared" si="50"/>
        <v>1.1333333333333332E-2</v>
      </c>
      <c r="BC41" s="61">
        <f t="shared" si="84"/>
        <v>1.1333333333333332E-2</v>
      </c>
      <c r="BD41" s="58">
        <v>0</v>
      </c>
      <c r="BE41" s="49">
        <f t="shared" si="85"/>
        <v>1.5413333333333332E-6</v>
      </c>
      <c r="BF41" s="61">
        <f t="shared" si="52"/>
        <v>1.5413333333333332E-6</v>
      </c>
      <c r="BG41" s="58">
        <f t="shared" si="86"/>
        <v>1.4700399999999999E-2</v>
      </c>
      <c r="BH41" s="49">
        <f t="shared" si="87"/>
        <v>3.3999999999999998E-3</v>
      </c>
      <c r="BI41" s="61">
        <f t="shared" si="88"/>
        <v>1.8100399999999999E-2</v>
      </c>
      <c r="BK41" s="218">
        <f t="shared" si="72"/>
        <v>0</v>
      </c>
      <c r="BL41" s="214">
        <f t="shared" si="18"/>
        <v>0</v>
      </c>
      <c r="BM41" s="214">
        <f t="shared" si="73"/>
        <v>0</v>
      </c>
      <c r="BN41" s="61">
        <f t="shared" si="89"/>
        <v>0</v>
      </c>
      <c r="BO41" s="58">
        <v>0</v>
      </c>
      <c r="BP41" s="49">
        <f t="shared" si="90"/>
        <v>0</v>
      </c>
      <c r="BQ41" s="61">
        <f t="shared" si="53"/>
        <v>0</v>
      </c>
      <c r="BR41" s="58">
        <f t="shared" si="91"/>
        <v>0</v>
      </c>
      <c r="BS41" s="49">
        <f t="shared" si="92"/>
        <v>0</v>
      </c>
      <c r="BT41" s="61">
        <f t="shared" si="55"/>
        <v>0</v>
      </c>
      <c r="BU41" s="58">
        <f t="shared" si="74"/>
        <v>1.4457748098934179E-3</v>
      </c>
      <c r="BV41" s="49">
        <f t="shared" si="21"/>
        <v>2.59875E-2</v>
      </c>
      <c r="BW41" s="61">
        <f t="shared" si="75"/>
        <v>5.4000000000000003E-3</v>
      </c>
      <c r="BX41" s="49">
        <f t="shared" si="56"/>
        <v>0.13196149681506794</v>
      </c>
      <c r="BY41" s="49">
        <f t="shared" si="43"/>
        <v>0.47388562822064739</v>
      </c>
      <c r="BZ41" s="49">
        <f t="shared" si="93"/>
        <v>92.085486608187267</v>
      </c>
    </row>
    <row r="42" spans="17:78" x14ac:dyDescent="0.35">
      <c r="Q42" s="49">
        <v>35</v>
      </c>
      <c r="R42" s="218">
        <f t="shared" si="57"/>
        <v>5.6758333333333342</v>
      </c>
      <c r="S42" s="214">
        <f t="shared" si="1"/>
        <v>12</v>
      </c>
      <c r="T42" s="219">
        <f t="shared" si="58"/>
        <v>0.47298611111111116</v>
      </c>
      <c r="U42" s="218">
        <f t="shared" si="59"/>
        <v>1</v>
      </c>
      <c r="V42" s="214">
        <f t="shared" si="60"/>
        <v>0.39507646939126445</v>
      </c>
      <c r="W42" s="214">
        <f t="shared" si="61"/>
        <v>0.42371951342213116</v>
      </c>
      <c r="X42" s="214">
        <f t="shared" si="23"/>
        <v>0.18120401718660434</v>
      </c>
      <c r="Y42" s="218">
        <f t="shared" si="76"/>
        <v>1.1972014223977709</v>
      </c>
      <c r="Z42" s="214">
        <f t="shared" si="62"/>
        <v>2.3944028447955419</v>
      </c>
      <c r="AA42" s="214">
        <f t="shared" si="25"/>
        <v>2.3944028447955419</v>
      </c>
      <c r="AB42" s="219">
        <f t="shared" si="63"/>
        <v>0.86891475991347</v>
      </c>
      <c r="AC42" s="218">
        <v>0</v>
      </c>
      <c r="AD42" s="214">
        <f t="shared" si="64"/>
        <v>2.2650385799864496E-2</v>
      </c>
      <c r="AE42" s="219">
        <f t="shared" si="27"/>
        <v>2.2650385799864496E-2</v>
      </c>
      <c r="AF42" s="58">
        <f t="shared" si="65"/>
        <v>0.11351666666666668</v>
      </c>
      <c r="AG42" s="61">
        <f t="shared" si="66"/>
        <v>0.11351666666666668</v>
      </c>
      <c r="AH42" s="58">
        <f t="shared" si="67"/>
        <v>6.5686118819607035E-3</v>
      </c>
      <c r="AI42" s="49">
        <f t="shared" si="68"/>
        <v>3.1296197990897071E-2</v>
      </c>
      <c r="AJ42" s="61">
        <f t="shared" si="45"/>
        <v>3.7864809872857771E-2</v>
      </c>
      <c r="AK42" s="218">
        <f t="shared" si="69"/>
        <v>5.6000000000000005</v>
      </c>
      <c r="AL42" s="214">
        <f t="shared" si="13"/>
        <v>48</v>
      </c>
      <c r="AM42" s="219">
        <f t="shared" si="28"/>
        <v>0.11666666666666668</v>
      </c>
      <c r="AN42" s="218">
        <f t="shared" si="77"/>
        <v>1</v>
      </c>
      <c r="AO42" s="214">
        <f t="shared" si="78"/>
        <v>0.42371951342213116</v>
      </c>
      <c r="AP42" s="214">
        <f t="shared" si="79"/>
        <v>0.27533937657111712</v>
      </c>
      <c r="AQ42" s="214">
        <f t="shared" si="80"/>
        <v>0.5581358612577022</v>
      </c>
      <c r="AR42" s="214">
        <f t="shared" si="46"/>
        <v>0.55440730719996822</v>
      </c>
      <c r="AS42" s="219">
        <f t="shared" si="47"/>
        <v>0.2083567385980809</v>
      </c>
      <c r="AT42" s="218"/>
      <c r="AU42" s="214">
        <f t="shared" si="81"/>
        <v>1.6333333333333339E-4</v>
      </c>
      <c r="AV42" s="219">
        <f t="shared" si="48"/>
        <v>1.6333333333333339E-4</v>
      </c>
      <c r="AW42" s="218">
        <f t="shared" si="82"/>
        <v>0.109428</v>
      </c>
      <c r="AX42" s="214">
        <f t="shared" si="83"/>
        <v>3.5000000000000003E-2</v>
      </c>
      <c r="AY42" s="219">
        <f t="shared" si="49"/>
        <v>0.144428</v>
      </c>
      <c r="AZ42" s="218">
        <f t="shared" si="70"/>
        <v>7.5833333333333336E-2</v>
      </c>
      <c r="BA42" s="214">
        <f t="shared" si="71"/>
        <v>6.5</v>
      </c>
      <c r="BB42" s="214">
        <f t="shared" si="50"/>
        <v>1.1666666666666667E-2</v>
      </c>
      <c r="BC42" s="61">
        <f t="shared" si="84"/>
        <v>1.1666666666666667E-2</v>
      </c>
      <c r="BD42" s="58">
        <v>0</v>
      </c>
      <c r="BE42" s="49">
        <f t="shared" si="85"/>
        <v>1.6333333333333335E-6</v>
      </c>
      <c r="BF42" s="61">
        <f t="shared" si="52"/>
        <v>1.6333333333333335E-6</v>
      </c>
      <c r="BG42" s="58">
        <f t="shared" si="86"/>
        <v>1.4700399999999999E-2</v>
      </c>
      <c r="BH42" s="49">
        <f t="shared" si="87"/>
        <v>3.5000000000000001E-3</v>
      </c>
      <c r="BI42" s="61">
        <f t="shared" si="88"/>
        <v>1.8200399999999999E-2</v>
      </c>
      <c r="BK42" s="218">
        <f t="shared" si="72"/>
        <v>0</v>
      </c>
      <c r="BL42" s="214">
        <f t="shared" si="18"/>
        <v>0</v>
      </c>
      <c r="BM42" s="214">
        <f t="shared" si="73"/>
        <v>0</v>
      </c>
      <c r="BN42" s="61">
        <f t="shared" si="89"/>
        <v>0</v>
      </c>
      <c r="BO42" s="58">
        <v>0</v>
      </c>
      <c r="BP42" s="49">
        <f t="shared" si="90"/>
        <v>0</v>
      </c>
      <c r="BQ42" s="61">
        <f t="shared" si="53"/>
        <v>0</v>
      </c>
      <c r="BR42" s="58">
        <f t="shared" si="91"/>
        <v>0</v>
      </c>
      <c r="BS42" s="49">
        <f t="shared" si="92"/>
        <v>0</v>
      </c>
      <c r="BT42" s="61">
        <f t="shared" si="55"/>
        <v>0</v>
      </c>
      <c r="BU42" s="58">
        <f t="shared" si="74"/>
        <v>1.5100257199909663E-3</v>
      </c>
      <c r="BV42" s="49">
        <f t="shared" si="21"/>
        <v>2.59875E-2</v>
      </c>
      <c r="BW42" s="61">
        <f t="shared" si="75"/>
        <v>5.4000000000000003E-3</v>
      </c>
      <c r="BX42" s="49">
        <f t="shared" si="56"/>
        <v>0.13616868579986452</v>
      </c>
      <c r="BY42" s="49">
        <f t="shared" si="43"/>
        <v>0.48323942139271325</v>
      </c>
      <c r="BZ42" s="49">
        <f t="shared" si="93"/>
        <v>92.154023168148029</v>
      </c>
    </row>
    <row r="43" spans="17:78" x14ac:dyDescent="0.35">
      <c r="Q43" s="49">
        <v>36</v>
      </c>
      <c r="R43" s="218">
        <f t="shared" si="57"/>
        <v>5.8380000000000001</v>
      </c>
      <c r="S43" s="214">
        <f t="shared" si="1"/>
        <v>12</v>
      </c>
      <c r="T43" s="219">
        <f t="shared" si="58"/>
        <v>0.48649999999999999</v>
      </c>
      <c r="U43" s="218">
        <f t="shared" si="59"/>
        <v>1</v>
      </c>
      <c r="V43" s="214">
        <f t="shared" si="60"/>
        <v>0.40068067085897718</v>
      </c>
      <c r="W43" s="214">
        <f t="shared" si="61"/>
        <v>0.42973001949625306</v>
      </c>
      <c r="X43" s="214">
        <f t="shared" si="23"/>
        <v>0.16958930964476976</v>
      </c>
      <c r="Y43" s="218">
        <f t="shared" si="76"/>
        <v>1.2141838510878096</v>
      </c>
      <c r="Z43" s="214">
        <f t="shared" si="62"/>
        <v>2.4283677021756191</v>
      </c>
      <c r="AA43" s="214">
        <f t="shared" si="25"/>
        <v>2.4283677021756191</v>
      </c>
      <c r="AB43" s="219">
        <f t="shared" si="63"/>
        <v>0.88746864249145485</v>
      </c>
      <c r="AC43" s="218">
        <v>0</v>
      </c>
      <c r="AD43" s="214">
        <f t="shared" si="64"/>
        <v>2.3628017742168769E-2</v>
      </c>
      <c r="AE43" s="219">
        <f t="shared" si="27"/>
        <v>2.3628017742168769E-2</v>
      </c>
      <c r="AF43" s="58">
        <f t="shared" si="65"/>
        <v>0.11676</v>
      </c>
      <c r="AG43" s="61">
        <f t="shared" si="66"/>
        <v>0.11676</v>
      </c>
      <c r="AH43" s="58">
        <f t="shared" si="67"/>
        <v>6.8521251452289432E-3</v>
      </c>
      <c r="AI43" s="49">
        <f t="shared" si="68"/>
        <v>3.1740137866599252E-2</v>
      </c>
      <c r="AJ43" s="61">
        <f t="shared" si="45"/>
        <v>3.8592263011828193E-2</v>
      </c>
      <c r="AK43" s="218">
        <f t="shared" si="69"/>
        <v>5.76</v>
      </c>
      <c r="AL43" s="214">
        <f t="shared" si="13"/>
        <v>48</v>
      </c>
      <c r="AM43" s="219">
        <f t="shared" si="28"/>
        <v>0.12</v>
      </c>
      <c r="AN43" s="218">
        <f t="shared" si="77"/>
        <v>1</v>
      </c>
      <c r="AO43" s="214">
        <f t="shared" si="78"/>
        <v>0.42973001949625306</v>
      </c>
      <c r="AP43" s="214">
        <f t="shared" si="79"/>
        <v>0.27924509472405223</v>
      </c>
      <c r="AQ43" s="214">
        <f t="shared" si="80"/>
        <v>0.56605307743021438</v>
      </c>
      <c r="AR43" s="214">
        <f t="shared" si="46"/>
        <v>0.56227163343915942</v>
      </c>
      <c r="AS43" s="219">
        <f t="shared" si="47"/>
        <v>0.21280576701908002</v>
      </c>
      <c r="AT43" s="218"/>
      <c r="AU43" s="214">
        <f t="shared" si="81"/>
        <v>1.728E-4</v>
      </c>
      <c r="AV43" s="219">
        <f t="shared" si="48"/>
        <v>1.728E-4</v>
      </c>
      <c r="AW43" s="218">
        <f t="shared" si="82"/>
        <v>0.109428</v>
      </c>
      <c r="AX43" s="214">
        <f t="shared" si="83"/>
        <v>3.5999999999999997E-2</v>
      </c>
      <c r="AY43" s="219">
        <f t="shared" si="49"/>
        <v>0.145428</v>
      </c>
      <c r="AZ43" s="218">
        <f t="shared" si="70"/>
        <v>7.8E-2</v>
      </c>
      <c r="BA43" s="214">
        <f t="shared" si="71"/>
        <v>6.5</v>
      </c>
      <c r="BB43" s="214">
        <f t="shared" si="50"/>
        <v>1.2E-2</v>
      </c>
      <c r="BC43" s="61">
        <f t="shared" si="84"/>
        <v>1.2E-2</v>
      </c>
      <c r="BD43" s="58">
        <v>0</v>
      </c>
      <c r="BE43" s="49">
        <f t="shared" si="85"/>
        <v>1.728E-6</v>
      </c>
      <c r="BF43" s="61">
        <f t="shared" si="52"/>
        <v>1.728E-6</v>
      </c>
      <c r="BG43" s="58">
        <f t="shared" si="86"/>
        <v>1.4700399999999999E-2</v>
      </c>
      <c r="BH43" s="49">
        <f t="shared" si="87"/>
        <v>3.5999999999999999E-3</v>
      </c>
      <c r="BI43" s="61">
        <f t="shared" si="88"/>
        <v>1.8300399999999998E-2</v>
      </c>
      <c r="BK43" s="218">
        <f t="shared" si="72"/>
        <v>0</v>
      </c>
      <c r="BL43" s="214">
        <f t="shared" si="18"/>
        <v>0</v>
      </c>
      <c r="BM43" s="214">
        <f t="shared" si="73"/>
        <v>0</v>
      </c>
      <c r="BN43" s="61">
        <f t="shared" si="89"/>
        <v>0</v>
      </c>
      <c r="BO43" s="58">
        <v>0</v>
      </c>
      <c r="BP43" s="49">
        <f t="shared" si="90"/>
        <v>0</v>
      </c>
      <c r="BQ43" s="61">
        <f t="shared" si="53"/>
        <v>0</v>
      </c>
      <c r="BR43" s="58">
        <f t="shared" si="91"/>
        <v>0</v>
      </c>
      <c r="BS43" s="49">
        <f t="shared" si="92"/>
        <v>0</v>
      </c>
      <c r="BT43" s="61">
        <f t="shared" si="55"/>
        <v>0</v>
      </c>
      <c r="BU43" s="58">
        <f t="shared" si="74"/>
        <v>1.5752011828112514E-3</v>
      </c>
      <c r="BV43" s="49">
        <f t="shared" si="21"/>
        <v>2.59875E-2</v>
      </c>
      <c r="BW43" s="61">
        <f t="shared" si="75"/>
        <v>5.4000000000000003E-3</v>
      </c>
      <c r="BX43" s="49">
        <f t="shared" si="56"/>
        <v>0.14038974574216878</v>
      </c>
      <c r="BY43" s="49">
        <f t="shared" si="43"/>
        <v>0.4926059099368082</v>
      </c>
      <c r="BZ43" s="49">
        <f t="shared" si="93"/>
        <v>92.218660947389068</v>
      </c>
    </row>
    <row r="44" spans="17:78" x14ac:dyDescent="0.35">
      <c r="Q44" s="49">
        <v>37</v>
      </c>
      <c r="R44" s="218">
        <f t="shared" si="57"/>
        <v>6.0001666666666669</v>
      </c>
      <c r="S44" s="214">
        <f t="shared" si="1"/>
        <v>12</v>
      </c>
      <c r="T44" s="219">
        <f t="shared" si="58"/>
        <v>0.50001388888888887</v>
      </c>
      <c r="U44" s="218">
        <f t="shared" si="59"/>
        <v>1</v>
      </c>
      <c r="V44" s="214">
        <f t="shared" si="60"/>
        <v>0.40620756188595669</v>
      </c>
      <c r="W44" s="214">
        <f t="shared" si="61"/>
        <v>0.43565761012268855</v>
      </c>
      <c r="X44" s="214">
        <f t="shared" si="23"/>
        <v>0.15813482799135481</v>
      </c>
      <c r="Y44" s="218">
        <f t="shared" si="76"/>
        <v>1.2309320057150201</v>
      </c>
      <c r="Z44" s="214">
        <f t="shared" si="62"/>
        <v>2.4618640114300407</v>
      </c>
      <c r="AA44" s="214">
        <f t="shared" si="25"/>
        <v>2.4618640114300403</v>
      </c>
      <c r="AB44" s="219">
        <f t="shared" si="63"/>
        <v>0.90589410649395974</v>
      </c>
      <c r="AC44" s="218">
        <v>0</v>
      </c>
      <c r="AD44" s="214">
        <f t="shared" si="64"/>
        <v>2.4619323965414691E-2</v>
      </c>
      <c r="AE44" s="219">
        <f t="shared" si="27"/>
        <v>2.4619323965414691E-2</v>
      </c>
      <c r="AF44" s="58">
        <f t="shared" si="65"/>
        <v>0.12000333333333334</v>
      </c>
      <c r="AG44" s="61">
        <f t="shared" si="66"/>
        <v>0.12000333333333334</v>
      </c>
      <c r="AH44" s="58">
        <f t="shared" si="67"/>
        <v>7.13960394997026E-3</v>
      </c>
      <c r="AI44" s="49">
        <f t="shared" si="68"/>
        <v>3.2177953553574931E-2</v>
      </c>
      <c r="AJ44" s="61">
        <f t="shared" si="45"/>
        <v>3.9317557503545195E-2</v>
      </c>
      <c r="AK44" s="218">
        <f t="shared" si="69"/>
        <v>5.92</v>
      </c>
      <c r="AL44" s="214">
        <f t="shared" si="13"/>
        <v>48</v>
      </c>
      <c r="AM44" s="219">
        <f t="shared" si="28"/>
        <v>0.12333333333333334</v>
      </c>
      <c r="AN44" s="218">
        <f t="shared" si="77"/>
        <v>1</v>
      </c>
      <c r="AO44" s="214">
        <f t="shared" si="78"/>
        <v>0.43565761012268867</v>
      </c>
      <c r="AP44" s="214">
        <f t="shared" si="79"/>
        <v>0.28309693315950696</v>
      </c>
      <c r="AQ44" s="214">
        <f t="shared" si="80"/>
        <v>0.57386107492541749</v>
      </c>
      <c r="AR44" s="214">
        <f t="shared" si="46"/>
        <v>0.5700274706222157</v>
      </c>
      <c r="AS44" s="219">
        <f t="shared" si="47"/>
        <v>0.2172240019988847</v>
      </c>
      <c r="AT44" s="218"/>
      <c r="AU44" s="214">
        <f t="shared" si="81"/>
        <v>1.8253333333333337E-4</v>
      </c>
      <c r="AV44" s="219">
        <f t="shared" si="48"/>
        <v>1.8253333333333337E-4</v>
      </c>
      <c r="AW44" s="218">
        <f t="shared" si="82"/>
        <v>0.109428</v>
      </c>
      <c r="AX44" s="214">
        <f t="shared" si="83"/>
        <v>3.6999999999999998E-2</v>
      </c>
      <c r="AY44" s="219">
        <f t="shared" si="49"/>
        <v>0.146428</v>
      </c>
      <c r="AZ44" s="218">
        <f t="shared" si="70"/>
        <v>8.0166666666666664E-2</v>
      </c>
      <c r="BA44" s="214">
        <f t="shared" si="71"/>
        <v>6.5</v>
      </c>
      <c r="BB44" s="214">
        <f t="shared" si="50"/>
        <v>1.2333333333333333E-2</v>
      </c>
      <c r="BC44" s="61">
        <f t="shared" si="84"/>
        <v>1.2333333333333333E-2</v>
      </c>
      <c r="BD44" s="58">
        <v>0</v>
      </c>
      <c r="BE44" s="49">
        <f t="shared" si="85"/>
        <v>1.8253333333333333E-6</v>
      </c>
      <c r="BF44" s="61">
        <f t="shared" si="52"/>
        <v>1.8253333333333333E-6</v>
      </c>
      <c r="BG44" s="58">
        <f t="shared" si="86"/>
        <v>1.4700399999999999E-2</v>
      </c>
      <c r="BH44" s="49">
        <f t="shared" si="87"/>
        <v>3.6999999999999997E-3</v>
      </c>
      <c r="BI44" s="61">
        <f t="shared" si="88"/>
        <v>1.8400399999999997E-2</v>
      </c>
      <c r="BK44" s="218">
        <f t="shared" si="72"/>
        <v>0</v>
      </c>
      <c r="BL44" s="214">
        <f t="shared" si="18"/>
        <v>0</v>
      </c>
      <c r="BM44" s="214">
        <f t="shared" si="73"/>
        <v>0</v>
      </c>
      <c r="BN44" s="61">
        <f t="shared" si="89"/>
        <v>0</v>
      </c>
      <c r="BO44" s="58">
        <v>0</v>
      </c>
      <c r="BP44" s="49">
        <f t="shared" si="90"/>
        <v>0</v>
      </c>
      <c r="BQ44" s="61">
        <f t="shared" si="53"/>
        <v>0</v>
      </c>
      <c r="BR44" s="58">
        <f t="shared" si="91"/>
        <v>0</v>
      </c>
      <c r="BS44" s="49">
        <f t="shared" si="92"/>
        <v>0</v>
      </c>
      <c r="BT44" s="61">
        <f t="shared" si="55"/>
        <v>0</v>
      </c>
      <c r="BU44" s="58">
        <f t="shared" si="74"/>
        <v>1.6412882643609794E-3</v>
      </c>
      <c r="BV44" s="49">
        <f t="shared" si="21"/>
        <v>2.59875E-2</v>
      </c>
      <c r="BW44" s="61">
        <f t="shared" si="75"/>
        <v>5.4000000000000003E-3</v>
      </c>
      <c r="BX44" s="49">
        <f t="shared" si="56"/>
        <v>0.14462448263208136</v>
      </c>
      <c r="BY44" s="49">
        <f t="shared" si="43"/>
        <v>0.50198509506665423</v>
      </c>
      <c r="BZ44" s="49">
        <f t="shared" si="93"/>
        <v>92.279708111075578</v>
      </c>
    </row>
    <row r="45" spans="17:78" x14ac:dyDescent="0.35">
      <c r="Q45" s="49">
        <v>38</v>
      </c>
      <c r="R45" s="218">
        <f t="shared" si="57"/>
        <v>6.1623333333333337</v>
      </c>
      <c r="S45" s="214">
        <f t="shared" si="1"/>
        <v>12</v>
      </c>
      <c r="T45" s="219">
        <f t="shared" si="58"/>
        <v>0.51352777777777781</v>
      </c>
      <c r="U45" s="218">
        <f t="shared" si="59"/>
        <v>1</v>
      </c>
      <c r="V45" s="214">
        <f t="shared" si="60"/>
        <v>0.41166025636034709</v>
      </c>
      <c r="W45" s="214">
        <f t="shared" si="61"/>
        <v>0.44150562494647233</v>
      </c>
      <c r="X45" s="214">
        <f t="shared" si="23"/>
        <v>0.14683411869318058</v>
      </c>
      <c r="Y45" s="218">
        <f t="shared" si="76"/>
        <v>1.2474553223040821</v>
      </c>
      <c r="Z45" s="214">
        <f t="shared" si="62"/>
        <v>2.4949106446081641</v>
      </c>
      <c r="AA45" s="214">
        <f t="shared" si="25"/>
        <v>2.4949106446081641</v>
      </c>
      <c r="AB45" s="219">
        <f t="shared" si="63"/>
        <v>0.92419547682646797</v>
      </c>
      <c r="AC45" s="218">
        <v>0</v>
      </c>
      <c r="AD45" s="214">
        <f t="shared" si="64"/>
        <v>2.5624118381595076E-2</v>
      </c>
      <c r="AE45" s="219">
        <f t="shared" si="27"/>
        <v>2.5624118381595076E-2</v>
      </c>
      <c r="AF45" s="58">
        <f t="shared" si="65"/>
        <v>0.12324666666666667</v>
      </c>
      <c r="AG45" s="61">
        <f t="shared" si="66"/>
        <v>0.12324666666666667</v>
      </c>
      <c r="AH45" s="58">
        <f t="shared" si="67"/>
        <v>7.4309943306625718E-3</v>
      </c>
      <c r="AI45" s="49">
        <f t="shared" si="68"/>
        <v>3.2609891720171716E-2</v>
      </c>
      <c r="AJ45" s="61">
        <f t="shared" si="45"/>
        <v>4.0040886050834286E-2</v>
      </c>
      <c r="AK45" s="218">
        <f t="shared" si="69"/>
        <v>6.08</v>
      </c>
      <c r="AL45" s="214">
        <f t="shared" si="13"/>
        <v>48</v>
      </c>
      <c r="AM45" s="219">
        <f t="shared" si="28"/>
        <v>0.12666666666666668</v>
      </c>
      <c r="AN45" s="218">
        <f t="shared" si="77"/>
        <v>1</v>
      </c>
      <c r="AO45" s="214">
        <f t="shared" si="78"/>
        <v>0.44150562494647227</v>
      </c>
      <c r="AP45" s="214">
        <f t="shared" si="79"/>
        <v>0.28689706202955767</v>
      </c>
      <c r="AQ45" s="214">
        <f t="shared" si="80"/>
        <v>0.58156425282241597</v>
      </c>
      <c r="AR45" s="214">
        <f t="shared" si="46"/>
        <v>0.57767918844076571</v>
      </c>
      <c r="AS45" s="219">
        <f t="shared" si="47"/>
        <v>0.2216124806049298</v>
      </c>
      <c r="AT45" s="218"/>
      <c r="AU45" s="214">
        <f t="shared" si="81"/>
        <v>1.9253333333333337E-4</v>
      </c>
      <c r="AV45" s="219">
        <f t="shared" si="48"/>
        <v>1.9253333333333337E-4</v>
      </c>
      <c r="AW45" s="218">
        <f t="shared" si="82"/>
        <v>0.109428</v>
      </c>
      <c r="AX45" s="214">
        <f t="shared" si="83"/>
        <v>3.7999999999999999E-2</v>
      </c>
      <c r="AY45" s="219">
        <f t="shared" si="49"/>
        <v>0.147428</v>
      </c>
      <c r="AZ45" s="218">
        <f t="shared" si="70"/>
        <v>8.2333333333333328E-2</v>
      </c>
      <c r="BA45" s="214">
        <f t="shared" si="71"/>
        <v>6.5</v>
      </c>
      <c r="BB45" s="214">
        <f t="shared" si="50"/>
        <v>1.2666666666666666E-2</v>
      </c>
      <c r="BC45" s="61">
        <f t="shared" si="84"/>
        <v>1.2666666666666666E-2</v>
      </c>
      <c r="BD45" s="58">
        <v>0</v>
      </c>
      <c r="BE45" s="49">
        <f t="shared" si="85"/>
        <v>1.9253333333333334E-6</v>
      </c>
      <c r="BF45" s="61">
        <f t="shared" si="52"/>
        <v>1.9253333333333334E-6</v>
      </c>
      <c r="BG45" s="58">
        <f t="shared" si="86"/>
        <v>1.4700399999999999E-2</v>
      </c>
      <c r="BH45" s="49">
        <f t="shared" si="87"/>
        <v>3.7999999999999996E-3</v>
      </c>
      <c r="BI45" s="61">
        <f t="shared" si="88"/>
        <v>1.85004E-2</v>
      </c>
      <c r="BK45" s="218">
        <f t="shared" si="72"/>
        <v>0</v>
      </c>
      <c r="BL45" s="214">
        <f t="shared" si="18"/>
        <v>0</v>
      </c>
      <c r="BM45" s="214">
        <f t="shared" si="73"/>
        <v>0</v>
      </c>
      <c r="BN45" s="61">
        <f t="shared" si="89"/>
        <v>0</v>
      </c>
      <c r="BO45" s="58">
        <v>0</v>
      </c>
      <c r="BP45" s="49">
        <f t="shared" si="90"/>
        <v>0</v>
      </c>
      <c r="BQ45" s="61">
        <f t="shared" si="53"/>
        <v>0</v>
      </c>
      <c r="BR45" s="58">
        <f t="shared" si="91"/>
        <v>0</v>
      </c>
      <c r="BS45" s="49">
        <f t="shared" si="92"/>
        <v>0</v>
      </c>
      <c r="BT45" s="61">
        <f t="shared" si="55"/>
        <v>0</v>
      </c>
      <c r="BU45" s="58">
        <f t="shared" si="74"/>
        <v>1.7082745587730052E-3</v>
      </c>
      <c r="BV45" s="49">
        <f t="shared" si="21"/>
        <v>2.59875E-2</v>
      </c>
      <c r="BW45" s="61">
        <f t="shared" si="75"/>
        <v>5.4000000000000003E-3</v>
      </c>
      <c r="BX45" s="49">
        <f t="shared" si="56"/>
        <v>0.14887271038159508</v>
      </c>
      <c r="BY45" s="49">
        <f t="shared" si="43"/>
        <v>0.51137697099120238</v>
      </c>
      <c r="BZ45" s="49">
        <f t="shared" si="93"/>
        <v>92.337441278207237</v>
      </c>
    </row>
    <row r="46" spans="17:78" x14ac:dyDescent="0.35">
      <c r="Q46" s="49">
        <v>39</v>
      </c>
      <c r="R46" s="218">
        <f t="shared" si="57"/>
        <v>6.3245000000000005</v>
      </c>
      <c r="S46" s="214">
        <f t="shared" si="1"/>
        <v>12</v>
      </c>
      <c r="T46" s="219">
        <f t="shared" si="58"/>
        <v>0.52704166666666674</v>
      </c>
      <c r="U46" s="218">
        <f t="shared" si="59"/>
        <v>1</v>
      </c>
      <c r="V46" s="214">
        <f t="shared" si="60"/>
        <v>0.41704166458520664</v>
      </c>
      <c r="W46" s="214">
        <f t="shared" si="61"/>
        <v>0.4472771852676341</v>
      </c>
      <c r="X46" s="214">
        <f t="shared" si="23"/>
        <v>0.13568115014715926</v>
      </c>
      <c r="Y46" s="218">
        <f t="shared" si="76"/>
        <v>1.2637626199551717</v>
      </c>
      <c r="Z46" s="214">
        <f t="shared" si="62"/>
        <v>2.5275252399103434</v>
      </c>
      <c r="AA46" s="214">
        <f t="shared" si="25"/>
        <v>2.5275252399103434</v>
      </c>
      <c r="AB46" s="219">
        <f t="shared" si="63"/>
        <v>0.94237682306828607</v>
      </c>
      <c r="AC46" s="218">
        <v>0</v>
      </c>
      <c r="AD46" s="214">
        <f t="shared" si="64"/>
        <v>2.6642222299688274E-2</v>
      </c>
      <c r="AE46" s="219">
        <f t="shared" si="27"/>
        <v>2.6642222299688274E-2</v>
      </c>
      <c r="AF46" s="58">
        <f t="shared" si="65"/>
        <v>0.12649000000000002</v>
      </c>
      <c r="AG46" s="61">
        <f t="shared" si="66"/>
        <v>0.12649000000000002</v>
      </c>
      <c r="AH46" s="58">
        <f t="shared" si="67"/>
        <v>7.7262444669095988E-3</v>
      </c>
      <c r="AI46" s="49">
        <f t="shared" si="68"/>
        <v>3.3036182907633591E-2</v>
      </c>
      <c r="AJ46" s="61">
        <f t="shared" si="45"/>
        <v>4.0762427374543192E-2</v>
      </c>
      <c r="AK46" s="218">
        <f t="shared" si="69"/>
        <v>6.24</v>
      </c>
      <c r="AL46" s="214">
        <f t="shared" si="13"/>
        <v>48</v>
      </c>
      <c r="AM46" s="219">
        <f t="shared" si="28"/>
        <v>0.13</v>
      </c>
      <c r="AN46" s="218">
        <f t="shared" si="77"/>
        <v>1</v>
      </c>
      <c r="AO46" s="214">
        <f t="shared" si="78"/>
        <v>0.44727718526763416</v>
      </c>
      <c r="AP46" s="214">
        <f t="shared" si="79"/>
        <v>0.29064750960237956</v>
      </c>
      <c r="AQ46" s="214">
        <f t="shared" si="80"/>
        <v>0.58916672258982361</v>
      </c>
      <c r="AR46" s="214">
        <f t="shared" si="46"/>
        <v>0.58523087089729131</v>
      </c>
      <c r="AS46" s="219">
        <f t="shared" si="47"/>
        <v>0.22597217868008382</v>
      </c>
      <c r="AT46" s="218"/>
      <c r="AU46" s="214">
        <f t="shared" si="81"/>
        <v>2.0280000000000002E-4</v>
      </c>
      <c r="AV46" s="219">
        <f t="shared" si="48"/>
        <v>2.0280000000000002E-4</v>
      </c>
      <c r="AW46" s="218">
        <f t="shared" si="82"/>
        <v>0.109428</v>
      </c>
      <c r="AX46" s="214">
        <f t="shared" si="83"/>
        <v>3.9E-2</v>
      </c>
      <c r="AY46" s="219">
        <f t="shared" si="49"/>
        <v>0.148428</v>
      </c>
      <c r="AZ46" s="218">
        <f t="shared" si="70"/>
        <v>8.4499999999999992E-2</v>
      </c>
      <c r="BA46" s="214">
        <f t="shared" si="71"/>
        <v>6.5</v>
      </c>
      <c r="BB46" s="214">
        <f t="shared" si="50"/>
        <v>1.2999999999999999E-2</v>
      </c>
      <c r="BC46" s="61">
        <f t="shared" si="84"/>
        <v>1.2999999999999999E-2</v>
      </c>
      <c r="BD46" s="58">
        <v>0</v>
      </c>
      <c r="BE46" s="49">
        <f t="shared" si="85"/>
        <v>2.0279999999999999E-6</v>
      </c>
      <c r="BF46" s="61">
        <f t="shared" si="52"/>
        <v>2.0279999999999999E-6</v>
      </c>
      <c r="BG46" s="58">
        <f t="shared" si="86"/>
        <v>1.4700399999999999E-2</v>
      </c>
      <c r="BH46" s="49">
        <f t="shared" si="87"/>
        <v>3.8999999999999998E-3</v>
      </c>
      <c r="BI46" s="61">
        <f t="shared" si="88"/>
        <v>1.86004E-2</v>
      </c>
      <c r="BK46" s="218">
        <f t="shared" si="72"/>
        <v>0</v>
      </c>
      <c r="BL46" s="214">
        <f t="shared" si="18"/>
        <v>0</v>
      </c>
      <c r="BM46" s="214">
        <f t="shared" si="73"/>
        <v>0</v>
      </c>
      <c r="BN46" s="61">
        <f t="shared" si="89"/>
        <v>0</v>
      </c>
      <c r="BO46" s="58">
        <v>0</v>
      </c>
      <c r="BP46" s="49">
        <f t="shared" si="90"/>
        <v>0</v>
      </c>
      <c r="BQ46" s="61">
        <f t="shared" si="53"/>
        <v>0</v>
      </c>
      <c r="BR46" s="58">
        <f t="shared" si="91"/>
        <v>0</v>
      </c>
      <c r="BS46" s="49">
        <f t="shared" si="92"/>
        <v>0</v>
      </c>
      <c r="BT46" s="61">
        <f t="shared" si="55"/>
        <v>0</v>
      </c>
      <c r="BU46" s="58">
        <f t="shared" si="74"/>
        <v>1.7761481533125516E-3</v>
      </c>
      <c r="BV46" s="49">
        <f t="shared" si="21"/>
        <v>2.59875E-2</v>
      </c>
      <c r="BW46" s="61">
        <f t="shared" si="75"/>
        <v>5.4000000000000003E-3</v>
      </c>
      <c r="BX46" s="49">
        <f t="shared" si="56"/>
        <v>0.1531342502996883</v>
      </c>
      <c r="BY46" s="49">
        <f t="shared" si="43"/>
        <v>0.520781525827544</v>
      </c>
      <c r="BZ46" s="49">
        <f t="shared" si="93"/>
        <v>92.392109457257348</v>
      </c>
    </row>
    <row r="47" spans="17:78" x14ac:dyDescent="0.35">
      <c r="Q47" s="49">
        <v>40</v>
      </c>
      <c r="R47" s="218">
        <f t="shared" si="57"/>
        <v>6.4866666666666672</v>
      </c>
      <c r="S47" s="214">
        <f t="shared" si="1"/>
        <v>12</v>
      </c>
      <c r="T47" s="219">
        <f t="shared" si="58"/>
        <v>0.54055555555555557</v>
      </c>
      <c r="U47" s="218">
        <f t="shared" si="59"/>
        <v>1</v>
      </c>
      <c r="V47" s="214">
        <f t="shared" si="60"/>
        <v>0.422354511439541</v>
      </c>
      <c r="W47" s="214">
        <f t="shared" si="61"/>
        <v>0.45297521351890779</v>
      </c>
      <c r="X47" s="214">
        <f t="shared" si="23"/>
        <v>0.12467027504155115</v>
      </c>
      <c r="Y47" s="218">
        <f t="shared" si="76"/>
        <v>1.2798621558773968</v>
      </c>
      <c r="Z47" s="214">
        <f t="shared" si="62"/>
        <v>2.5597243117547936</v>
      </c>
      <c r="AA47" s="214">
        <f t="shared" si="25"/>
        <v>2.5597243117547936</v>
      </c>
      <c r="AB47" s="219">
        <f t="shared" si="63"/>
        <v>0.96044198069072151</v>
      </c>
      <c r="AC47" s="218">
        <v>0</v>
      </c>
      <c r="AD47" s="214">
        <f t="shared" si="64"/>
        <v>2.7673463948193488E-2</v>
      </c>
      <c r="AE47" s="219">
        <f t="shared" si="27"/>
        <v>2.7673463948193488E-2</v>
      </c>
      <c r="AF47" s="58">
        <f t="shared" si="65"/>
        <v>0.12973333333333334</v>
      </c>
      <c r="AG47" s="61">
        <f t="shared" si="66"/>
        <v>0.12973333333333334</v>
      </c>
      <c r="AH47" s="58">
        <f t="shared" si="67"/>
        <v>8.0253045449761116E-3</v>
      </c>
      <c r="AI47" s="49">
        <f t="shared" si="68"/>
        <v>3.345704296873709E-2</v>
      </c>
      <c r="AJ47" s="61">
        <f t="shared" si="45"/>
        <v>4.14823475137132E-2</v>
      </c>
      <c r="AK47" s="218">
        <f t="shared" si="69"/>
        <v>6.4</v>
      </c>
      <c r="AL47" s="214">
        <f t="shared" si="13"/>
        <v>48</v>
      </c>
      <c r="AM47" s="219">
        <f t="shared" si="28"/>
        <v>0.13333333333333333</v>
      </c>
      <c r="AN47" s="218">
        <f t="shared" si="77"/>
        <v>1</v>
      </c>
      <c r="AO47" s="214">
        <f t="shared" si="78"/>
        <v>0.45297521351890774</v>
      </c>
      <c r="AP47" s="214">
        <f t="shared" si="79"/>
        <v>0.29435017491915777</v>
      </c>
      <c r="AQ47" s="214">
        <f t="shared" si="80"/>
        <v>0.59667233374237627</v>
      </c>
      <c r="AR47" s="214">
        <f t="shared" si="46"/>
        <v>0.59268634179034585</v>
      </c>
      <c r="AS47" s="219">
        <f t="shared" si="47"/>
        <v>0.23030401593054756</v>
      </c>
      <c r="AT47" s="218"/>
      <c r="AU47" s="214">
        <f t="shared" si="81"/>
        <v>2.1333333333333333E-4</v>
      </c>
      <c r="AV47" s="219">
        <f t="shared" si="48"/>
        <v>2.1333333333333333E-4</v>
      </c>
      <c r="AW47" s="218">
        <f t="shared" si="82"/>
        <v>0.109428</v>
      </c>
      <c r="AX47" s="214">
        <f t="shared" si="83"/>
        <v>0.04</v>
      </c>
      <c r="AY47" s="219">
        <f t="shared" si="49"/>
        <v>0.14942800000000001</v>
      </c>
      <c r="AZ47" s="218">
        <f t="shared" si="70"/>
        <v>8.666666666666667E-2</v>
      </c>
      <c r="BA47" s="214">
        <f t="shared" si="71"/>
        <v>6.5</v>
      </c>
      <c r="BB47" s="214">
        <f t="shared" si="50"/>
        <v>1.3333333333333334E-2</v>
      </c>
      <c r="BC47" s="61">
        <f t="shared" si="84"/>
        <v>1.3333333333333334E-2</v>
      </c>
      <c r="BD47" s="58">
        <v>0</v>
      </c>
      <c r="BE47" s="49">
        <f t="shared" si="85"/>
        <v>2.1333333333333338E-6</v>
      </c>
      <c r="BF47" s="61">
        <f t="shared" si="52"/>
        <v>2.1333333333333338E-6</v>
      </c>
      <c r="BG47" s="58">
        <f t="shared" si="86"/>
        <v>1.4700399999999999E-2</v>
      </c>
      <c r="BH47" s="49">
        <f t="shared" si="87"/>
        <v>4.0000000000000001E-3</v>
      </c>
      <c r="BI47" s="61">
        <f t="shared" si="88"/>
        <v>1.8700399999999999E-2</v>
      </c>
      <c r="BK47" s="218">
        <f t="shared" si="72"/>
        <v>0</v>
      </c>
      <c r="BL47" s="214">
        <f t="shared" si="18"/>
        <v>0</v>
      </c>
      <c r="BM47" s="214">
        <f t="shared" si="73"/>
        <v>0</v>
      </c>
      <c r="BN47" s="61">
        <f t="shared" si="89"/>
        <v>0</v>
      </c>
      <c r="BO47" s="58">
        <v>0</v>
      </c>
      <c r="BP47" s="49">
        <f t="shared" si="90"/>
        <v>0</v>
      </c>
      <c r="BQ47" s="61">
        <f t="shared" si="53"/>
        <v>0</v>
      </c>
      <c r="BR47" s="58">
        <f t="shared" si="91"/>
        <v>0</v>
      </c>
      <c r="BS47" s="49">
        <f t="shared" si="92"/>
        <v>0</v>
      </c>
      <c r="BT47" s="61">
        <f t="shared" si="55"/>
        <v>0</v>
      </c>
      <c r="BU47" s="58">
        <f t="shared" si="74"/>
        <v>1.8448975965462326E-3</v>
      </c>
      <c r="BV47" s="49">
        <f t="shared" si="21"/>
        <v>2.59875E-2</v>
      </c>
      <c r="BW47" s="61">
        <f t="shared" si="75"/>
        <v>5.4000000000000003E-3</v>
      </c>
      <c r="BX47" s="49">
        <f t="shared" si="56"/>
        <v>0.15740893061486017</v>
      </c>
      <c r="BY47" s="49">
        <f t="shared" si="43"/>
        <v>0.53019874239178633</v>
      </c>
      <c r="BZ47" s="49">
        <f t="shared" si="93"/>
        <v>92.443937406761094</v>
      </c>
    </row>
    <row r="48" spans="17:78" x14ac:dyDescent="0.35">
      <c r="Q48" s="49">
        <v>41</v>
      </c>
      <c r="R48" s="218">
        <f t="shared" si="57"/>
        <v>6.648833333333334</v>
      </c>
      <c r="S48" s="214">
        <f t="shared" si="1"/>
        <v>12</v>
      </c>
      <c r="T48" s="219">
        <f t="shared" si="58"/>
        <v>0.5540694444444445</v>
      </c>
      <c r="U48" s="218">
        <f t="shared" si="59"/>
        <v>1</v>
      </c>
      <c r="V48" s="214">
        <f t="shared" si="60"/>
        <v>0.42760135250799508</v>
      </c>
      <c r="W48" s="214">
        <f t="shared" si="61"/>
        <v>0.45860245056482474</v>
      </c>
      <c r="X48" s="214">
        <f t="shared" si="23"/>
        <v>0.11379619692718013</v>
      </c>
      <c r="Y48" s="218">
        <f t="shared" si="76"/>
        <v>1.295761674266652</v>
      </c>
      <c r="Z48" s="214">
        <f t="shared" si="62"/>
        <v>2.5915233485333036</v>
      </c>
      <c r="AA48" s="214">
        <f t="shared" si="25"/>
        <v>2.591523348533304</v>
      </c>
      <c r="AB48" s="219">
        <f t="shared" si="63"/>
        <v>0.9783945700267197</v>
      </c>
      <c r="AC48" s="218">
        <v>0</v>
      </c>
      <c r="AD48" s="214">
        <f t="shared" si="64"/>
        <v>2.8717678039733088E-2</v>
      </c>
      <c r="AE48" s="219">
        <f t="shared" si="27"/>
        <v>2.8717678039733088E-2</v>
      </c>
      <c r="AF48" s="58">
        <f t="shared" si="65"/>
        <v>0.13297666666666669</v>
      </c>
      <c r="AG48" s="61">
        <f t="shared" si="66"/>
        <v>0.13297666666666669</v>
      </c>
      <c r="AH48" s="58">
        <f t="shared" si="67"/>
        <v>8.3281266315225963E-3</v>
      </c>
      <c r="AI48" s="49">
        <f t="shared" si="68"/>
        <v>3.3872674345513644E-2</v>
      </c>
      <c r="AJ48" s="61">
        <f t="shared" si="45"/>
        <v>4.220080097703624E-2</v>
      </c>
      <c r="AK48" s="218">
        <f t="shared" si="69"/>
        <v>6.5600000000000005</v>
      </c>
      <c r="AL48" s="214">
        <f t="shared" si="13"/>
        <v>48</v>
      </c>
      <c r="AM48" s="219">
        <f t="shared" si="28"/>
        <v>0.13666666666666669</v>
      </c>
      <c r="AN48" s="218">
        <f t="shared" si="77"/>
        <v>1</v>
      </c>
      <c r="AO48" s="214">
        <f t="shared" si="78"/>
        <v>0.45860245056482468</v>
      </c>
      <c r="AP48" s="214">
        <f t="shared" si="79"/>
        <v>0.29800683903530184</v>
      </c>
      <c r="AQ48" s="214">
        <f t="shared" si="80"/>
        <v>0.60408469662780961</v>
      </c>
      <c r="AR48" s="214">
        <f t="shared" si="46"/>
        <v>0.60004918734920665</v>
      </c>
      <c r="AS48" s="219">
        <f t="shared" si="47"/>
        <v>0.23460886047457588</v>
      </c>
      <c r="AT48" s="218"/>
      <c r="AU48" s="214">
        <f t="shared" si="81"/>
        <v>2.2413333333333341E-4</v>
      </c>
      <c r="AV48" s="219">
        <f t="shared" si="48"/>
        <v>2.2413333333333341E-4</v>
      </c>
      <c r="AW48" s="218">
        <f t="shared" si="82"/>
        <v>0.109428</v>
      </c>
      <c r="AX48" s="214">
        <f t="shared" si="83"/>
        <v>4.1000000000000002E-2</v>
      </c>
      <c r="AY48" s="219">
        <f t="shared" si="49"/>
        <v>0.15042800000000001</v>
      </c>
      <c r="AZ48" s="218">
        <f t="shared" si="70"/>
        <v>8.8833333333333334E-2</v>
      </c>
      <c r="BA48" s="214">
        <f t="shared" si="71"/>
        <v>6.5</v>
      </c>
      <c r="BB48" s="214">
        <f t="shared" si="50"/>
        <v>1.3666666666666667E-2</v>
      </c>
      <c r="BC48" s="61">
        <f t="shared" si="84"/>
        <v>1.3666666666666667E-2</v>
      </c>
      <c r="BD48" s="58">
        <v>0</v>
      </c>
      <c r="BE48" s="49">
        <f t="shared" si="85"/>
        <v>2.2413333333333334E-6</v>
      </c>
      <c r="BF48" s="61">
        <f t="shared" si="52"/>
        <v>2.2413333333333334E-6</v>
      </c>
      <c r="BG48" s="58">
        <f t="shared" si="86"/>
        <v>1.4700399999999999E-2</v>
      </c>
      <c r="BH48" s="49">
        <f t="shared" si="87"/>
        <v>4.1000000000000003E-3</v>
      </c>
      <c r="BI48" s="61">
        <f t="shared" si="88"/>
        <v>1.8800399999999998E-2</v>
      </c>
      <c r="BK48" s="218">
        <f t="shared" si="72"/>
        <v>0</v>
      </c>
      <c r="BL48" s="214">
        <f t="shared" si="18"/>
        <v>0</v>
      </c>
      <c r="BM48" s="214">
        <f t="shared" si="73"/>
        <v>0</v>
      </c>
      <c r="BN48" s="61">
        <f t="shared" si="89"/>
        <v>0</v>
      </c>
      <c r="BO48" s="58">
        <v>0</v>
      </c>
      <c r="BP48" s="49">
        <f t="shared" si="90"/>
        <v>0</v>
      </c>
      <c r="BQ48" s="61">
        <f t="shared" si="53"/>
        <v>0</v>
      </c>
      <c r="BR48" s="58">
        <f t="shared" si="91"/>
        <v>0</v>
      </c>
      <c r="BS48" s="49">
        <f t="shared" si="92"/>
        <v>0</v>
      </c>
      <c r="BT48" s="61">
        <f t="shared" si="55"/>
        <v>0</v>
      </c>
      <c r="BU48" s="58">
        <f t="shared" si="74"/>
        <v>1.9145118693155395E-3</v>
      </c>
      <c r="BV48" s="49">
        <f t="shared" si="21"/>
        <v>2.59875E-2</v>
      </c>
      <c r="BW48" s="61">
        <f t="shared" si="75"/>
        <v>5.4000000000000003E-3</v>
      </c>
      <c r="BX48" s="49">
        <f t="shared" si="56"/>
        <v>0.16169658603973311</v>
      </c>
      <c r="BY48" s="49">
        <f t="shared" si="43"/>
        <v>0.53962859888608494</v>
      </c>
      <c r="BZ48" s="49">
        <f t="shared" si="93"/>
        <v>92.493128516582729</v>
      </c>
    </row>
    <row r="49" spans="17:78" x14ac:dyDescent="0.35">
      <c r="Q49" s="49">
        <v>42</v>
      </c>
      <c r="R49" s="218">
        <f t="shared" si="57"/>
        <v>6.8109999999999999</v>
      </c>
      <c r="S49" s="214">
        <f t="shared" si="1"/>
        <v>12</v>
      </c>
      <c r="T49" s="219">
        <f t="shared" si="58"/>
        <v>0.56758333333333333</v>
      </c>
      <c r="U49" s="218">
        <f t="shared" si="59"/>
        <v>1</v>
      </c>
      <c r="V49" s="214">
        <f t="shared" si="60"/>
        <v>0.43278458845018963</v>
      </c>
      <c r="W49" s="214">
        <f t="shared" si="61"/>
        <v>0.46416147111282841</v>
      </c>
      <c r="X49" s="214">
        <f t="shared" si="23"/>
        <v>0.10305394043698196</v>
      </c>
      <c r="Y49" s="218">
        <f t="shared" si="76"/>
        <v>1.3114684498490594</v>
      </c>
      <c r="Z49" s="214">
        <f t="shared" si="62"/>
        <v>2.6229368996981188</v>
      </c>
      <c r="AA49" s="214">
        <f t="shared" si="25"/>
        <v>2.6229368996981188</v>
      </c>
      <c r="AB49" s="219">
        <f t="shared" si="63"/>
        <v>0.99623801327917527</v>
      </c>
      <c r="AC49" s="218">
        <v>0</v>
      </c>
      <c r="AD49" s="214">
        <f t="shared" si="64"/>
        <v>2.9774705373073144E-2</v>
      </c>
      <c r="AE49" s="219">
        <f t="shared" si="27"/>
        <v>2.9774705373073144E-2</v>
      </c>
      <c r="AF49" s="58">
        <f t="shared" si="65"/>
        <v>0.13622000000000001</v>
      </c>
      <c r="AG49" s="61">
        <f t="shared" si="66"/>
        <v>0.13622000000000001</v>
      </c>
      <c r="AH49" s="58">
        <f t="shared" si="67"/>
        <v>8.6346645581912122E-3</v>
      </c>
      <c r="AI49" s="49">
        <f t="shared" si="68"/>
        <v>3.4283267207524372E-2</v>
      </c>
      <c r="AJ49" s="61">
        <f t="shared" si="45"/>
        <v>4.2917931765715581E-2</v>
      </c>
      <c r="AK49" s="218">
        <f t="shared" si="69"/>
        <v>6.72</v>
      </c>
      <c r="AL49" s="214">
        <f t="shared" si="13"/>
        <v>48</v>
      </c>
      <c r="AM49" s="219">
        <f t="shared" si="28"/>
        <v>0.13999999999999999</v>
      </c>
      <c r="AN49" s="218">
        <f t="shared" si="77"/>
        <v>1</v>
      </c>
      <c r="AO49" s="214">
        <f t="shared" si="78"/>
        <v>0.46416147111282835</v>
      </c>
      <c r="AP49" s="214">
        <f t="shared" si="79"/>
        <v>0.30161917503482055</v>
      </c>
      <c r="AQ49" s="214">
        <f t="shared" si="80"/>
        <v>0.61140720272683424</v>
      </c>
      <c r="AR49" s="214">
        <f t="shared" si="46"/>
        <v>0.60732277639823762</v>
      </c>
      <c r="AS49" s="219">
        <f t="shared" si="47"/>
        <v>0.23888753292089485</v>
      </c>
      <c r="AT49" s="218"/>
      <c r="AU49" s="214">
        <f t="shared" si="81"/>
        <v>2.3519999999999994E-4</v>
      </c>
      <c r="AV49" s="219">
        <f t="shared" si="48"/>
        <v>2.3519999999999994E-4</v>
      </c>
      <c r="AW49" s="218">
        <f t="shared" si="82"/>
        <v>0.109428</v>
      </c>
      <c r="AX49" s="214">
        <f t="shared" si="83"/>
        <v>4.1999999999999996E-2</v>
      </c>
      <c r="AY49" s="219">
        <f t="shared" si="49"/>
        <v>0.15142800000000001</v>
      </c>
      <c r="AZ49" s="218">
        <f t="shared" si="70"/>
        <v>9.0999999999999998E-2</v>
      </c>
      <c r="BA49" s="214">
        <f t="shared" si="71"/>
        <v>6.5</v>
      </c>
      <c r="BB49" s="214">
        <f t="shared" si="50"/>
        <v>1.4E-2</v>
      </c>
      <c r="BC49" s="61">
        <f t="shared" si="84"/>
        <v>1.4E-2</v>
      </c>
      <c r="BD49" s="58">
        <v>0</v>
      </c>
      <c r="BE49" s="49">
        <f t="shared" si="85"/>
        <v>2.3520000000000001E-6</v>
      </c>
      <c r="BF49" s="61">
        <f t="shared" si="52"/>
        <v>2.3520000000000001E-6</v>
      </c>
      <c r="BG49" s="58">
        <f t="shared" si="86"/>
        <v>1.4700399999999999E-2</v>
      </c>
      <c r="BH49" s="49">
        <f t="shared" si="87"/>
        <v>4.1999999999999997E-3</v>
      </c>
      <c r="BI49" s="61">
        <f t="shared" si="88"/>
        <v>1.8900399999999998E-2</v>
      </c>
      <c r="BK49" s="218">
        <f t="shared" si="72"/>
        <v>0</v>
      </c>
      <c r="BL49" s="214">
        <f t="shared" si="18"/>
        <v>0</v>
      </c>
      <c r="BM49" s="214">
        <f t="shared" si="73"/>
        <v>0</v>
      </c>
      <c r="BN49" s="61">
        <f t="shared" si="89"/>
        <v>0</v>
      </c>
      <c r="BO49" s="58">
        <v>0</v>
      </c>
      <c r="BP49" s="49">
        <f t="shared" si="90"/>
        <v>0</v>
      </c>
      <c r="BQ49" s="61">
        <f t="shared" si="53"/>
        <v>0</v>
      </c>
      <c r="BR49" s="58">
        <f t="shared" si="91"/>
        <v>0</v>
      </c>
      <c r="BS49" s="49">
        <f t="shared" si="92"/>
        <v>0</v>
      </c>
      <c r="BT49" s="61">
        <f t="shared" si="55"/>
        <v>0</v>
      </c>
      <c r="BU49" s="58">
        <f t="shared" si="74"/>
        <v>1.9849803582048763E-3</v>
      </c>
      <c r="BV49" s="49">
        <f t="shared" si="21"/>
        <v>2.59875E-2</v>
      </c>
      <c r="BW49" s="61">
        <f t="shared" si="75"/>
        <v>5.4000000000000003E-3</v>
      </c>
      <c r="BX49" s="49">
        <f t="shared" si="56"/>
        <v>0.16599705737307316</v>
      </c>
      <c r="BY49" s="49">
        <f t="shared" si="43"/>
        <v>0.54907106949699358</v>
      </c>
      <c r="BZ49" s="49">
        <f t="shared" si="93"/>
        <v>92.539867287796199</v>
      </c>
    </row>
    <row r="50" spans="17:78" x14ac:dyDescent="0.35">
      <c r="Q50" s="49">
        <v>43</v>
      </c>
      <c r="R50" s="218">
        <f t="shared" si="57"/>
        <v>6.9731666666666667</v>
      </c>
      <c r="S50" s="214">
        <f t="shared" si="1"/>
        <v>12</v>
      </c>
      <c r="T50" s="219">
        <f t="shared" si="58"/>
        <v>0.58109722222222226</v>
      </c>
      <c r="U50" s="218">
        <f t="shared" si="59"/>
        <v>1</v>
      </c>
      <c r="V50" s="214">
        <f t="shared" si="60"/>
        <v>0.43790647783897119</v>
      </c>
      <c r="W50" s="214">
        <f t="shared" si="61"/>
        <v>0.4696546974822966</v>
      </c>
      <c r="X50" s="214">
        <f t="shared" si="23"/>
        <v>9.2438824678732212E-2</v>
      </c>
      <c r="Y50" s="218">
        <f t="shared" si="76"/>
        <v>1.326989326784761</v>
      </c>
      <c r="Z50" s="214">
        <f t="shared" si="62"/>
        <v>2.6539786535695225</v>
      </c>
      <c r="AA50" s="214">
        <f t="shared" si="25"/>
        <v>2.6539786535695225</v>
      </c>
      <c r="AB50" s="219">
        <f t="shared" si="63"/>
        <v>1.0139755498124936</v>
      </c>
      <c r="AC50" s="218">
        <v>0</v>
      </c>
      <c r="AD50" s="214">
        <f t="shared" si="64"/>
        <v>3.0844392468526455E-2</v>
      </c>
      <c r="AE50" s="219">
        <f t="shared" si="27"/>
        <v>3.0844392468526455E-2</v>
      </c>
      <c r="AF50" s="58">
        <f t="shared" si="65"/>
        <v>0.13946333333333333</v>
      </c>
      <c r="AG50" s="61">
        <f t="shared" si="66"/>
        <v>0.13946333333333333</v>
      </c>
      <c r="AH50" s="58">
        <f t="shared" si="67"/>
        <v>8.9448738158726723E-3</v>
      </c>
      <c r="AI50" s="49">
        <f t="shared" si="68"/>
        <v>3.4689000468849117E-2</v>
      </c>
      <c r="AJ50" s="61">
        <f t="shared" si="45"/>
        <v>4.3633874284721791E-2</v>
      </c>
      <c r="AK50" s="218">
        <f t="shared" si="69"/>
        <v>6.88</v>
      </c>
      <c r="AL50" s="214">
        <f t="shared" si="13"/>
        <v>48</v>
      </c>
      <c r="AM50" s="219">
        <f t="shared" si="28"/>
        <v>0.14333333333333334</v>
      </c>
      <c r="AN50" s="218">
        <f t="shared" si="77"/>
        <v>1</v>
      </c>
      <c r="AO50" s="214">
        <f t="shared" si="78"/>
        <v>0.46965469748229671</v>
      </c>
      <c r="AP50" s="214">
        <f t="shared" si="79"/>
        <v>0.30518875697764353</v>
      </c>
      <c r="AQ50" s="214">
        <f t="shared" si="80"/>
        <v>0.61864304279009863</v>
      </c>
      <c r="AR50" s="214">
        <f t="shared" si="46"/>
        <v>0.61451027837269279</v>
      </c>
      <c r="AS50" s="219">
        <f t="shared" si="47"/>
        <v>0.24314081003545851</v>
      </c>
      <c r="AT50" s="218"/>
      <c r="AU50" s="214">
        <f t="shared" si="81"/>
        <v>2.4653333333333333E-4</v>
      </c>
      <c r="AV50" s="219">
        <f t="shared" si="48"/>
        <v>2.4653333333333333E-4</v>
      </c>
      <c r="AW50" s="218">
        <f t="shared" si="82"/>
        <v>0.109428</v>
      </c>
      <c r="AX50" s="214">
        <f t="shared" si="83"/>
        <v>4.3000000000000003E-2</v>
      </c>
      <c r="AY50" s="219">
        <f t="shared" si="49"/>
        <v>0.15242800000000001</v>
      </c>
      <c r="AZ50" s="218">
        <f t="shared" si="70"/>
        <v>9.3166666666666662E-2</v>
      </c>
      <c r="BA50" s="214">
        <f t="shared" si="71"/>
        <v>6.5</v>
      </c>
      <c r="BB50" s="214">
        <f t="shared" si="50"/>
        <v>1.4333333333333333E-2</v>
      </c>
      <c r="BC50" s="61">
        <f t="shared" si="84"/>
        <v>1.4333333333333333E-2</v>
      </c>
      <c r="BD50" s="58">
        <v>0</v>
      </c>
      <c r="BE50" s="49">
        <f t="shared" si="85"/>
        <v>2.4653333333333333E-6</v>
      </c>
      <c r="BF50" s="61">
        <f t="shared" si="52"/>
        <v>2.4653333333333333E-6</v>
      </c>
      <c r="BG50" s="58">
        <f t="shared" si="86"/>
        <v>1.4700399999999999E-2</v>
      </c>
      <c r="BH50" s="49">
        <f t="shared" si="87"/>
        <v>4.3E-3</v>
      </c>
      <c r="BI50" s="61">
        <f t="shared" si="88"/>
        <v>1.9000400000000001E-2</v>
      </c>
      <c r="BK50" s="218">
        <f t="shared" si="72"/>
        <v>0</v>
      </c>
      <c r="BL50" s="214">
        <f t="shared" si="18"/>
        <v>0</v>
      </c>
      <c r="BM50" s="214">
        <f t="shared" si="73"/>
        <v>0</v>
      </c>
      <c r="BN50" s="61">
        <f t="shared" si="89"/>
        <v>0</v>
      </c>
      <c r="BO50" s="58">
        <v>0</v>
      </c>
      <c r="BP50" s="49">
        <f t="shared" si="90"/>
        <v>0</v>
      </c>
      <c r="BQ50" s="61">
        <f t="shared" si="53"/>
        <v>0</v>
      </c>
      <c r="BR50" s="58">
        <f t="shared" si="91"/>
        <v>0</v>
      </c>
      <c r="BS50" s="49">
        <f t="shared" si="92"/>
        <v>0</v>
      </c>
      <c r="BT50" s="61">
        <f t="shared" si="55"/>
        <v>0</v>
      </c>
      <c r="BU50" s="58">
        <f t="shared" si="74"/>
        <v>2.0562928312350972E-3</v>
      </c>
      <c r="BV50" s="49">
        <f t="shared" si="21"/>
        <v>2.59875E-2</v>
      </c>
      <c r="BW50" s="61">
        <f t="shared" si="75"/>
        <v>5.4000000000000003E-3</v>
      </c>
      <c r="BX50" s="49">
        <f t="shared" si="56"/>
        <v>0.17031019113519311</v>
      </c>
      <c r="BY50" s="49">
        <f t="shared" si="43"/>
        <v>0.55852612491781661</v>
      </c>
      <c r="BZ50" s="49">
        <f t="shared" si="93"/>
        <v>92.584321474956027</v>
      </c>
    </row>
    <row r="51" spans="17:78" x14ac:dyDescent="0.35">
      <c r="Q51" s="49">
        <v>44</v>
      </c>
      <c r="R51" s="218">
        <f t="shared" si="57"/>
        <v>7.1353333333333335</v>
      </c>
      <c r="S51" s="214">
        <f t="shared" si="1"/>
        <v>12</v>
      </c>
      <c r="T51" s="219">
        <f t="shared" si="58"/>
        <v>0.59461111111111109</v>
      </c>
      <c r="U51" s="218">
        <f t="shared" si="59"/>
        <v>1</v>
      </c>
      <c r="V51" s="214">
        <f t="shared" si="60"/>
        <v>0.44296914866237203</v>
      </c>
      <c r="W51" s="214">
        <f t="shared" si="61"/>
        <v>0.47508441194039402</v>
      </c>
      <c r="X51" s="214">
        <f t="shared" si="23"/>
        <v>8.194643939723395E-2</v>
      </c>
      <c r="Y51" s="218">
        <f t="shared" si="76"/>
        <v>1.3423307535223394</v>
      </c>
      <c r="Z51" s="214">
        <f t="shared" si="62"/>
        <v>2.6846615070446793</v>
      </c>
      <c r="AA51" s="214">
        <f t="shared" si="25"/>
        <v>2.6846615070446793</v>
      </c>
      <c r="AB51" s="219">
        <f t="shared" si="63"/>
        <v>1.0316102499364983</v>
      </c>
      <c r="AC51" s="218">
        <v>0</v>
      </c>
      <c r="AD51" s="214">
        <f t="shared" si="64"/>
        <v>3.1926591233221335E-2</v>
      </c>
      <c r="AE51" s="219">
        <f t="shared" si="27"/>
        <v>3.1926591233221335E-2</v>
      </c>
      <c r="AF51" s="58">
        <f t="shared" si="65"/>
        <v>0.14270666666666668</v>
      </c>
      <c r="AG51" s="61">
        <f t="shared" si="66"/>
        <v>0.14270666666666668</v>
      </c>
      <c r="AH51" s="58">
        <f t="shared" si="67"/>
        <v>9.2587114576341868E-3</v>
      </c>
      <c r="AI51" s="49">
        <f t="shared" si="68"/>
        <v>3.5090042699220413E-2</v>
      </c>
      <c r="AJ51" s="61">
        <f t="shared" si="45"/>
        <v>4.4348754156854603E-2</v>
      </c>
      <c r="AK51" s="218">
        <f t="shared" si="69"/>
        <v>7.04</v>
      </c>
      <c r="AL51" s="214">
        <f t="shared" si="13"/>
        <v>48</v>
      </c>
      <c r="AM51" s="219">
        <f t="shared" si="28"/>
        <v>0.14666666666666667</v>
      </c>
      <c r="AN51" s="218">
        <f t="shared" si="77"/>
        <v>1</v>
      </c>
      <c r="AO51" s="214">
        <f t="shared" si="78"/>
        <v>0.47508441194039414</v>
      </c>
      <c r="AP51" s="214">
        <f t="shared" si="79"/>
        <v>0.30871706791564446</v>
      </c>
      <c r="AQ51" s="214">
        <f t="shared" si="80"/>
        <v>0.62579522308733804</v>
      </c>
      <c r="AR51" s="214">
        <f t="shared" si="46"/>
        <v>0.62161467945931348</v>
      </c>
      <c r="AS51" s="219">
        <f t="shared" si="47"/>
        <v>0.24736942804668752</v>
      </c>
      <c r="AT51" s="218"/>
      <c r="AU51" s="214">
        <f t="shared" si="81"/>
        <v>2.5813333333333334E-4</v>
      </c>
      <c r="AV51" s="219">
        <f t="shared" si="48"/>
        <v>2.5813333333333334E-4</v>
      </c>
      <c r="AW51" s="218">
        <f t="shared" si="82"/>
        <v>0.109428</v>
      </c>
      <c r="AX51" s="214">
        <f t="shared" si="83"/>
        <v>4.3999999999999997E-2</v>
      </c>
      <c r="AY51" s="219">
        <f t="shared" si="49"/>
        <v>0.15342800000000001</v>
      </c>
      <c r="AZ51" s="218">
        <f t="shared" si="70"/>
        <v>9.5333333333333325E-2</v>
      </c>
      <c r="BA51" s="214">
        <f t="shared" si="71"/>
        <v>6.5</v>
      </c>
      <c r="BB51" s="214">
        <f t="shared" si="50"/>
        <v>1.4666666666666665E-2</v>
      </c>
      <c r="BC51" s="61">
        <f t="shared" si="84"/>
        <v>1.4666666666666665E-2</v>
      </c>
      <c r="BD51" s="58">
        <v>0</v>
      </c>
      <c r="BE51" s="49">
        <f t="shared" si="85"/>
        <v>2.5813333333333327E-6</v>
      </c>
      <c r="BF51" s="61">
        <f t="shared" si="52"/>
        <v>2.5813333333333327E-6</v>
      </c>
      <c r="BG51" s="58">
        <f t="shared" si="86"/>
        <v>1.4700399999999999E-2</v>
      </c>
      <c r="BH51" s="49">
        <f t="shared" si="87"/>
        <v>4.3999999999999994E-3</v>
      </c>
      <c r="BI51" s="61">
        <f t="shared" si="88"/>
        <v>1.9100399999999997E-2</v>
      </c>
      <c r="BK51" s="218">
        <f t="shared" si="72"/>
        <v>0</v>
      </c>
      <c r="BL51" s="214">
        <f t="shared" si="18"/>
        <v>0</v>
      </c>
      <c r="BM51" s="214">
        <f t="shared" si="73"/>
        <v>0</v>
      </c>
      <c r="BN51" s="61">
        <f t="shared" si="89"/>
        <v>0</v>
      </c>
      <c r="BO51" s="58">
        <v>0</v>
      </c>
      <c r="BP51" s="49">
        <f t="shared" si="90"/>
        <v>0</v>
      </c>
      <c r="BQ51" s="61">
        <f t="shared" si="53"/>
        <v>0</v>
      </c>
      <c r="BR51" s="58">
        <f t="shared" si="91"/>
        <v>0</v>
      </c>
      <c r="BS51" s="49">
        <f t="shared" si="92"/>
        <v>0</v>
      </c>
      <c r="BT51" s="61">
        <f t="shared" si="55"/>
        <v>0</v>
      </c>
      <c r="BU51" s="58">
        <f t="shared" si="74"/>
        <v>2.1284394155480892E-3</v>
      </c>
      <c r="BV51" s="49">
        <f t="shared" si="21"/>
        <v>2.59875E-2</v>
      </c>
      <c r="BW51" s="61">
        <f t="shared" si="75"/>
        <v>5.4000000000000003E-3</v>
      </c>
      <c r="BX51" s="49">
        <f t="shared" si="56"/>
        <v>0.17463583923322135</v>
      </c>
      <c r="BY51" s="49">
        <f t="shared" si="43"/>
        <v>0.56799373280562404</v>
      </c>
      <c r="BZ51" s="49">
        <f t="shared" si="93"/>
        <v>92.626643943208393</v>
      </c>
    </row>
    <row r="52" spans="17:78" x14ac:dyDescent="0.35">
      <c r="Q52" s="49">
        <v>45</v>
      </c>
      <c r="R52" s="218">
        <f t="shared" si="57"/>
        <v>7.2975000000000003</v>
      </c>
      <c r="S52" s="214">
        <f t="shared" si="1"/>
        <v>12</v>
      </c>
      <c r="T52" s="219">
        <f t="shared" si="58"/>
        <v>0.60812500000000003</v>
      </c>
      <c r="U52" s="218">
        <f t="shared" si="59"/>
        <v>1</v>
      </c>
      <c r="V52" s="214">
        <f t="shared" si="60"/>
        <v>0.44797460865544603</v>
      </c>
      <c r="W52" s="214">
        <f t="shared" si="61"/>
        <v>0.48045276778296592</v>
      </c>
      <c r="X52" s="214">
        <f t="shared" si="23"/>
        <v>7.1572623561588056E-2</v>
      </c>
      <c r="Y52" s="218">
        <f t="shared" si="76"/>
        <v>1.357498814107412</v>
      </c>
      <c r="Z52" s="214">
        <f t="shared" si="62"/>
        <v>2.7149976282148245</v>
      </c>
      <c r="AA52" s="214">
        <f t="shared" si="25"/>
        <v>2.7149976282148245</v>
      </c>
      <c r="AB52" s="219">
        <f t="shared" si="63"/>
        <v>1.0491450273621661</v>
      </c>
      <c r="AC52" s="218">
        <v>0</v>
      </c>
      <c r="AD52" s="214">
        <f t="shared" si="64"/>
        <v>3.3021158653162803E-2</v>
      </c>
      <c r="AE52" s="219">
        <f t="shared" si="27"/>
        <v>3.3021158653162803E-2</v>
      </c>
      <c r="AF52" s="58">
        <f t="shared" si="65"/>
        <v>0.14595</v>
      </c>
      <c r="AG52" s="61">
        <f t="shared" si="66"/>
        <v>0.14595</v>
      </c>
      <c r="AH52" s="58">
        <f t="shared" si="67"/>
        <v>9.5761360094172143E-3</v>
      </c>
      <c r="AI52" s="49">
        <f t="shared" si="68"/>
        <v>3.5486552942465541E-2</v>
      </c>
      <c r="AJ52" s="61">
        <f t="shared" si="45"/>
        <v>4.5062688951882757E-2</v>
      </c>
      <c r="AK52" s="218">
        <f t="shared" si="69"/>
        <v>7.2</v>
      </c>
      <c r="AL52" s="214">
        <f t="shared" si="13"/>
        <v>48</v>
      </c>
      <c r="AM52" s="219">
        <f t="shared" si="28"/>
        <v>0.15</v>
      </c>
      <c r="AN52" s="218">
        <f t="shared" si="77"/>
        <v>1</v>
      </c>
      <c r="AO52" s="214">
        <f t="shared" si="78"/>
        <v>0.48045276778296592</v>
      </c>
      <c r="AP52" s="214">
        <f t="shared" si="79"/>
        <v>0.31220550709317429</v>
      </c>
      <c r="AQ52" s="214">
        <f t="shared" si="80"/>
        <v>0.63286658000345564</v>
      </c>
      <c r="AR52" s="214">
        <f t="shared" si="46"/>
        <v>0.62863879709490211</v>
      </c>
      <c r="AS52" s="219">
        <f t="shared" si="47"/>
        <v>0.25157408563222466</v>
      </c>
      <c r="AT52" s="218"/>
      <c r="AU52" s="214">
        <f t="shared" si="81"/>
        <v>2.7E-4</v>
      </c>
      <c r="AV52" s="219">
        <f t="shared" si="48"/>
        <v>2.7E-4</v>
      </c>
      <c r="AW52" s="218">
        <f t="shared" si="82"/>
        <v>0.109428</v>
      </c>
      <c r="AX52" s="214">
        <f t="shared" si="83"/>
        <v>4.4999999999999998E-2</v>
      </c>
      <c r="AY52" s="219">
        <f t="shared" si="49"/>
        <v>0.15442800000000001</v>
      </c>
      <c r="AZ52" s="218">
        <f t="shared" si="70"/>
        <v>9.7499999999999989E-2</v>
      </c>
      <c r="BA52" s="214">
        <f t="shared" si="71"/>
        <v>6.5</v>
      </c>
      <c r="BB52" s="214">
        <f t="shared" si="50"/>
        <v>1.4999999999999998E-2</v>
      </c>
      <c r="BC52" s="61">
        <f t="shared" si="84"/>
        <v>1.4999999999999998E-2</v>
      </c>
      <c r="BD52" s="58">
        <v>0</v>
      </c>
      <c r="BE52" s="49">
        <f t="shared" si="85"/>
        <v>2.6999999999999991E-6</v>
      </c>
      <c r="BF52" s="61">
        <f t="shared" si="52"/>
        <v>2.6999999999999991E-6</v>
      </c>
      <c r="BG52" s="58">
        <f t="shared" si="86"/>
        <v>1.4700399999999999E-2</v>
      </c>
      <c r="BH52" s="49">
        <f t="shared" si="87"/>
        <v>4.4999999999999988E-3</v>
      </c>
      <c r="BI52" s="61">
        <f t="shared" si="88"/>
        <v>1.9200399999999999E-2</v>
      </c>
      <c r="BK52" s="218">
        <f t="shared" si="72"/>
        <v>0</v>
      </c>
      <c r="BL52" s="214">
        <f t="shared" si="18"/>
        <v>0</v>
      </c>
      <c r="BM52" s="214">
        <f t="shared" si="73"/>
        <v>0</v>
      </c>
      <c r="BN52" s="61">
        <f t="shared" si="89"/>
        <v>0</v>
      </c>
      <c r="BO52" s="58">
        <v>0</v>
      </c>
      <c r="BP52" s="49">
        <f t="shared" si="90"/>
        <v>0</v>
      </c>
      <c r="BQ52" s="61">
        <f t="shared" si="53"/>
        <v>0</v>
      </c>
      <c r="BR52" s="58">
        <f t="shared" si="91"/>
        <v>0</v>
      </c>
      <c r="BS52" s="49">
        <f t="shared" si="92"/>
        <v>0</v>
      </c>
      <c r="BT52" s="61">
        <f t="shared" si="55"/>
        <v>0</v>
      </c>
      <c r="BU52" s="58">
        <f t="shared" si="74"/>
        <v>2.2014105768775206E-3</v>
      </c>
      <c r="BV52" s="49">
        <f t="shared" si="21"/>
        <v>2.59875E-2</v>
      </c>
      <c r="BW52" s="61">
        <f t="shared" si="75"/>
        <v>5.4000000000000003E-3</v>
      </c>
      <c r="BX52" s="49">
        <f t="shared" si="56"/>
        <v>0.17897385865316279</v>
      </c>
      <c r="BY52" s="49">
        <f t="shared" si="43"/>
        <v>0.57747385818192309</v>
      </c>
      <c r="BZ52" s="49">
        <f t="shared" si="93"/>
        <v>92.666974283578853</v>
      </c>
    </row>
    <row r="53" spans="17:78" x14ac:dyDescent="0.35">
      <c r="Q53" s="49">
        <v>46</v>
      </c>
      <c r="R53" s="218">
        <f t="shared" si="57"/>
        <v>7.4596666666666671</v>
      </c>
      <c r="S53" s="214">
        <f t="shared" si="1"/>
        <v>12</v>
      </c>
      <c r="T53" s="219">
        <f t="shared" si="58"/>
        <v>0.62163888888888896</v>
      </c>
      <c r="U53" s="218">
        <f t="shared" si="59"/>
        <v>1</v>
      </c>
      <c r="V53" s="214">
        <f t="shared" si="60"/>
        <v>0.45292475460426468</v>
      </c>
      <c r="W53" s="214">
        <f t="shared" si="61"/>
        <v>0.48576179931307389</v>
      </c>
      <c r="X53" s="214">
        <f t="shared" si="23"/>
        <v>6.1313446082661371E-2</v>
      </c>
      <c r="Y53" s="218">
        <f t="shared" si="76"/>
        <v>1.3724992563765595</v>
      </c>
      <c r="Z53" s="214">
        <f t="shared" si="62"/>
        <v>2.7449985127531193</v>
      </c>
      <c r="AA53" s="214">
        <f t="shared" si="25"/>
        <v>2.7449985127531189</v>
      </c>
      <c r="AB53" s="219">
        <f t="shared" si="63"/>
        <v>1.0665826504837781</v>
      </c>
      <c r="AC53" s="218">
        <v>0</v>
      </c>
      <c r="AD53" s="214">
        <f t="shared" si="64"/>
        <v>3.4127956509390031E-2</v>
      </c>
      <c r="AE53" s="219">
        <f t="shared" si="27"/>
        <v>3.4127956509390031E-2</v>
      </c>
      <c r="AF53" s="58">
        <f t="shared" si="65"/>
        <v>0.14919333333333334</v>
      </c>
      <c r="AG53" s="61">
        <f t="shared" si="66"/>
        <v>0.14919333333333334</v>
      </c>
      <c r="AH53" s="58">
        <f t="shared" si="67"/>
        <v>9.8971073877231093E-3</v>
      </c>
      <c r="AI53" s="49">
        <f t="shared" si="68"/>
        <v>3.5878681453527635E-2</v>
      </c>
      <c r="AJ53" s="61">
        <f t="shared" si="45"/>
        <v>4.5775788841250747E-2</v>
      </c>
      <c r="AK53" s="218">
        <f t="shared" si="69"/>
        <v>7.36</v>
      </c>
      <c r="AL53" s="214">
        <f t="shared" si="13"/>
        <v>48</v>
      </c>
      <c r="AM53" s="219">
        <f t="shared" si="28"/>
        <v>0.15333333333333335</v>
      </c>
      <c r="AN53" s="218">
        <f t="shared" si="77"/>
        <v>1</v>
      </c>
      <c r="AO53" s="214">
        <f t="shared" si="78"/>
        <v>0.48576179931307384</v>
      </c>
      <c r="AP53" s="214">
        <f t="shared" si="79"/>
        <v>0.31565539643126589</v>
      </c>
      <c r="AQ53" s="214">
        <f t="shared" si="80"/>
        <v>0.63985979318254527</v>
      </c>
      <c r="AR53" s="214">
        <f t="shared" si="46"/>
        <v>0.63558529302253852</v>
      </c>
      <c r="AS53" s="219">
        <f t="shared" si="47"/>
        <v>0.25575544662427796</v>
      </c>
      <c r="AT53" s="218"/>
      <c r="AU53" s="214">
        <f t="shared" si="81"/>
        <v>2.8213333333333338E-4</v>
      </c>
      <c r="AV53" s="219">
        <f t="shared" si="48"/>
        <v>2.8213333333333338E-4</v>
      </c>
      <c r="AW53" s="218">
        <f t="shared" si="82"/>
        <v>0.109428</v>
      </c>
      <c r="AX53" s="214">
        <f t="shared" si="83"/>
        <v>4.6000000000000006E-2</v>
      </c>
      <c r="AY53" s="219">
        <f t="shared" si="49"/>
        <v>0.15542800000000001</v>
      </c>
      <c r="AZ53" s="218">
        <f t="shared" si="70"/>
        <v>9.9666666666666667E-2</v>
      </c>
      <c r="BA53" s="214">
        <f t="shared" si="71"/>
        <v>6.5</v>
      </c>
      <c r="BB53" s="214">
        <f t="shared" si="50"/>
        <v>1.5333333333333334E-2</v>
      </c>
      <c r="BC53" s="61">
        <f t="shared" si="84"/>
        <v>1.5333333333333334E-2</v>
      </c>
      <c r="BD53" s="58">
        <v>0</v>
      </c>
      <c r="BE53" s="49">
        <f t="shared" si="85"/>
        <v>2.8213333333333338E-6</v>
      </c>
      <c r="BF53" s="61">
        <f t="shared" si="52"/>
        <v>2.8213333333333338E-6</v>
      </c>
      <c r="BG53" s="58">
        <f t="shared" si="86"/>
        <v>1.4700399999999999E-2</v>
      </c>
      <c r="BH53" s="49">
        <f t="shared" si="87"/>
        <v>4.5999999999999999E-3</v>
      </c>
      <c r="BI53" s="61">
        <f t="shared" si="88"/>
        <v>1.9300399999999999E-2</v>
      </c>
      <c r="BK53" s="218">
        <f t="shared" si="72"/>
        <v>0</v>
      </c>
      <c r="BL53" s="214">
        <f t="shared" si="18"/>
        <v>0</v>
      </c>
      <c r="BM53" s="214">
        <f t="shared" si="73"/>
        <v>0</v>
      </c>
      <c r="BN53" s="61">
        <f t="shared" si="89"/>
        <v>0</v>
      </c>
      <c r="BO53" s="58">
        <v>0</v>
      </c>
      <c r="BP53" s="49">
        <f t="shared" si="90"/>
        <v>0</v>
      </c>
      <c r="BQ53" s="61">
        <f t="shared" si="53"/>
        <v>0</v>
      </c>
      <c r="BR53" s="58">
        <f t="shared" si="91"/>
        <v>0</v>
      </c>
      <c r="BS53" s="49">
        <f t="shared" si="92"/>
        <v>0</v>
      </c>
      <c r="BT53" s="61">
        <f t="shared" si="55"/>
        <v>0</v>
      </c>
      <c r="BU53" s="58">
        <f t="shared" si="74"/>
        <v>2.275197100626002E-3</v>
      </c>
      <c r="BV53" s="49">
        <f t="shared" si="21"/>
        <v>2.59875E-2</v>
      </c>
      <c r="BW53" s="61">
        <f t="shared" si="75"/>
        <v>5.4000000000000003E-3</v>
      </c>
      <c r="BX53" s="49">
        <f t="shared" si="56"/>
        <v>0.18332411117605671</v>
      </c>
      <c r="BY53" s="49">
        <f t="shared" si="43"/>
        <v>0.58696646378460016</v>
      </c>
      <c r="BZ53" s="49">
        <f t="shared" si="93"/>
        <v>92.70544022240415</v>
      </c>
    </row>
    <row r="54" spans="17:78" x14ac:dyDescent="0.35">
      <c r="Q54" s="49">
        <v>47</v>
      </c>
      <c r="R54" s="218">
        <f t="shared" si="57"/>
        <v>7.6218333333333339</v>
      </c>
      <c r="S54" s="214">
        <f t="shared" si="1"/>
        <v>12</v>
      </c>
      <c r="T54" s="219">
        <f t="shared" si="58"/>
        <v>0.63515277777777779</v>
      </c>
      <c r="U54" s="218">
        <f t="shared" si="59"/>
        <v>1</v>
      </c>
      <c r="V54" s="214">
        <f t="shared" si="60"/>
        <v>0.45782138074435397</v>
      </c>
      <c r="W54" s="214">
        <f t="shared" si="61"/>
        <v>0.49101343084831967</v>
      </c>
      <c r="X54" s="214">
        <f t="shared" si="23"/>
        <v>5.1165188407326367E-2</v>
      </c>
      <c r="Y54" s="218">
        <f t="shared" si="76"/>
        <v>1.387337517407133</v>
      </c>
      <c r="Z54" s="214">
        <f t="shared" si="62"/>
        <v>2.7746750348142668</v>
      </c>
      <c r="AA54" s="214">
        <f t="shared" si="25"/>
        <v>2.7746750348142664</v>
      </c>
      <c r="AB54" s="219">
        <f t="shared" si="63"/>
        <v>1.0839257526211328</v>
      </c>
      <c r="AC54" s="218">
        <v>0</v>
      </c>
      <c r="AD54" s="214">
        <f t="shared" si="64"/>
        <v>3.5246851115858673E-2</v>
      </c>
      <c r="AE54" s="219">
        <f t="shared" si="27"/>
        <v>3.5246851115858673E-2</v>
      </c>
      <c r="AF54" s="58">
        <f t="shared" si="65"/>
        <v>0.15243666666666669</v>
      </c>
      <c r="AG54" s="61">
        <f t="shared" si="66"/>
        <v>0.15243666666666669</v>
      </c>
      <c r="AH54" s="58">
        <f t="shared" si="67"/>
        <v>1.0221586823599015E-2</v>
      </c>
      <c r="AI54" s="49">
        <f t="shared" si="68"/>
        <v>3.6266570363752429E-2</v>
      </c>
      <c r="AJ54" s="61">
        <f t="shared" si="45"/>
        <v>4.6488157187351442E-2</v>
      </c>
      <c r="AK54" s="218">
        <f t="shared" si="69"/>
        <v>7.5200000000000005</v>
      </c>
      <c r="AL54" s="214">
        <f t="shared" si="13"/>
        <v>48</v>
      </c>
      <c r="AM54" s="219">
        <f t="shared" si="28"/>
        <v>0.15666666666666668</v>
      </c>
      <c r="AN54" s="218">
        <f t="shared" si="77"/>
        <v>1</v>
      </c>
      <c r="AO54" s="214">
        <f t="shared" si="78"/>
        <v>0.49101343084831961</v>
      </c>
      <c r="AP54" s="214">
        <f t="shared" si="79"/>
        <v>0.31906798638072903</v>
      </c>
      <c r="AQ54" s="214">
        <f t="shared" si="80"/>
        <v>0.64677739739260287</v>
      </c>
      <c r="AR54" s="214">
        <f t="shared" si="46"/>
        <v>0.64245668507703046</v>
      </c>
      <c r="AS54" s="219">
        <f t="shared" si="47"/>
        <v>0.25991414246559674</v>
      </c>
      <c r="AT54" s="218"/>
      <c r="AU54" s="214">
        <f t="shared" si="81"/>
        <v>2.9453333333333341E-4</v>
      </c>
      <c r="AV54" s="219">
        <f t="shared" si="48"/>
        <v>2.9453333333333341E-4</v>
      </c>
      <c r="AW54" s="218">
        <f t="shared" si="82"/>
        <v>0.109428</v>
      </c>
      <c r="AX54" s="214">
        <f t="shared" si="83"/>
        <v>4.7E-2</v>
      </c>
      <c r="AY54" s="219">
        <f t="shared" si="49"/>
        <v>0.15642800000000001</v>
      </c>
      <c r="AZ54" s="218">
        <f t="shared" si="70"/>
        <v>0.10183333333333333</v>
      </c>
      <c r="BA54" s="214">
        <f t="shared" si="71"/>
        <v>6.5</v>
      </c>
      <c r="BB54" s="214">
        <f t="shared" si="50"/>
        <v>1.5666666666666666E-2</v>
      </c>
      <c r="BC54" s="61">
        <f t="shared" si="84"/>
        <v>1.5666666666666666E-2</v>
      </c>
      <c r="BD54" s="58">
        <v>0</v>
      </c>
      <c r="BE54" s="49">
        <f t="shared" si="85"/>
        <v>2.945333333333333E-6</v>
      </c>
      <c r="BF54" s="61">
        <f t="shared" si="52"/>
        <v>2.945333333333333E-6</v>
      </c>
      <c r="BG54" s="58">
        <f t="shared" si="86"/>
        <v>1.4700399999999999E-2</v>
      </c>
      <c r="BH54" s="49">
        <f t="shared" si="87"/>
        <v>4.6999999999999993E-3</v>
      </c>
      <c r="BI54" s="61">
        <f t="shared" si="88"/>
        <v>1.9400399999999998E-2</v>
      </c>
      <c r="BK54" s="218">
        <f t="shared" si="72"/>
        <v>0</v>
      </c>
      <c r="BL54" s="214">
        <f t="shared" si="18"/>
        <v>0</v>
      </c>
      <c r="BM54" s="214">
        <f t="shared" si="73"/>
        <v>0</v>
      </c>
      <c r="BN54" s="61">
        <f t="shared" si="89"/>
        <v>0</v>
      </c>
      <c r="BO54" s="58">
        <v>0</v>
      </c>
      <c r="BP54" s="49">
        <f t="shared" si="90"/>
        <v>0</v>
      </c>
      <c r="BQ54" s="61">
        <f t="shared" si="53"/>
        <v>0</v>
      </c>
      <c r="BR54" s="58">
        <f t="shared" si="91"/>
        <v>0</v>
      </c>
      <c r="BS54" s="49">
        <f t="shared" si="92"/>
        <v>0</v>
      </c>
      <c r="BT54" s="61">
        <f t="shared" si="55"/>
        <v>0</v>
      </c>
      <c r="BU54" s="58">
        <f t="shared" si="74"/>
        <v>2.3497900743905784E-3</v>
      </c>
      <c r="BV54" s="49">
        <f t="shared" si="21"/>
        <v>2.59875E-2</v>
      </c>
      <c r="BW54" s="61">
        <f t="shared" si="75"/>
        <v>5.4000000000000003E-3</v>
      </c>
      <c r="BX54" s="49">
        <f t="shared" si="56"/>
        <v>0.18768646311585868</v>
      </c>
      <c r="BY54" s="49">
        <f t="shared" si="43"/>
        <v>0.59647151037760071</v>
      </c>
      <c r="BZ54" s="49">
        <f t="shared" si="93"/>
        <v>92.742158854887819</v>
      </c>
    </row>
    <row r="55" spans="17:78" x14ac:dyDescent="0.35">
      <c r="Q55" s="49">
        <v>48</v>
      </c>
      <c r="R55" s="218">
        <f t="shared" si="57"/>
        <v>7.7839999999999998</v>
      </c>
      <c r="S55" s="214">
        <f t="shared" si="1"/>
        <v>12</v>
      </c>
      <c r="T55" s="219">
        <f t="shared" si="58"/>
        <v>0.64866666666666661</v>
      </c>
      <c r="U55" s="218">
        <f t="shared" si="59"/>
        <v>1</v>
      </c>
      <c r="V55" s="214">
        <f t="shared" si="60"/>
        <v>0.46266618635902063</v>
      </c>
      <c r="W55" s="214">
        <f t="shared" si="61"/>
        <v>0.49620948487004962</v>
      </c>
      <c r="X55" s="214">
        <f t="shared" si="23"/>
        <v>4.1124328770929697E-2</v>
      </c>
      <c r="Y55" s="218">
        <f t="shared" si="76"/>
        <v>1.4020187465424867</v>
      </c>
      <c r="Z55" s="214">
        <f t="shared" si="62"/>
        <v>2.8040374930849734</v>
      </c>
      <c r="AA55" s="214">
        <f t="shared" si="25"/>
        <v>2.8040374930849734</v>
      </c>
      <c r="AB55" s="219">
        <f t="shared" si="63"/>
        <v>1.1011768413377228</v>
      </c>
      <c r="AC55" s="218">
        <v>0</v>
      </c>
      <c r="AD55" s="214">
        <f t="shared" si="64"/>
        <v>3.6377713076955726E-2</v>
      </c>
      <c r="AE55" s="219">
        <f t="shared" si="27"/>
        <v>3.6377713076955726E-2</v>
      </c>
      <c r="AF55" s="58">
        <f t="shared" si="65"/>
        <v>0.15568000000000001</v>
      </c>
      <c r="AG55" s="61">
        <f t="shared" si="66"/>
        <v>0.15568000000000001</v>
      </c>
      <c r="AH55" s="58">
        <f t="shared" si="67"/>
        <v>1.054953679231716E-2</v>
      </c>
      <c r="AI55" s="49">
        <f t="shared" si="68"/>
        <v>3.6650354282793833E-2</v>
      </c>
      <c r="AJ55" s="61">
        <f t="shared" si="45"/>
        <v>4.7199891075110995E-2</v>
      </c>
      <c r="AK55" s="218">
        <f t="shared" si="69"/>
        <v>7.68</v>
      </c>
      <c r="AL55" s="214">
        <f t="shared" si="13"/>
        <v>48</v>
      </c>
      <c r="AM55" s="219">
        <f t="shared" si="28"/>
        <v>0.16</v>
      </c>
      <c r="AN55" s="218">
        <f t="shared" si="77"/>
        <v>1</v>
      </c>
      <c r="AO55" s="214">
        <f t="shared" si="78"/>
        <v>0.49620948487004968</v>
      </c>
      <c r="AP55" s="214">
        <f t="shared" si="79"/>
        <v>0.32244446121762821</v>
      </c>
      <c r="AQ55" s="214">
        <f t="shared" si="80"/>
        <v>0.65362179325990066</v>
      </c>
      <c r="AR55" s="214">
        <f t="shared" si="46"/>
        <v>0.6492553578475786</v>
      </c>
      <c r="AS55" s="219">
        <f t="shared" si="47"/>
        <v>0.26405077444387365</v>
      </c>
      <c r="AT55" s="218"/>
      <c r="AU55" s="214">
        <f t="shared" si="81"/>
        <v>3.0720000000000004E-4</v>
      </c>
      <c r="AV55" s="219">
        <f t="shared" si="48"/>
        <v>3.0720000000000004E-4</v>
      </c>
      <c r="AW55" s="218">
        <f t="shared" si="82"/>
        <v>0.109428</v>
      </c>
      <c r="AX55" s="214">
        <f t="shared" si="83"/>
        <v>4.8000000000000001E-2</v>
      </c>
      <c r="AY55" s="219">
        <f t="shared" si="49"/>
        <v>0.15742800000000001</v>
      </c>
      <c r="AZ55" s="218">
        <f t="shared" si="70"/>
        <v>0.104</v>
      </c>
      <c r="BA55" s="214">
        <f t="shared" si="71"/>
        <v>6.5</v>
      </c>
      <c r="BB55" s="214">
        <f t="shared" si="50"/>
        <v>1.6E-2</v>
      </c>
      <c r="BC55" s="61">
        <f t="shared" si="84"/>
        <v>1.6E-2</v>
      </c>
      <c r="BD55" s="58">
        <v>0</v>
      </c>
      <c r="BE55" s="49">
        <f t="shared" si="85"/>
        <v>3.072E-6</v>
      </c>
      <c r="BF55" s="61">
        <f t="shared" si="52"/>
        <v>3.072E-6</v>
      </c>
      <c r="BG55" s="58">
        <f t="shared" si="86"/>
        <v>1.4700399999999999E-2</v>
      </c>
      <c r="BH55" s="49">
        <f t="shared" si="87"/>
        <v>4.7999999999999996E-3</v>
      </c>
      <c r="BI55" s="61">
        <f t="shared" si="88"/>
        <v>1.9500399999999998E-2</v>
      </c>
      <c r="BK55" s="218">
        <f t="shared" si="72"/>
        <v>0</v>
      </c>
      <c r="BL55" s="214">
        <f t="shared" si="18"/>
        <v>0</v>
      </c>
      <c r="BM55" s="214">
        <f t="shared" si="73"/>
        <v>0</v>
      </c>
      <c r="BN55" s="61">
        <f t="shared" si="89"/>
        <v>0</v>
      </c>
      <c r="BO55" s="58">
        <v>0</v>
      </c>
      <c r="BP55" s="49">
        <f t="shared" si="90"/>
        <v>0</v>
      </c>
      <c r="BQ55" s="61">
        <f t="shared" si="53"/>
        <v>0</v>
      </c>
      <c r="BR55" s="58">
        <f t="shared" si="91"/>
        <v>0</v>
      </c>
      <c r="BS55" s="49">
        <f t="shared" si="92"/>
        <v>0</v>
      </c>
      <c r="BT55" s="61">
        <f t="shared" si="55"/>
        <v>0</v>
      </c>
      <c r="BU55" s="58">
        <f t="shared" si="74"/>
        <v>2.4251808717970485E-3</v>
      </c>
      <c r="BV55" s="49">
        <f t="shared" si="21"/>
        <v>2.59875E-2</v>
      </c>
      <c r="BW55" s="61">
        <f t="shared" si="75"/>
        <v>5.4000000000000003E-3</v>
      </c>
      <c r="BX55" s="49">
        <f t="shared" si="56"/>
        <v>0.19206078507695573</v>
      </c>
      <c r="BY55" s="49">
        <f t="shared" si="43"/>
        <v>0.60598895702386379</v>
      </c>
      <c r="BZ55" s="49">
        <f t="shared" si="93"/>
        <v>92.777237727869149</v>
      </c>
    </row>
    <row r="56" spans="17:78" x14ac:dyDescent="0.35">
      <c r="Q56" s="49">
        <v>49</v>
      </c>
      <c r="R56" s="218">
        <f t="shared" si="57"/>
        <v>7.9461666666666666</v>
      </c>
      <c r="S56" s="214">
        <f t="shared" si="1"/>
        <v>12</v>
      </c>
      <c r="T56" s="219">
        <f t="shared" si="58"/>
        <v>0.66218055555555555</v>
      </c>
      <c r="U56" s="218">
        <f t="shared" si="59"/>
        <v>1</v>
      </c>
      <c r="V56" s="214">
        <f t="shared" si="60"/>
        <v>0.4674607826688067</v>
      </c>
      <c r="W56" s="214">
        <f t="shared" si="61"/>
        <v>0.50135168941229524</v>
      </c>
      <c r="X56" s="214">
        <f t="shared" si="23"/>
        <v>3.1187527918898117E-2</v>
      </c>
      <c r="Y56" s="218">
        <f t="shared" si="76"/>
        <v>1.4165478262691111</v>
      </c>
      <c r="Z56" s="214">
        <f t="shared" si="62"/>
        <v>2.8330956525382227</v>
      </c>
      <c r="AA56" s="214">
        <f t="shared" si="25"/>
        <v>2.8330956525382227</v>
      </c>
      <c r="AB56" s="219">
        <f t="shared" si="63"/>
        <v>1.1183383069357233</v>
      </c>
      <c r="AC56" s="218">
        <v>0</v>
      </c>
      <c r="AD56" s="214">
        <f t="shared" si="64"/>
        <v>3.7520417062795804E-2</v>
      </c>
      <c r="AE56" s="219">
        <f t="shared" si="27"/>
        <v>3.7520417062795804E-2</v>
      </c>
      <c r="AF56" s="58">
        <f t="shared" si="65"/>
        <v>0.15892333333333333</v>
      </c>
      <c r="AG56" s="61">
        <f t="shared" si="66"/>
        <v>0.15892333333333333</v>
      </c>
      <c r="AH56" s="58">
        <f t="shared" si="67"/>
        <v>1.0880920948210783E-2</v>
      </c>
      <c r="AI56" s="49">
        <f t="shared" si="68"/>
        <v>3.7030160844365792E-2</v>
      </c>
      <c r="AJ56" s="61">
        <f t="shared" si="45"/>
        <v>4.7911081792576575E-2</v>
      </c>
      <c r="AK56" s="218">
        <f t="shared" si="69"/>
        <v>7.84</v>
      </c>
      <c r="AL56" s="214">
        <f t="shared" si="13"/>
        <v>48</v>
      </c>
      <c r="AM56" s="219">
        <f t="shared" si="28"/>
        <v>0.16333333333333333</v>
      </c>
      <c r="AN56" s="218">
        <f t="shared" si="77"/>
        <v>1</v>
      </c>
      <c r="AO56" s="214">
        <f t="shared" si="78"/>
        <v>0.50135168941229524</v>
      </c>
      <c r="AP56" s="214">
        <f t="shared" si="79"/>
        <v>0.32578594384472759</v>
      </c>
      <c r="AQ56" s="214">
        <f t="shared" si="80"/>
        <v>0.6603952570019167</v>
      </c>
      <c r="AR56" s="214">
        <f t="shared" si="46"/>
        <v>0.65598357234568594</v>
      </c>
      <c r="AS56" s="219">
        <f t="shared" si="47"/>
        <v>0.26816591572875476</v>
      </c>
      <c r="AT56" s="218"/>
      <c r="AU56" s="214">
        <f t="shared" si="81"/>
        <v>3.2013333333333333E-4</v>
      </c>
      <c r="AV56" s="219">
        <f t="shared" si="48"/>
        <v>3.2013333333333333E-4</v>
      </c>
      <c r="AW56" s="218">
        <f t="shared" si="82"/>
        <v>0.109428</v>
      </c>
      <c r="AX56" s="214">
        <f t="shared" si="83"/>
        <v>4.8999999999999995E-2</v>
      </c>
      <c r="AY56" s="219">
        <f t="shared" si="49"/>
        <v>0.15842799999999999</v>
      </c>
      <c r="AZ56" s="218">
        <f t="shared" si="70"/>
        <v>0.10616666666666666</v>
      </c>
      <c r="BA56" s="214">
        <f t="shared" si="71"/>
        <v>6.5</v>
      </c>
      <c r="BB56" s="214">
        <f t="shared" si="50"/>
        <v>1.6333333333333332E-2</v>
      </c>
      <c r="BC56" s="61">
        <f t="shared" si="84"/>
        <v>1.6333333333333332E-2</v>
      </c>
      <c r="BD56" s="58">
        <v>0</v>
      </c>
      <c r="BE56" s="49">
        <f t="shared" si="85"/>
        <v>3.2013333333333327E-6</v>
      </c>
      <c r="BF56" s="61">
        <f t="shared" si="52"/>
        <v>3.2013333333333327E-6</v>
      </c>
      <c r="BG56" s="58">
        <f t="shared" si="86"/>
        <v>1.4700399999999999E-2</v>
      </c>
      <c r="BH56" s="49">
        <f t="shared" si="87"/>
        <v>4.899999999999999E-3</v>
      </c>
      <c r="BI56" s="61">
        <f t="shared" si="88"/>
        <v>1.9600399999999997E-2</v>
      </c>
      <c r="BK56" s="218">
        <f t="shared" si="72"/>
        <v>0</v>
      </c>
      <c r="BL56" s="214">
        <f t="shared" si="18"/>
        <v>0</v>
      </c>
      <c r="BM56" s="214">
        <f t="shared" si="73"/>
        <v>0</v>
      </c>
      <c r="BN56" s="61">
        <f t="shared" si="89"/>
        <v>0</v>
      </c>
      <c r="BO56" s="58">
        <v>0</v>
      </c>
      <c r="BP56" s="49">
        <f t="shared" si="90"/>
        <v>0</v>
      </c>
      <c r="BQ56" s="61">
        <f t="shared" si="53"/>
        <v>0</v>
      </c>
      <c r="BR56" s="58">
        <f t="shared" si="91"/>
        <v>0</v>
      </c>
      <c r="BS56" s="49">
        <f t="shared" si="92"/>
        <v>0</v>
      </c>
      <c r="BT56" s="61">
        <f t="shared" si="55"/>
        <v>0</v>
      </c>
      <c r="BU56" s="58">
        <f t="shared" si="74"/>
        <v>2.5013611375197201E-3</v>
      </c>
      <c r="BV56" s="49">
        <f t="shared" si="21"/>
        <v>2.59875E-2</v>
      </c>
      <c r="BW56" s="61">
        <f t="shared" si="75"/>
        <v>5.4000000000000003E-3</v>
      </c>
      <c r="BX56" s="49">
        <f t="shared" si="56"/>
        <v>0.19644695172946247</v>
      </c>
      <c r="BY56" s="49">
        <f t="shared" si="43"/>
        <v>0.61551876132622541</v>
      </c>
      <c r="BZ56" s="49">
        <f t="shared" si="93"/>
        <v>92.810775792885906</v>
      </c>
    </row>
    <row r="57" spans="17:78" x14ac:dyDescent="0.35">
      <c r="Q57" s="49">
        <v>50</v>
      </c>
      <c r="R57" s="218">
        <f t="shared" si="57"/>
        <v>8.1083333333333325</v>
      </c>
      <c r="S57" s="214">
        <f t="shared" si="1"/>
        <v>12</v>
      </c>
      <c r="T57" s="219">
        <f t="shared" si="58"/>
        <v>0.67569444444444438</v>
      </c>
      <c r="U57" s="218">
        <f t="shared" si="59"/>
        <v>1</v>
      </c>
      <c r="V57" s="214">
        <f t="shared" si="60"/>
        <v>0.47220669909126306</v>
      </c>
      <c r="W57" s="214">
        <f t="shared" si="61"/>
        <v>0.50644168477537965</v>
      </c>
      <c r="X57" s="214">
        <f t="shared" si="23"/>
        <v>2.1351616133357343E-2</v>
      </c>
      <c r="Y57" s="218">
        <f t="shared" si="76"/>
        <v>1.4309293911856455</v>
      </c>
      <c r="Z57" s="214">
        <f t="shared" si="62"/>
        <v>2.8618587823712915</v>
      </c>
      <c r="AA57" s="214">
        <f t="shared" si="25"/>
        <v>2.8618587823712911</v>
      </c>
      <c r="AB57" s="219">
        <f t="shared" si="63"/>
        <v>1.1354124302158002</v>
      </c>
      <c r="AC57" s="218">
        <v>0</v>
      </c>
      <c r="AD57" s="214">
        <f t="shared" si="64"/>
        <v>3.8674841600656477E-2</v>
      </c>
      <c r="AE57" s="219">
        <f t="shared" si="27"/>
        <v>3.8674841600656477E-2</v>
      </c>
      <c r="AF57" s="58">
        <f t="shared" si="65"/>
        <v>0.16216666666666665</v>
      </c>
      <c r="AG57" s="61">
        <f t="shared" si="66"/>
        <v>0.16216666666666665</v>
      </c>
      <c r="AH57" s="58">
        <f t="shared" si="67"/>
        <v>1.1215704064190379E-2</v>
      </c>
      <c r="AI57" s="49">
        <f t="shared" si="68"/>
        <v>3.7406111202113755E-2</v>
      </c>
      <c r="AJ57" s="61">
        <f t="shared" si="45"/>
        <v>4.862181526630413E-2</v>
      </c>
      <c r="AK57" s="218">
        <f t="shared" si="69"/>
        <v>8</v>
      </c>
      <c r="AL57" s="214">
        <f t="shared" si="13"/>
        <v>48</v>
      </c>
      <c r="AM57" s="219">
        <f t="shared" si="28"/>
        <v>0.16666666666666666</v>
      </c>
      <c r="AN57" s="218">
        <f t="shared" si="77"/>
        <v>1</v>
      </c>
      <c r="AO57" s="214">
        <f t="shared" si="78"/>
        <v>0.50644168477537965</v>
      </c>
      <c r="AP57" s="214">
        <f t="shared" si="79"/>
        <v>0.32909350015409528</v>
      </c>
      <c r="AQ57" s="214">
        <f t="shared" si="80"/>
        <v>0.66709994927069738</v>
      </c>
      <c r="AR57" s="214">
        <f t="shared" si="46"/>
        <v>0.66264347478944396</v>
      </c>
      <c r="AS57" s="219">
        <f t="shared" si="47"/>
        <v>0.27226011323256133</v>
      </c>
      <c r="AT57" s="218"/>
      <c r="AU57" s="214">
        <f t="shared" si="81"/>
        <v>3.3333333333333332E-4</v>
      </c>
      <c r="AV57" s="219">
        <f t="shared" si="48"/>
        <v>3.3333333333333332E-4</v>
      </c>
      <c r="AW57" s="218">
        <f t="shared" si="82"/>
        <v>0.109428</v>
      </c>
      <c r="AX57" s="214">
        <f t="shared" si="83"/>
        <v>4.9999999999999996E-2</v>
      </c>
      <c r="AY57" s="219">
        <f t="shared" si="49"/>
        <v>0.15942799999999999</v>
      </c>
      <c r="AZ57" s="218">
        <f t="shared" si="70"/>
        <v>0.10833333333333332</v>
      </c>
      <c r="BA57" s="214">
        <f t="shared" si="71"/>
        <v>6.5</v>
      </c>
      <c r="BB57" s="214">
        <f t="shared" si="50"/>
        <v>1.6666666666666666E-2</v>
      </c>
      <c r="BC57" s="61">
        <f t="shared" si="84"/>
        <v>1.6666666666666666E-2</v>
      </c>
      <c r="BD57" s="58">
        <v>0</v>
      </c>
      <c r="BE57" s="49">
        <f t="shared" si="85"/>
        <v>3.3333333333333333E-6</v>
      </c>
      <c r="BF57" s="61">
        <f t="shared" si="52"/>
        <v>3.3333333333333333E-6</v>
      </c>
      <c r="BG57" s="58">
        <f t="shared" si="86"/>
        <v>1.4700399999999999E-2</v>
      </c>
      <c r="BH57" s="49">
        <f t="shared" si="87"/>
        <v>5.0000000000000001E-3</v>
      </c>
      <c r="BI57" s="61">
        <f t="shared" si="88"/>
        <v>1.97004E-2</v>
      </c>
      <c r="BK57" s="218">
        <f t="shared" si="72"/>
        <v>0</v>
      </c>
      <c r="BL57" s="214">
        <f t="shared" si="18"/>
        <v>0</v>
      </c>
      <c r="BM57" s="214">
        <f t="shared" si="73"/>
        <v>0</v>
      </c>
      <c r="BN57" s="61">
        <f t="shared" si="89"/>
        <v>0</v>
      </c>
      <c r="BO57" s="58">
        <v>0</v>
      </c>
      <c r="BP57" s="49">
        <f t="shared" si="90"/>
        <v>0</v>
      </c>
      <c r="BQ57" s="61">
        <f t="shared" si="53"/>
        <v>0</v>
      </c>
      <c r="BR57" s="58">
        <f t="shared" si="91"/>
        <v>0</v>
      </c>
      <c r="BS57" s="49">
        <f t="shared" si="92"/>
        <v>0</v>
      </c>
      <c r="BT57" s="61">
        <f t="shared" si="55"/>
        <v>0</v>
      </c>
      <c r="BU57" s="58">
        <f t="shared" si="74"/>
        <v>2.578322773377099E-3</v>
      </c>
      <c r="BV57" s="49">
        <f t="shared" si="21"/>
        <v>2.59875E-2</v>
      </c>
      <c r="BW57" s="61">
        <f t="shared" si="75"/>
        <v>5.4000000000000003E-3</v>
      </c>
      <c r="BX57" s="49">
        <f t="shared" si="56"/>
        <v>0.20084484160065647</v>
      </c>
      <c r="BY57" s="49">
        <f t="shared" si="43"/>
        <v>0.62506087964033774</v>
      </c>
      <c r="BZ57" s="49">
        <f t="shared" si="93"/>
        <v>92.842864247307261</v>
      </c>
    </row>
    <row r="58" spans="17:78" x14ac:dyDescent="0.35">
      <c r="Q58" s="49">
        <v>51</v>
      </c>
      <c r="R58" s="218">
        <f t="shared" si="57"/>
        <v>8.2705000000000002</v>
      </c>
      <c r="S58" s="214">
        <f t="shared" si="1"/>
        <v>12</v>
      </c>
      <c r="T58" s="219">
        <f t="shared" si="58"/>
        <v>0.68920833333333331</v>
      </c>
      <c r="U58" s="218">
        <f t="shared" si="59"/>
        <v>1</v>
      </c>
      <c r="V58" s="214">
        <f t="shared" si="60"/>
        <v>0.47690538893998674</v>
      </c>
      <c r="W58" s="214">
        <f t="shared" si="61"/>
        <v>0.5114810296381358</v>
      </c>
      <c r="X58" s="214">
        <f t="shared" si="23"/>
        <v>1.1613581421877406E-2</v>
      </c>
      <c r="Y58" s="218">
        <f t="shared" si="76"/>
        <v>1.445167845272687</v>
      </c>
      <c r="Z58" s="214">
        <f t="shared" si="62"/>
        <v>2.8903356905453741</v>
      </c>
      <c r="AA58" s="214">
        <f t="shared" si="25"/>
        <v>2.8903356905453741</v>
      </c>
      <c r="AB58" s="219">
        <f t="shared" si="63"/>
        <v>1.1524013895787719</v>
      </c>
      <c r="AC58" s="218">
        <v>0</v>
      </c>
      <c r="AD58" s="214">
        <f t="shared" si="64"/>
        <v>3.9840868881092527E-2</v>
      </c>
      <c r="AE58" s="219">
        <f t="shared" si="27"/>
        <v>3.9840868881092527E-2</v>
      </c>
      <c r="AF58" s="58">
        <f t="shared" si="65"/>
        <v>0.16541</v>
      </c>
      <c r="AG58" s="61">
        <f t="shared" si="66"/>
        <v>0.16541</v>
      </c>
      <c r="AH58" s="58">
        <f t="shared" si="67"/>
        <v>1.1553851975516833E-2</v>
      </c>
      <c r="AI58" s="49">
        <f t="shared" si="68"/>
        <v>3.7778320481066892E-2</v>
      </c>
      <c r="AJ58" s="61">
        <f t="shared" si="45"/>
        <v>4.9332172456583723E-2</v>
      </c>
      <c r="AK58" s="218">
        <f t="shared" si="69"/>
        <v>8.16</v>
      </c>
      <c r="AL58" s="214">
        <f t="shared" si="13"/>
        <v>48</v>
      </c>
      <c r="AM58" s="219">
        <f t="shared" si="28"/>
        <v>0.17</v>
      </c>
      <c r="AN58" s="218">
        <f t="shared" si="77"/>
        <v>1</v>
      </c>
      <c r="AO58" s="214">
        <f t="shared" si="78"/>
        <v>0.5114810296381358</v>
      </c>
      <c r="AP58" s="214">
        <f t="shared" si="79"/>
        <v>0.33236814299891465</v>
      </c>
      <c r="AQ58" s="214">
        <f t="shared" si="80"/>
        <v>0.67373792320405002</v>
      </c>
      <c r="AR58" s="214">
        <f t="shared" si="46"/>
        <v>0.66923710460093966</v>
      </c>
      <c r="AS58" s="219">
        <f t="shared" si="47"/>
        <v>0.27633388931319397</v>
      </c>
      <c r="AT58" s="218"/>
      <c r="AU58" s="214">
        <f t="shared" si="81"/>
        <v>3.4680000000000008E-4</v>
      </c>
      <c r="AV58" s="219">
        <f t="shared" si="48"/>
        <v>3.4680000000000008E-4</v>
      </c>
      <c r="AW58" s="218">
        <f t="shared" si="82"/>
        <v>0.109428</v>
      </c>
      <c r="AX58" s="214">
        <f t="shared" si="83"/>
        <v>5.1000000000000004E-2</v>
      </c>
      <c r="AY58" s="219">
        <f t="shared" si="49"/>
        <v>0.16042800000000002</v>
      </c>
      <c r="AZ58" s="218">
        <f t="shared" si="70"/>
        <v>0.1105</v>
      </c>
      <c r="BA58" s="214">
        <f t="shared" si="71"/>
        <v>6.5</v>
      </c>
      <c r="BB58" s="214">
        <f t="shared" si="50"/>
        <v>1.7000000000000001E-2</v>
      </c>
      <c r="BC58" s="61">
        <f t="shared" si="84"/>
        <v>1.7000000000000001E-2</v>
      </c>
      <c r="BD58" s="58">
        <v>0</v>
      </c>
      <c r="BE58" s="49">
        <f t="shared" si="85"/>
        <v>3.4680000000000005E-6</v>
      </c>
      <c r="BF58" s="61">
        <f t="shared" si="52"/>
        <v>3.4680000000000005E-6</v>
      </c>
      <c r="BG58" s="58">
        <f t="shared" si="86"/>
        <v>1.4700399999999999E-2</v>
      </c>
      <c r="BH58" s="49">
        <f t="shared" si="87"/>
        <v>5.1000000000000004E-3</v>
      </c>
      <c r="BI58" s="61">
        <f t="shared" si="88"/>
        <v>1.9800399999999999E-2</v>
      </c>
      <c r="BK58" s="218">
        <f t="shared" si="72"/>
        <v>0</v>
      </c>
      <c r="BL58" s="214">
        <f t="shared" si="18"/>
        <v>0</v>
      </c>
      <c r="BM58" s="214">
        <f t="shared" si="73"/>
        <v>0</v>
      </c>
      <c r="BN58" s="61">
        <f t="shared" si="89"/>
        <v>0</v>
      </c>
      <c r="BO58" s="58">
        <v>0</v>
      </c>
      <c r="BP58" s="49">
        <f t="shared" si="90"/>
        <v>0</v>
      </c>
      <c r="BQ58" s="61">
        <f t="shared" si="53"/>
        <v>0</v>
      </c>
      <c r="BR58" s="58">
        <f t="shared" si="91"/>
        <v>0</v>
      </c>
      <c r="BS58" s="49">
        <f t="shared" si="92"/>
        <v>0</v>
      </c>
      <c r="BT58" s="61">
        <f t="shared" si="55"/>
        <v>0</v>
      </c>
      <c r="BU58" s="58">
        <f t="shared" si="74"/>
        <v>2.6560579254061687E-3</v>
      </c>
      <c r="BV58" s="49">
        <f t="shared" si="21"/>
        <v>2.59875E-2</v>
      </c>
      <c r="BW58" s="61">
        <f t="shared" si="75"/>
        <v>5.4000000000000003E-3</v>
      </c>
      <c r="BX58" s="49">
        <f t="shared" si="56"/>
        <v>0.20525433688109251</v>
      </c>
      <c r="BY58" s="49">
        <f t="shared" si="43"/>
        <v>0.63461526726308248</v>
      </c>
      <c r="BZ58" s="49">
        <f t="shared" si="93"/>
        <v>92.873587278583017</v>
      </c>
    </row>
    <row r="59" spans="17:78" x14ac:dyDescent="0.35">
      <c r="Q59" s="49">
        <v>52</v>
      </c>
      <c r="R59" s="218">
        <f t="shared" si="57"/>
        <v>8.4326666666666661</v>
      </c>
      <c r="S59" s="214">
        <f t="shared" si="1"/>
        <v>12</v>
      </c>
      <c r="T59" s="219">
        <f t="shared" si="58"/>
        <v>0.70272222222222214</v>
      </c>
      <c r="U59" s="218">
        <f t="shared" si="59"/>
        <v>1</v>
      </c>
      <c r="V59" s="214">
        <f t="shared" si="60"/>
        <v>0.48155823462311736</v>
      </c>
      <c r="W59" s="214">
        <f t="shared" si="61"/>
        <v>0.51647120663329338</v>
      </c>
      <c r="X59" s="214">
        <f t="shared" si="23"/>
        <v>1.9705587435893124E-3</v>
      </c>
      <c r="Y59" s="218">
        <f t="shared" si="76"/>
        <v>1.4592673776458098</v>
      </c>
      <c r="Z59" s="214">
        <f t="shared" si="62"/>
        <v>2.9185347552916205</v>
      </c>
      <c r="AA59" s="214">
        <f t="shared" si="25"/>
        <v>2.9185347552916201</v>
      </c>
      <c r="AB59" s="219">
        <f t="shared" si="63"/>
        <v>1.1693072675367289</v>
      </c>
      <c r="AC59" s="218">
        <v>0</v>
      </c>
      <c r="AD59" s="214">
        <f t="shared" si="64"/>
        <v>4.1018384577426334E-2</v>
      </c>
      <c r="AE59" s="219">
        <f t="shared" si="27"/>
        <v>4.1018384577426334E-2</v>
      </c>
      <c r="AF59" s="58">
        <f t="shared" si="65"/>
        <v>0.16865333333333332</v>
      </c>
      <c r="AG59" s="61">
        <f t="shared" si="66"/>
        <v>0.16865333333333332</v>
      </c>
      <c r="AH59" s="58">
        <f t="shared" si="67"/>
        <v>1.1895331527453637E-2</v>
      </c>
      <c r="AI59" s="49">
        <f t="shared" si="68"/>
        <v>3.8146898189439928E-2</v>
      </c>
      <c r="AJ59" s="61">
        <f t="shared" si="45"/>
        <v>5.0042229716893566E-2</v>
      </c>
      <c r="AK59" s="218">
        <f t="shared" si="69"/>
        <v>8.32</v>
      </c>
      <c r="AL59" s="214">
        <f t="shared" si="13"/>
        <v>48</v>
      </c>
      <c r="AM59" s="219">
        <f t="shared" si="28"/>
        <v>0.17333333333333334</v>
      </c>
      <c r="AN59" s="218">
        <f t="shared" si="77"/>
        <v>1</v>
      </c>
      <c r="AO59" s="214">
        <f t="shared" si="78"/>
        <v>0.51647120663329338</v>
      </c>
      <c r="AP59" s="214">
        <f t="shared" si="79"/>
        <v>0.33561083581645634</v>
      </c>
      <c r="AQ59" s="214">
        <f t="shared" si="80"/>
        <v>0.68031113176960856</v>
      </c>
      <c r="AR59" s="214">
        <f t="shared" si="46"/>
        <v>0.67576640170126057</v>
      </c>
      <c r="AS59" s="219">
        <f t="shared" si="47"/>
        <v>0.28038774333543182</v>
      </c>
      <c r="AT59" s="218"/>
      <c r="AU59" s="214">
        <f t="shared" si="81"/>
        <v>3.6053333333333339E-4</v>
      </c>
      <c r="AV59" s="219">
        <f t="shared" si="48"/>
        <v>3.6053333333333339E-4</v>
      </c>
      <c r="AW59" s="218">
        <f t="shared" si="82"/>
        <v>0.109428</v>
      </c>
      <c r="AX59" s="214">
        <f t="shared" si="83"/>
        <v>5.1999999999999998E-2</v>
      </c>
      <c r="AY59" s="219">
        <f t="shared" si="49"/>
        <v>0.16142799999999999</v>
      </c>
      <c r="AZ59" s="218">
        <f t="shared" si="70"/>
        <v>0.11266666666666666</v>
      </c>
      <c r="BA59" s="214">
        <f t="shared" si="71"/>
        <v>6.5</v>
      </c>
      <c r="BB59" s="214">
        <f t="shared" si="50"/>
        <v>1.7333333333333333E-2</v>
      </c>
      <c r="BC59" s="61">
        <f t="shared" si="84"/>
        <v>1.7333333333333333E-2</v>
      </c>
      <c r="BD59" s="58">
        <v>0</v>
      </c>
      <c r="BE59" s="49">
        <f t="shared" si="85"/>
        <v>3.6053333333333334E-6</v>
      </c>
      <c r="BF59" s="61">
        <f t="shared" si="52"/>
        <v>3.6053333333333334E-6</v>
      </c>
      <c r="BG59" s="58">
        <f t="shared" si="86"/>
        <v>1.4700399999999999E-2</v>
      </c>
      <c r="BH59" s="49">
        <f t="shared" si="87"/>
        <v>5.1999999999999998E-3</v>
      </c>
      <c r="BI59" s="61">
        <f t="shared" si="88"/>
        <v>1.9900399999999999E-2</v>
      </c>
      <c r="BK59" s="218">
        <f t="shared" si="72"/>
        <v>0</v>
      </c>
      <c r="BL59" s="214">
        <f t="shared" si="18"/>
        <v>0</v>
      </c>
      <c r="BM59" s="214">
        <f t="shared" si="73"/>
        <v>0</v>
      </c>
      <c r="BN59" s="61">
        <f t="shared" si="89"/>
        <v>0</v>
      </c>
      <c r="BO59" s="58">
        <v>0</v>
      </c>
      <c r="BP59" s="49">
        <f t="shared" si="90"/>
        <v>0</v>
      </c>
      <c r="BQ59" s="61">
        <f t="shared" si="53"/>
        <v>0</v>
      </c>
      <c r="BR59" s="58">
        <f t="shared" si="91"/>
        <v>0</v>
      </c>
      <c r="BS59" s="49">
        <f t="shared" si="92"/>
        <v>0</v>
      </c>
      <c r="BT59" s="61">
        <f t="shared" si="55"/>
        <v>0</v>
      </c>
      <c r="BU59" s="58">
        <f t="shared" si="74"/>
        <v>2.7345589718284226E-3</v>
      </c>
      <c r="BV59" s="49">
        <f t="shared" si="21"/>
        <v>2.59875E-2</v>
      </c>
      <c r="BW59" s="61">
        <f t="shared" si="75"/>
        <v>5.4000000000000003E-3</v>
      </c>
      <c r="BX59" s="49">
        <f t="shared" si="56"/>
        <v>0.20967532324409299</v>
      </c>
      <c r="BY59" s="49">
        <f t="shared" si="43"/>
        <v>0.64418187859948162</v>
      </c>
      <c r="BZ59" s="49">
        <f t="shared" si="93"/>
        <v>92.903022724385536</v>
      </c>
    </row>
    <row r="60" spans="17:78" x14ac:dyDescent="0.35">
      <c r="Q60" s="49">
        <v>53</v>
      </c>
      <c r="R60" s="218">
        <f t="shared" si="57"/>
        <v>8.5948333333333338</v>
      </c>
      <c r="S60" s="214">
        <f t="shared" si="1"/>
        <v>12</v>
      </c>
      <c r="T60" s="219">
        <f t="shared" si="58"/>
        <v>0.71623611111111118</v>
      </c>
      <c r="U60" s="218">
        <f t="shared" si="59"/>
        <v>2</v>
      </c>
      <c r="V60" s="214">
        <f t="shared" si="60"/>
        <v>0.4825090470446321</v>
      </c>
      <c r="W60" s="214">
        <f t="shared" si="61"/>
        <v>0.51749095295536796</v>
      </c>
      <c r="X60" s="214">
        <f t="shared" si="23"/>
        <v>0</v>
      </c>
      <c r="Y60" s="218">
        <f t="shared" si="76"/>
        <v>1.4843993402777778</v>
      </c>
      <c r="Z60" s="214">
        <f t="shared" si="62"/>
        <v>2.924297254815952</v>
      </c>
      <c r="AA60" s="214">
        <f t="shared" si="25"/>
        <v>2.9465479676857536</v>
      </c>
      <c r="AB60" s="219">
        <f t="shared" si="63"/>
        <v>1.1861825326928714</v>
      </c>
      <c r="AC60" s="218">
        <v>0</v>
      </c>
      <c r="AD60" s="214">
        <f t="shared" si="64"/>
        <v>4.2210870025970244E-2</v>
      </c>
      <c r="AE60" s="219">
        <f t="shared" si="27"/>
        <v>4.2210870025970244E-2</v>
      </c>
      <c r="AF60" s="58">
        <f t="shared" si="65"/>
        <v>0.17189666666666667</v>
      </c>
      <c r="AG60" s="61">
        <f t="shared" si="66"/>
        <v>0.17189666666666667</v>
      </c>
      <c r="AH60" s="58">
        <f t="shared" si="67"/>
        <v>1.2241152307531372E-2</v>
      </c>
      <c r="AI60" s="49">
        <f t="shared" si="68"/>
        <v>3.8803876091165618E-2</v>
      </c>
      <c r="AJ60" s="61">
        <f t="shared" si="45"/>
        <v>5.1045028398696991E-2</v>
      </c>
      <c r="AK60" s="218">
        <f t="shared" si="69"/>
        <v>8.48</v>
      </c>
      <c r="AL60" s="214">
        <f t="shared" si="13"/>
        <v>48</v>
      </c>
      <c r="AM60" s="219">
        <f t="shared" si="28"/>
        <v>0.17666666666666667</v>
      </c>
      <c r="AN60" s="218">
        <f t="shared" si="77"/>
        <v>2</v>
      </c>
      <c r="AO60" s="214">
        <f t="shared" si="78"/>
        <v>0.51749095295536796</v>
      </c>
      <c r="AP60" s="214">
        <f t="shared" si="79"/>
        <v>0.34139083139083137</v>
      </c>
      <c r="AQ60" s="214">
        <f t="shared" si="80"/>
        <v>0.6816543717519703</v>
      </c>
      <c r="AR60" s="214">
        <f t="shared" si="46"/>
        <v>0.68221801726681652</v>
      </c>
      <c r="AS60" s="219">
        <f t="shared" si="47"/>
        <v>0.28346106758300188</v>
      </c>
      <c r="AT60" s="218"/>
      <c r="AU60" s="214">
        <f t="shared" si="81"/>
        <v>3.7453333333333335E-4</v>
      </c>
      <c r="AV60" s="219">
        <f t="shared" si="48"/>
        <v>3.7453333333333335E-4</v>
      </c>
      <c r="AW60" s="218">
        <f t="shared" si="82"/>
        <v>0.109428</v>
      </c>
      <c r="AX60" s="214">
        <f t="shared" si="83"/>
        <v>5.2999999999999999E-2</v>
      </c>
      <c r="AY60" s="219">
        <f t="shared" si="49"/>
        <v>0.16242799999999999</v>
      </c>
      <c r="AZ60" s="218">
        <f t="shared" si="70"/>
        <v>0.11483333333333333</v>
      </c>
      <c r="BA60" s="214">
        <f t="shared" si="71"/>
        <v>6.5</v>
      </c>
      <c r="BB60" s="214">
        <f t="shared" si="50"/>
        <v>1.7666666666666667E-2</v>
      </c>
      <c r="BC60" s="61">
        <f t="shared" si="84"/>
        <v>1.7666666666666667E-2</v>
      </c>
      <c r="BD60" s="58">
        <v>0</v>
      </c>
      <c r="BE60" s="49">
        <f t="shared" si="85"/>
        <v>3.7453333333333338E-6</v>
      </c>
      <c r="BF60" s="61">
        <f t="shared" si="52"/>
        <v>3.7453333333333338E-6</v>
      </c>
      <c r="BG60" s="58">
        <f t="shared" si="86"/>
        <v>1.4700399999999999E-2</v>
      </c>
      <c r="BH60" s="49">
        <f t="shared" si="87"/>
        <v>5.3E-3</v>
      </c>
      <c r="BI60" s="61">
        <f t="shared" si="88"/>
        <v>2.0000399999999998E-2</v>
      </c>
      <c r="BK60" s="218">
        <f t="shared" si="72"/>
        <v>0</v>
      </c>
      <c r="BL60" s="214">
        <f t="shared" si="18"/>
        <v>0</v>
      </c>
      <c r="BM60" s="214">
        <f t="shared" si="73"/>
        <v>0</v>
      </c>
      <c r="BN60" s="61">
        <f t="shared" si="89"/>
        <v>0</v>
      </c>
      <c r="BO60" s="58">
        <v>0</v>
      </c>
      <c r="BP60" s="49">
        <f t="shared" si="90"/>
        <v>0</v>
      </c>
      <c r="BQ60" s="61">
        <f t="shared" si="53"/>
        <v>0</v>
      </c>
      <c r="BR60" s="58">
        <f t="shared" si="91"/>
        <v>0</v>
      </c>
      <c r="BS60" s="49">
        <f t="shared" si="92"/>
        <v>0</v>
      </c>
      <c r="BT60" s="61">
        <f t="shared" si="55"/>
        <v>0</v>
      </c>
      <c r="BU60" s="58">
        <f t="shared" si="74"/>
        <v>2.8140580017313498E-3</v>
      </c>
      <c r="BV60" s="49">
        <f t="shared" si="21"/>
        <v>2.59875E-2</v>
      </c>
      <c r="BW60" s="61">
        <f t="shared" si="75"/>
        <v>5.4000000000000003E-3</v>
      </c>
      <c r="BX60" s="49">
        <f t="shared" si="56"/>
        <v>0.21411128202597024</v>
      </c>
      <c r="BY60" s="49">
        <f t="shared" si="43"/>
        <v>0.65405746842639856</v>
      </c>
      <c r="BZ60" s="49">
        <f t="shared" si="93"/>
        <v>92.928260453654033</v>
      </c>
    </row>
    <row r="61" spans="17:78" x14ac:dyDescent="0.35">
      <c r="Q61" s="49">
        <v>54</v>
      </c>
      <c r="R61" s="218">
        <f t="shared" si="57"/>
        <v>8.7570000000000014</v>
      </c>
      <c r="S61" s="214">
        <f t="shared" si="1"/>
        <v>12</v>
      </c>
      <c r="T61" s="219">
        <f t="shared" si="58"/>
        <v>0.72975000000000012</v>
      </c>
      <c r="U61" s="218">
        <f t="shared" si="59"/>
        <v>2</v>
      </c>
      <c r="V61" s="214">
        <f t="shared" si="60"/>
        <v>0.4825090470446321</v>
      </c>
      <c r="W61" s="214">
        <f t="shared" si="61"/>
        <v>0.51749095295536796</v>
      </c>
      <c r="X61" s="214">
        <f t="shared" si="23"/>
        <v>0</v>
      </c>
      <c r="Y61" s="218">
        <f t="shared" si="76"/>
        <v>1.5124068750000002</v>
      </c>
      <c r="Z61" s="214">
        <f t="shared" si="62"/>
        <v>2.924297254815952</v>
      </c>
      <c r="AA61" s="214">
        <f t="shared" si="25"/>
        <v>2.9745555024079762</v>
      </c>
      <c r="AB61" s="219">
        <f t="shared" si="63"/>
        <v>1.2031323730498116</v>
      </c>
      <c r="AC61" s="218">
        <v>0</v>
      </c>
      <c r="AD61" s="214">
        <f t="shared" si="64"/>
        <v>4.3425825212414129E-2</v>
      </c>
      <c r="AE61" s="219">
        <f t="shared" si="27"/>
        <v>4.3425825212414129E-2</v>
      </c>
      <c r="AF61" s="58">
        <f t="shared" si="65"/>
        <v>0.17514000000000005</v>
      </c>
      <c r="AG61" s="61">
        <f t="shared" si="66"/>
        <v>0.17514000000000005</v>
      </c>
      <c r="AH61" s="58">
        <f t="shared" si="67"/>
        <v>1.2593489311600096E-2</v>
      </c>
      <c r="AI61" s="49">
        <f t="shared" si="68"/>
        <v>3.953602469665931E-2</v>
      </c>
      <c r="AJ61" s="61">
        <f t="shared" si="45"/>
        <v>5.2129514008259409E-2</v>
      </c>
      <c r="AK61" s="218">
        <f t="shared" si="69"/>
        <v>8.64</v>
      </c>
      <c r="AL61" s="214">
        <f t="shared" si="13"/>
        <v>48</v>
      </c>
      <c r="AM61" s="219">
        <f t="shared" si="28"/>
        <v>0.18000000000000002</v>
      </c>
      <c r="AN61" s="218">
        <f t="shared" si="77"/>
        <v>2</v>
      </c>
      <c r="AO61" s="214">
        <f t="shared" si="78"/>
        <v>0.51749095295536796</v>
      </c>
      <c r="AP61" s="214">
        <f t="shared" si="79"/>
        <v>0.34783216783216786</v>
      </c>
      <c r="AQ61" s="214">
        <f t="shared" si="80"/>
        <v>0.6816543717519703</v>
      </c>
      <c r="AR61" s="214">
        <f t="shared" si="46"/>
        <v>0.68865935370815301</v>
      </c>
      <c r="AS61" s="219">
        <f t="shared" si="47"/>
        <v>0.28748493322730001</v>
      </c>
      <c r="AT61" s="218"/>
      <c r="AU61" s="214">
        <f t="shared" si="81"/>
        <v>3.8880000000000007E-4</v>
      </c>
      <c r="AV61" s="219">
        <f t="shared" si="48"/>
        <v>3.8880000000000007E-4</v>
      </c>
      <c r="AW61" s="218">
        <f t="shared" si="82"/>
        <v>0.109428</v>
      </c>
      <c r="AX61" s="214">
        <f t="shared" si="83"/>
        <v>5.4000000000000006E-2</v>
      </c>
      <c r="AY61" s="219">
        <f t="shared" si="49"/>
        <v>0.16342800000000002</v>
      </c>
      <c r="AZ61" s="218">
        <f t="shared" si="70"/>
        <v>0.11699999999999999</v>
      </c>
      <c r="BA61" s="214">
        <f t="shared" si="71"/>
        <v>6.5</v>
      </c>
      <c r="BB61" s="214">
        <f t="shared" si="50"/>
        <v>1.7999999999999999E-2</v>
      </c>
      <c r="BC61" s="61">
        <f t="shared" si="84"/>
        <v>1.7999999999999999E-2</v>
      </c>
      <c r="BD61" s="58">
        <v>0</v>
      </c>
      <c r="BE61" s="49">
        <f t="shared" si="85"/>
        <v>3.8879999999999999E-6</v>
      </c>
      <c r="BF61" s="61">
        <f t="shared" si="52"/>
        <v>3.8879999999999999E-6</v>
      </c>
      <c r="BG61" s="58">
        <f t="shared" si="86"/>
        <v>1.4700399999999999E-2</v>
      </c>
      <c r="BH61" s="49">
        <f t="shared" si="87"/>
        <v>5.3999999999999994E-3</v>
      </c>
      <c r="BI61" s="61">
        <f t="shared" si="88"/>
        <v>2.0100399999999997E-2</v>
      </c>
      <c r="BK61" s="218">
        <f t="shared" si="72"/>
        <v>0</v>
      </c>
      <c r="BL61" s="214">
        <f t="shared" si="18"/>
        <v>0</v>
      </c>
      <c r="BM61" s="214">
        <f t="shared" si="73"/>
        <v>0</v>
      </c>
      <c r="BN61" s="61">
        <f t="shared" si="89"/>
        <v>0</v>
      </c>
      <c r="BO61" s="58">
        <v>0</v>
      </c>
      <c r="BP61" s="49">
        <f t="shared" si="90"/>
        <v>0</v>
      </c>
      <c r="BQ61" s="61">
        <f t="shared" si="53"/>
        <v>0</v>
      </c>
      <c r="BR61" s="58">
        <f t="shared" si="91"/>
        <v>0</v>
      </c>
      <c r="BS61" s="49">
        <f t="shared" si="92"/>
        <v>0</v>
      </c>
      <c r="BT61" s="61">
        <f t="shared" si="55"/>
        <v>0</v>
      </c>
      <c r="BU61" s="58">
        <f t="shared" si="74"/>
        <v>2.8950550141609421E-3</v>
      </c>
      <c r="BV61" s="49">
        <f t="shared" si="21"/>
        <v>2.59875E-2</v>
      </c>
      <c r="BW61" s="61">
        <f t="shared" si="75"/>
        <v>5.4000000000000003E-3</v>
      </c>
      <c r="BX61" s="49">
        <f t="shared" si="56"/>
        <v>0.21856971321241417</v>
      </c>
      <c r="BY61" s="49">
        <f t="shared" si="43"/>
        <v>0.6640389822348346</v>
      </c>
      <c r="BZ61" s="49">
        <f t="shared" si="93"/>
        <v>92.951531317437414</v>
      </c>
    </row>
    <row r="62" spans="17:78" x14ac:dyDescent="0.35">
      <c r="Q62" s="49">
        <v>55</v>
      </c>
      <c r="R62" s="218">
        <f t="shared" si="57"/>
        <v>8.9191666666666674</v>
      </c>
      <c r="S62" s="214">
        <f t="shared" si="1"/>
        <v>12</v>
      </c>
      <c r="T62" s="219">
        <f t="shared" si="58"/>
        <v>0.74326388888888895</v>
      </c>
      <c r="U62" s="218">
        <f t="shared" si="59"/>
        <v>2</v>
      </c>
      <c r="V62" s="214">
        <f t="shared" si="60"/>
        <v>0.4825090470446321</v>
      </c>
      <c r="W62" s="214">
        <f t="shared" si="61"/>
        <v>0.51749095295536796</v>
      </c>
      <c r="X62" s="214">
        <f t="shared" si="23"/>
        <v>0</v>
      </c>
      <c r="Y62" s="218">
        <f t="shared" si="76"/>
        <v>1.5404144097222223</v>
      </c>
      <c r="Z62" s="214">
        <f t="shared" si="62"/>
        <v>2.924297254815952</v>
      </c>
      <c r="AA62" s="214">
        <f t="shared" si="25"/>
        <v>3.0025630371301983</v>
      </c>
      <c r="AB62" s="219">
        <f t="shared" si="63"/>
        <v>1.220156954952863</v>
      </c>
      <c r="AC62" s="218">
        <v>0</v>
      </c>
      <c r="AD62" s="214">
        <f t="shared" si="64"/>
        <v>4.4663489841595287E-2</v>
      </c>
      <c r="AE62" s="219">
        <f t="shared" si="27"/>
        <v>4.4663489841595287E-2</v>
      </c>
      <c r="AF62" s="58">
        <f t="shared" si="65"/>
        <v>0.17838333333333334</v>
      </c>
      <c r="AG62" s="61">
        <f t="shared" si="66"/>
        <v>0.17838333333333334</v>
      </c>
      <c r="AH62" s="58">
        <f t="shared" si="67"/>
        <v>1.2952412054062633E-2</v>
      </c>
      <c r="AI62" s="49">
        <f t="shared" si="68"/>
        <v>4.0268173302153001E-2</v>
      </c>
      <c r="AJ62" s="61">
        <f t="shared" si="45"/>
        <v>5.3220585356215634E-2</v>
      </c>
      <c r="AK62" s="218">
        <f t="shared" si="69"/>
        <v>8.8000000000000007</v>
      </c>
      <c r="AL62" s="214">
        <f t="shared" si="13"/>
        <v>48</v>
      </c>
      <c r="AM62" s="219">
        <f t="shared" si="28"/>
        <v>0.18333333333333335</v>
      </c>
      <c r="AN62" s="218">
        <f t="shared" si="77"/>
        <v>2</v>
      </c>
      <c r="AO62" s="214">
        <f t="shared" si="78"/>
        <v>0.51749095295536796</v>
      </c>
      <c r="AP62" s="214">
        <f t="shared" si="79"/>
        <v>0.35427350427350429</v>
      </c>
      <c r="AQ62" s="214">
        <f t="shared" si="80"/>
        <v>0.6816543717519703</v>
      </c>
      <c r="AR62" s="214">
        <f t="shared" si="46"/>
        <v>0.69510069014948939</v>
      </c>
      <c r="AS62" s="219">
        <f t="shared" si="47"/>
        <v>0.29152690968940997</v>
      </c>
      <c r="AT62" s="218"/>
      <c r="AU62" s="214">
        <f t="shared" si="81"/>
        <v>4.0333333333333345E-4</v>
      </c>
      <c r="AV62" s="219">
        <f t="shared" si="48"/>
        <v>4.0333333333333345E-4</v>
      </c>
      <c r="AW62" s="218">
        <f t="shared" si="82"/>
        <v>0.109428</v>
      </c>
      <c r="AX62" s="214">
        <f t="shared" si="83"/>
        <v>5.5E-2</v>
      </c>
      <c r="AY62" s="219">
        <f t="shared" si="49"/>
        <v>0.16442799999999999</v>
      </c>
      <c r="AZ62" s="218">
        <f t="shared" si="70"/>
        <v>0.11916666666666666</v>
      </c>
      <c r="BA62" s="214">
        <f t="shared" si="71"/>
        <v>6.5</v>
      </c>
      <c r="BB62" s="214">
        <f t="shared" si="50"/>
        <v>1.8333333333333333E-2</v>
      </c>
      <c r="BC62" s="61">
        <f t="shared" si="84"/>
        <v>1.8333333333333333E-2</v>
      </c>
      <c r="BD62" s="58">
        <v>0</v>
      </c>
      <c r="BE62" s="49">
        <f t="shared" si="85"/>
        <v>4.0333333333333334E-6</v>
      </c>
      <c r="BF62" s="61">
        <f t="shared" si="52"/>
        <v>4.0333333333333334E-6</v>
      </c>
      <c r="BG62" s="58">
        <f t="shared" si="86"/>
        <v>1.4700399999999999E-2</v>
      </c>
      <c r="BH62" s="49">
        <f t="shared" si="87"/>
        <v>5.4999999999999997E-3</v>
      </c>
      <c r="BI62" s="61">
        <f t="shared" si="88"/>
        <v>2.02004E-2</v>
      </c>
      <c r="BK62" s="218">
        <f t="shared" si="72"/>
        <v>0</v>
      </c>
      <c r="BL62" s="214">
        <f t="shared" si="18"/>
        <v>0</v>
      </c>
      <c r="BM62" s="214">
        <f t="shared" si="73"/>
        <v>0</v>
      </c>
      <c r="BN62" s="61">
        <f t="shared" si="89"/>
        <v>0</v>
      </c>
      <c r="BO62" s="58">
        <v>0</v>
      </c>
      <c r="BP62" s="49">
        <f t="shared" si="90"/>
        <v>0</v>
      </c>
      <c r="BQ62" s="61">
        <f t="shared" si="53"/>
        <v>0</v>
      </c>
      <c r="BR62" s="58">
        <f t="shared" si="91"/>
        <v>0</v>
      </c>
      <c r="BS62" s="49">
        <f t="shared" si="92"/>
        <v>0</v>
      </c>
      <c r="BT62" s="61">
        <f t="shared" si="55"/>
        <v>0</v>
      </c>
      <c r="BU62" s="58">
        <f t="shared" si="74"/>
        <v>2.9775659894396862E-3</v>
      </c>
      <c r="BV62" s="49">
        <f t="shared" si="21"/>
        <v>2.59875E-2</v>
      </c>
      <c r="BW62" s="61">
        <f t="shared" si="75"/>
        <v>5.4000000000000003E-3</v>
      </c>
      <c r="BX62" s="49">
        <f t="shared" si="56"/>
        <v>0.22305085650826195</v>
      </c>
      <c r="BY62" s="49">
        <f t="shared" si="43"/>
        <v>0.67405157452058395</v>
      </c>
      <c r="BZ62" s="49">
        <f t="shared" si="93"/>
        <v>92.973665796253542</v>
      </c>
    </row>
    <row r="63" spans="17:78" x14ac:dyDescent="0.35">
      <c r="Q63" s="49">
        <v>56</v>
      </c>
      <c r="R63" s="218">
        <f t="shared" si="57"/>
        <v>9.081333333333335</v>
      </c>
      <c r="S63" s="214">
        <f t="shared" si="1"/>
        <v>12</v>
      </c>
      <c r="T63" s="219">
        <f t="shared" si="58"/>
        <v>0.75677777777777788</v>
      </c>
      <c r="U63" s="218">
        <f t="shared" si="59"/>
        <v>2</v>
      </c>
      <c r="V63" s="214">
        <f t="shared" si="60"/>
        <v>0.4825090470446321</v>
      </c>
      <c r="W63" s="214">
        <f t="shared" si="61"/>
        <v>0.51749095295536796</v>
      </c>
      <c r="X63" s="214">
        <f t="shared" si="23"/>
        <v>0</v>
      </c>
      <c r="Y63" s="218">
        <f t="shared" si="76"/>
        <v>1.5684219444444447</v>
      </c>
      <c r="Z63" s="214">
        <f t="shared" si="62"/>
        <v>2.924297254815952</v>
      </c>
      <c r="AA63" s="214">
        <f t="shared" si="25"/>
        <v>3.0305705718524205</v>
      </c>
      <c r="AB63" s="219">
        <f t="shared" si="63"/>
        <v>1.2372531930788413</v>
      </c>
      <c r="AC63" s="218">
        <v>0</v>
      </c>
      <c r="AD63" s="214">
        <f t="shared" si="64"/>
        <v>4.5923863913513656E-2</v>
      </c>
      <c r="AE63" s="219">
        <f t="shared" si="27"/>
        <v>4.5923863913513656E-2</v>
      </c>
      <c r="AF63" s="58">
        <f t="shared" si="65"/>
        <v>0.18162666666666671</v>
      </c>
      <c r="AG63" s="61">
        <f t="shared" si="66"/>
        <v>0.18162666666666671</v>
      </c>
      <c r="AH63" s="58">
        <f t="shared" si="67"/>
        <v>1.331792053491896E-2</v>
      </c>
      <c r="AI63" s="49">
        <f t="shared" si="68"/>
        <v>4.1000321907646693E-2</v>
      </c>
      <c r="AJ63" s="61">
        <f t="shared" si="45"/>
        <v>5.4318242442565653E-2</v>
      </c>
      <c r="AK63" s="218">
        <f t="shared" si="69"/>
        <v>8.9600000000000009</v>
      </c>
      <c r="AL63" s="214">
        <f t="shared" si="13"/>
        <v>48</v>
      </c>
      <c r="AM63" s="219">
        <f t="shared" si="28"/>
        <v>0.18666666666666668</v>
      </c>
      <c r="AN63" s="218">
        <f t="shared" si="77"/>
        <v>2</v>
      </c>
      <c r="AO63" s="214">
        <f t="shared" si="78"/>
        <v>0.51749095295536784</v>
      </c>
      <c r="AP63" s="214">
        <f t="shared" si="79"/>
        <v>0.36071484071484078</v>
      </c>
      <c r="AQ63" s="214">
        <f t="shared" si="80"/>
        <v>0.68165437175197008</v>
      </c>
      <c r="AR63" s="214">
        <f t="shared" si="46"/>
        <v>0.70154202659082587</v>
      </c>
      <c r="AS63" s="219">
        <f t="shared" si="47"/>
        <v>0.29558625400439698</v>
      </c>
      <c r="AT63" s="218"/>
      <c r="AU63" s="214">
        <f t="shared" si="81"/>
        <v>4.1813333333333338E-4</v>
      </c>
      <c r="AV63" s="219">
        <f t="shared" si="48"/>
        <v>4.1813333333333338E-4</v>
      </c>
      <c r="AW63" s="218">
        <f t="shared" si="82"/>
        <v>0.109428</v>
      </c>
      <c r="AX63" s="214">
        <f t="shared" si="83"/>
        <v>5.6000000000000001E-2</v>
      </c>
      <c r="AY63" s="219">
        <f t="shared" si="49"/>
        <v>0.16542799999999999</v>
      </c>
      <c r="AZ63" s="218">
        <f t="shared" si="70"/>
        <v>0.12133333333333332</v>
      </c>
      <c r="BA63" s="214">
        <f t="shared" si="71"/>
        <v>6.5</v>
      </c>
      <c r="BB63" s="214">
        <f t="shared" si="50"/>
        <v>1.8666666666666665E-2</v>
      </c>
      <c r="BC63" s="61">
        <f t="shared" si="84"/>
        <v>1.8666666666666665E-2</v>
      </c>
      <c r="BD63" s="58">
        <v>0</v>
      </c>
      <c r="BE63" s="49">
        <f t="shared" si="85"/>
        <v>4.1813333333333327E-6</v>
      </c>
      <c r="BF63" s="61">
        <f t="shared" si="52"/>
        <v>4.1813333333333327E-6</v>
      </c>
      <c r="BG63" s="58">
        <f t="shared" si="86"/>
        <v>1.4700399999999999E-2</v>
      </c>
      <c r="BH63" s="49">
        <f t="shared" si="87"/>
        <v>5.5999999999999991E-3</v>
      </c>
      <c r="BI63" s="61">
        <f t="shared" si="88"/>
        <v>2.0300399999999996E-2</v>
      </c>
      <c r="BK63" s="218">
        <f t="shared" si="72"/>
        <v>0</v>
      </c>
      <c r="BL63" s="214">
        <f t="shared" si="18"/>
        <v>0</v>
      </c>
      <c r="BM63" s="214">
        <f t="shared" si="73"/>
        <v>0</v>
      </c>
      <c r="BN63" s="61">
        <f t="shared" si="89"/>
        <v>0</v>
      </c>
      <c r="BO63" s="58">
        <v>0</v>
      </c>
      <c r="BP63" s="49">
        <f t="shared" si="90"/>
        <v>0</v>
      </c>
      <c r="BQ63" s="61">
        <f t="shared" si="53"/>
        <v>0</v>
      </c>
      <c r="BR63" s="58">
        <f t="shared" si="91"/>
        <v>0</v>
      </c>
      <c r="BS63" s="49">
        <f t="shared" si="92"/>
        <v>0</v>
      </c>
      <c r="BT63" s="61">
        <f t="shared" si="55"/>
        <v>0</v>
      </c>
      <c r="BU63" s="58">
        <f t="shared" si="74"/>
        <v>3.0615909275675773E-3</v>
      </c>
      <c r="BV63" s="49">
        <f t="shared" si="21"/>
        <v>2.59875E-2</v>
      </c>
      <c r="BW63" s="61">
        <f t="shared" si="75"/>
        <v>5.4000000000000003E-3</v>
      </c>
      <c r="BX63" s="49">
        <f t="shared" si="56"/>
        <v>0.2275547119135137</v>
      </c>
      <c r="BY63" s="49">
        <f t="shared" si="43"/>
        <v>0.68409524528364696</v>
      </c>
      <c r="BZ63" s="49">
        <f t="shared" si="93"/>
        <v>92.994723787324745</v>
      </c>
    </row>
    <row r="64" spans="17:78" x14ac:dyDescent="0.35">
      <c r="Q64" s="49">
        <v>57</v>
      </c>
      <c r="R64" s="218">
        <f t="shared" si="57"/>
        <v>9.2435000000000009</v>
      </c>
      <c r="S64" s="214">
        <f t="shared" si="1"/>
        <v>12</v>
      </c>
      <c r="T64" s="219">
        <f t="shared" si="58"/>
        <v>0.77029166666666671</v>
      </c>
      <c r="U64" s="218">
        <f t="shared" si="59"/>
        <v>2</v>
      </c>
      <c r="V64" s="214">
        <f t="shared" si="60"/>
        <v>0.4825090470446321</v>
      </c>
      <c r="W64" s="214">
        <f t="shared" si="61"/>
        <v>0.51749095295536796</v>
      </c>
      <c r="X64" s="214">
        <f t="shared" si="23"/>
        <v>0</v>
      </c>
      <c r="Y64" s="218">
        <f t="shared" si="76"/>
        <v>1.5964294791666667</v>
      </c>
      <c r="Z64" s="214">
        <f t="shared" si="62"/>
        <v>2.924297254815952</v>
      </c>
      <c r="AA64" s="214">
        <f t="shared" si="25"/>
        <v>3.0585781065746427</v>
      </c>
      <c r="AB64" s="219">
        <f t="shared" si="63"/>
        <v>1.2544181576620739</v>
      </c>
      <c r="AC64" s="218">
        <v>0</v>
      </c>
      <c r="AD64" s="214">
        <f t="shared" si="64"/>
        <v>4.7206947428169346E-2</v>
      </c>
      <c r="AE64" s="219">
        <f t="shared" si="27"/>
        <v>4.7206947428169346E-2</v>
      </c>
      <c r="AF64" s="58">
        <f t="shared" si="65"/>
        <v>0.18487000000000003</v>
      </c>
      <c r="AG64" s="61">
        <f t="shared" si="66"/>
        <v>0.18487000000000003</v>
      </c>
      <c r="AH64" s="58">
        <f t="shared" si="67"/>
        <v>1.3690014754169109E-2</v>
      </c>
      <c r="AI64" s="49">
        <f t="shared" si="68"/>
        <v>4.1732470513140378E-2</v>
      </c>
      <c r="AJ64" s="61">
        <f t="shared" si="45"/>
        <v>5.5422485267309488E-2</v>
      </c>
      <c r="AK64" s="218">
        <f t="shared" si="69"/>
        <v>9.120000000000001</v>
      </c>
      <c r="AL64" s="214">
        <f t="shared" si="13"/>
        <v>48</v>
      </c>
      <c r="AM64" s="219">
        <f t="shared" si="28"/>
        <v>0.19000000000000003</v>
      </c>
      <c r="AN64" s="218">
        <f t="shared" si="77"/>
        <v>2</v>
      </c>
      <c r="AO64" s="214">
        <f t="shared" si="78"/>
        <v>0.51749095295536807</v>
      </c>
      <c r="AP64" s="214">
        <f t="shared" si="79"/>
        <v>0.3671561771561771</v>
      </c>
      <c r="AQ64" s="214">
        <f t="shared" si="80"/>
        <v>0.68165437175197041</v>
      </c>
      <c r="AR64" s="214">
        <f t="shared" si="46"/>
        <v>0.70798336303216236</v>
      </c>
      <c r="AS64" s="219">
        <f t="shared" si="47"/>
        <v>0.29966226035753757</v>
      </c>
      <c r="AT64" s="218"/>
      <c r="AU64" s="214">
        <f t="shared" si="81"/>
        <v>4.3320000000000018E-4</v>
      </c>
      <c r="AV64" s="219">
        <f t="shared" si="48"/>
        <v>4.3320000000000018E-4</v>
      </c>
      <c r="AW64" s="218">
        <f t="shared" si="82"/>
        <v>0.109428</v>
      </c>
      <c r="AX64" s="214">
        <f t="shared" si="83"/>
        <v>5.7000000000000009E-2</v>
      </c>
      <c r="AY64" s="219">
        <f t="shared" si="49"/>
        <v>0.16642800000000002</v>
      </c>
      <c r="AZ64" s="218">
        <f t="shared" si="70"/>
        <v>0.1235</v>
      </c>
      <c r="BA64" s="214">
        <f t="shared" si="71"/>
        <v>6.5</v>
      </c>
      <c r="BB64" s="214">
        <f t="shared" si="50"/>
        <v>1.9E-2</v>
      </c>
      <c r="BC64" s="61">
        <f t="shared" si="84"/>
        <v>1.9E-2</v>
      </c>
      <c r="BD64" s="58">
        <v>0</v>
      </c>
      <c r="BE64" s="49">
        <f t="shared" si="85"/>
        <v>4.3320000000000002E-6</v>
      </c>
      <c r="BF64" s="61">
        <f t="shared" si="52"/>
        <v>4.3320000000000002E-6</v>
      </c>
      <c r="BG64" s="58">
        <f t="shared" si="86"/>
        <v>1.4700399999999999E-2</v>
      </c>
      <c r="BH64" s="49">
        <f t="shared" si="87"/>
        <v>5.6999999999999993E-3</v>
      </c>
      <c r="BI64" s="61">
        <f t="shared" si="88"/>
        <v>2.0400399999999999E-2</v>
      </c>
      <c r="BK64" s="218">
        <f t="shared" si="72"/>
        <v>0</v>
      </c>
      <c r="BL64" s="214">
        <f t="shared" si="18"/>
        <v>0</v>
      </c>
      <c r="BM64" s="214">
        <f t="shared" si="73"/>
        <v>0</v>
      </c>
      <c r="BN64" s="61">
        <f t="shared" si="89"/>
        <v>0</v>
      </c>
      <c r="BO64" s="58">
        <v>0</v>
      </c>
      <c r="BP64" s="49">
        <f t="shared" si="90"/>
        <v>0</v>
      </c>
      <c r="BQ64" s="61">
        <f t="shared" si="53"/>
        <v>0</v>
      </c>
      <c r="BR64" s="58">
        <f t="shared" si="91"/>
        <v>0</v>
      </c>
      <c r="BS64" s="49">
        <f t="shared" si="92"/>
        <v>0</v>
      </c>
      <c r="BT64" s="61">
        <f t="shared" si="55"/>
        <v>0</v>
      </c>
      <c r="BU64" s="58">
        <f t="shared" si="74"/>
        <v>3.1471298285446233E-3</v>
      </c>
      <c r="BV64" s="49">
        <f t="shared" si="21"/>
        <v>2.59875E-2</v>
      </c>
      <c r="BW64" s="61">
        <f t="shared" si="75"/>
        <v>5.4000000000000003E-3</v>
      </c>
      <c r="BX64" s="49">
        <f t="shared" si="56"/>
        <v>0.23208127942816939</v>
      </c>
      <c r="BY64" s="49">
        <f t="shared" si="43"/>
        <v>0.69416999452402361</v>
      </c>
      <c r="BZ64" s="49">
        <f t="shared" si="93"/>
        <v>93.014761056600449</v>
      </c>
    </row>
    <row r="65" spans="17:78" x14ac:dyDescent="0.35">
      <c r="Q65" s="49">
        <v>58</v>
      </c>
      <c r="R65" s="218">
        <f t="shared" si="57"/>
        <v>9.4056666666666668</v>
      </c>
      <c r="S65" s="214">
        <f t="shared" si="1"/>
        <v>12</v>
      </c>
      <c r="T65" s="219">
        <f t="shared" si="58"/>
        <v>0.78380555555555553</v>
      </c>
      <c r="U65" s="218">
        <f t="shared" si="59"/>
        <v>2</v>
      </c>
      <c r="V65" s="214">
        <f t="shared" si="60"/>
        <v>0.4825090470446321</v>
      </c>
      <c r="W65" s="214">
        <f t="shared" si="61"/>
        <v>0.51749095295536796</v>
      </c>
      <c r="X65" s="214">
        <f t="shared" si="23"/>
        <v>0</v>
      </c>
      <c r="Y65" s="218">
        <f t="shared" si="76"/>
        <v>1.6244370138888888</v>
      </c>
      <c r="Z65" s="214">
        <f t="shared" si="62"/>
        <v>2.924297254815952</v>
      </c>
      <c r="AA65" s="214">
        <f t="shared" si="25"/>
        <v>3.0865856412968649</v>
      </c>
      <c r="AB65" s="219">
        <f t="shared" si="63"/>
        <v>1.2716490656566415</v>
      </c>
      <c r="AC65" s="218">
        <v>0</v>
      </c>
      <c r="AD65" s="214">
        <f t="shared" si="64"/>
        <v>4.8512740385562275E-2</v>
      </c>
      <c r="AE65" s="219">
        <f t="shared" si="27"/>
        <v>4.8512740385562275E-2</v>
      </c>
      <c r="AF65" s="58">
        <f t="shared" si="65"/>
        <v>0.18811333333333335</v>
      </c>
      <c r="AG65" s="61">
        <f t="shared" si="66"/>
        <v>0.18811333333333335</v>
      </c>
      <c r="AH65" s="58">
        <f t="shared" si="67"/>
        <v>1.406869471181306E-2</v>
      </c>
      <c r="AI65" s="49">
        <f t="shared" si="68"/>
        <v>4.246461911863407E-2</v>
      </c>
      <c r="AJ65" s="61">
        <f t="shared" si="45"/>
        <v>5.6533313830447129E-2</v>
      </c>
      <c r="AK65" s="218">
        <f t="shared" si="69"/>
        <v>9.2799999999999994</v>
      </c>
      <c r="AL65" s="214">
        <f t="shared" si="13"/>
        <v>48</v>
      </c>
      <c r="AM65" s="219">
        <f t="shared" si="28"/>
        <v>0.19333333333333333</v>
      </c>
      <c r="AN65" s="218">
        <f t="shared" si="77"/>
        <v>2</v>
      </c>
      <c r="AO65" s="214">
        <f t="shared" si="78"/>
        <v>0.51749095295536796</v>
      </c>
      <c r="AP65" s="214">
        <f t="shared" si="79"/>
        <v>0.37359751359751353</v>
      </c>
      <c r="AQ65" s="214">
        <f t="shared" si="80"/>
        <v>0.6816543717519703</v>
      </c>
      <c r="AR65" s="214">
        <f t="shared" si="46"/>
        <v>0.71442469947349863</v>
      </c>
      <c r="AS65" s="219">
        <f t="shared" si="47"/>
        <v>0.30375425799775635</v>
      </c>
      <c r="AT65" s="218"/>
      <c r="AU65" s="214">
        <f t="shared" si="81"/>
        <v>4.485333333333333E-4</v>
      </c>
      <c r="AV65" s="219">
        <f t="shared" si="48"/>
        <v>4.485333333333333E-4</v>
      </c>
      <c r="AW65" s="218">
        <f t="shared" si="82"/>
        <v>0.109428</v>
      </c>
      <c r="AX65" s="214">
        <f t="shared" si="83"/>
        <v>5.7999999999999996E-2</v>
      </c>
      <c r="AY65" s="219">
        <f t="shared" si="49"/>
        <v>0.16742799999999999</v>
      </c>
      <c r="AZ65" s="218">
        <f t="shared" si="70"/>
        <v>0.12566666666666665</v>
      </c>
      <c r="BA65" s="214">
        <f t="shared" si="71"/>
        <v>6.5</v>
      </c>
      <c r="BB65" s="214">
        <f t="shared" si="50"/>
        <v>1.9333333333333331E-2</v>
      </c>
      <c r="BC65" s="61">
        <f t="shared" si="84"/>
        <v>1.9333333333333331E-2</v>
      </c>
      <c r="BD65" s="58">
        <v>0</v>
      </c>
      <c r="BE65" s="49">
        <f t="shared" si="85"/>
        <v>4.4853333333333318E-6</v>
      </c>
      <c r="BF65" s="61">
        <f t="shared" si="52"/>
        <v>4.4853333333333318E-6</v>
      </c>
      <c r="BG65" s="58">
        <f t="shared" si="86"/>
        <v>1.4700399999999999E-2</v>
      </c>
      <c r="BH65" s="49">
        <f t="shared" si="87"/>
        <v>5.7999999999999987E-3</v>
      </c>
      <c r="BI65" s="61">
        <f t="shared" si="88"/>
        <v>2.0500399999999998E-2</v>
      </c>
      <c r="BK65" s="218">
        <f t="shared" si="72"/>
        <v>0</v>
      </c>
      <c r="BL65" s="214">
        <f t="shared" si="18"/>
        <v>0</v>
      </c>
      <c r="BM65" s="214">
        <f t="shared" si="73"/>
        <v>0</v>
      </c>
      <c r="BN65" s="61">
        <f t="shared" si="89"/>
        <v>0</v>
      </c>
      <c r="BO65" s="58">
        <v>0</v>
      </c>
      <c r="BP65" s="49">
        <f t="shared" si="90"/>
        <v>0</v>
      </c>
      <c r="BQ65" s="61">
        <f t="shared" si="53"/>
        <v>0</v>
      </c>
      <c r="BR65" s="58">
        <f t="shared" si="91"/>
        <v>0</v>
      </c>
      <c r="BS65" s="49">
        <f t="shared" si="92"/>
        <v>0</v>
      </c>
      <c r="BT65" s="61">
        <f t="shared" si="55"/>
        <v>0</v>
      </c>
      <c r="BU65" s="58">
        <f t="shared" si="74"/>
        <v>3.2341826923708186E-3</v>
      </c>
      <c r="BV65" s="49">
        <f t="shared" si="21"/>
        <v>2.59875E-2</v>
      </c>
      <c r="BW65" s="61">
        <f t="shared" si="75"/>
        <v>5.4000000000000003E-3</v>
      </c>
      <c r="BX65" s="49">
        <f t="shared" si="56"/>
        <v>0.23663055905222896</v>
      </c>
      <c r="BY65" s="49">
        <f t="shared" si="43"/>
        <v>0.70427582224171359</v>
      </c>
      <c r="BZ65" s="49">
        <f t="shared" si="93"/>
        <v>93.033829588898513</v>
      </c>
    </row>
    <row r="66" spans="17:78" x14ac:dyDescent="0.35">
      <c r="Q66" s="49">
        <v>59</v>
      </c>
      <c r="R66" s="218">
        <f t="shared" si="57"/>
        <v>9.5678333333333327</v>
      </c>
      <c r="S66" s="214">
        <f t="shared" si="1"/>
        <v>12</v>
      </c>
      <c r="T66" s="219">
        <f t="shared" si="58"/>
        <v>0.79731944444444436</v>
      </c>
      <c r="U66" s="218">
        <f t="shared" si="59"/>
        <v>2</v>
      </c>
      <c r="V66" s="214">
        <f t="shared" si="60"/>
        <v>0.4825090470446321</v>
      </c>
      <c r="W66" s="214">
        <f t="shared" si="61"/>
        <v>0.51749095295536796</v>
      </c>
      <c r="X66" s="214">
        <f t="shared" si="23"/>
        <v>0</v>
      </c>
      <c r="Y66" s="218">
        <f t="shared" si="76"/>
        <v>1.652444548611111</v>
      </c>
      <c r="Z66" s="214">
        <f t="shared" si="62"/>
        <v>2.924297254815952</v>
      </c>
      <c r="AA66" s="214">
        <f t="shared" si="25"/>
        <v>3.114593176019087</v>
      </c>
      <c r="AB66" s="219">
        <f t="shared" si="63"/>
        <v>1.2889432724224454</v>
      </c>
      <c r="AC66" s="218">
        <v>0</v>
      </c>
      <c r="AD66" s="214">
        <f t="shared" si="64"/>
        <v>4.984124278569247E-2</v>
      </c>
      <c r="AE66" s="219">
        <f t="shared" si="27"/>
        <v>4.984124278569247E-2</v>
      </c>
      <c r="AF66" s="58">
        <f t="shared" si="65"/>
        <v>0.19135666666666665</v>
      </c>
      <c r="AG66" s="61">
        <f t="shared" si="66"/>
        <v>0.19135666666666665</v>
      </c>
      <c r="AH66" s="58">
        <f t="shared" si="67"/>
        <v>1.4453960407850816E-2</v>
      </c>
      <c r="AI66" s="49">
        <f t="shared" si="68"/>
        <v>4.3196767724127762E-2</v>
      </c>
      <c r="AJ66" s="61">
        <f t="shared" si="45"/>
        <v>5.7650728131978579E-2</v>
      </c>
      <c r="AK66" s="218">
        <f t="shared" si="69"/>
        <v>9.44</v>
      </c>
      <c r="AL66" s="214">
        <f t="shared" si="13"/>
        <v>48</v>
      </c>
      <c r="AM66" s="219">
        <f t="shared" si="28"/>
        <v>0.19666666666666666</v>
      </c>
      <c r="AN66" s="218">
        <f t="shared" si="77"/>
        <v>2</v>
      </c>
      <c r="AO66" s="214">
        <f t="shared" si="78"/>
        <v>0.51749095295536796</v>
      </c>
      <c r="AP66" s="214">
        <f t="shared" si="79"/>
        <v>0.38003885003885002</v>
      </c>
      <c r="AQ66" s="214">
        <f t="shared" si="80"/>
        <v>0.6816543717519703</v>
      </c>
      <c r="AR66" s="214">
        <f t="shared" si="46"/>
        <v>0.72086603591483511</v>
      </c>
      <c r="AS66" s="219">
        <f t="shared" si="47"/>
        <v>0.30786160927255735</v>
      </c>
      <c r="AT66" s="218"/>
      <c r="AU66" s="214">
        <f t="shared" si="81"/>
        <v>4.641333333333333E-4</v>
      </c>
      <c r="AV66" s="219">
        <f t="shared" si="48"/>
        <v>4.641333333333333E-4</v>
      </c>
      <c r="AW66" s="218">
        <f t="shared" si="82"/>
        <v>0.109428</v>
      </c>
      <c r="AX66" s="214">
        <f t="shared" si="83"/>
        <v>5.8999999999999997E-2</v>
      </c>
      <c r="AY66" s="219">
        <f t="shared" si="49"/>
        <v>0.16842799999999999</v>
      </c>
      <c r="AZ66" s="218">
        <f t="shared" si="70"/>
        <v>0.12783333333333333</v>
      </c>
      <c r="BA66" s="214">
        <f t="shared" si="71"/>
        <v>6.5</v>
      </c>
      <c r="BB66" s="214">
        <f t="shared" si="50"/>
        <v>1.9666666666666666E-2</v>
      </c>
      <c r="BC66" s="61">
        <f t="shared" si="84"/>
        <v>1.9666666666666666E-2</v>
      </c>
      <c r="BD66" s="58">
        <v>0</v>
      </c>
      <c r="BE66" s="49">
        <f t="shared" si="85"/>
        <v>4.6413333333333325E-6</v>
      </c>
      <c r="BF66" s="61">
        <f t="shared" si="52"/>
        <v>4.6413333333333325E-6</v>
      </c>
      <c r="BG66" s="58">
        <f t="shared" si="86"/>
        <v>1.4700399999999999E-2</v>
      </c>
      <c r="BH66" s="49">
        <f t="shared" si="87"/>
        <v>5.8999999999999999E-3</v>
      </c>
      <c r="BI66" s="61">
        <f t="shared" si="88"/>
        <v>2.0600399999999998E-2</v>
      </c>
      <c r="BK66" s="218">
        <f t="shared" si="72"/>
        <v>0</v>
      </c>
      <c r="BL66" s="214">
        <f t="shared" si="18"/>
        <v>0</v>
      </c>
      <c r="BM66" s="214">
        <f t="shared" si="73"/>
        <v>0</v>
      </c>
      <c r="BN66" s="61">
        <f t="shared" si="89"/>
        <v>0</v>
      </c>
      <c r="BO66" s="58">
        <v>0</v>
      </c>
      <c r="BP66" s="49">
        <f t="shared" si="90"/>
        <v>0</v>
      </c>
      <c r="BQ66" s="61">
        <f t="shared" si="53"/>
        <v>0</v>
      </c>
      <c r="BR66" s="58">
        <f t="shared" si="91"/>
        <v>0</v>
      </c>
      <c r="BS66" s="49">
        <f t="shared" si="92"/>
        <v>0</v>
      </c>
      <c r="BT66" s="61">
        <f t="shared" si="55"/>
        <v>0</v>
      </c>
      <c r="BU66" s="58">
        <f t="shared" si="74"/>
        <v>3.3227495190461648E-3</v>
      </c>
      <c r="BV66" s="49">
        <f t="shared" si="21"/>
        <v>2.59875E-2</v>
      </c>
      <c r="BW66" s="61">
        <f t="shared" si="75"/>
        <v>5.4000000000000003E-3</v>
      </c>
      <c r="BX66" s="49">
        <f t="shared" si="56"/>
        <v>0.24120255078569244</v>
      </c>
      <c r="BY66" s="49">
        <f t="shared" si="43"/>
        <v>0.7144127284367171</v>
      </c>
      <c r="BZ66" s="49">
        <f t="shared" si="93"/>
        <v>93.05197790302897</v>
      </c>
    </row>
    <row r="67" spans="17:78" x14ac:dyDescent="0.35">
      <c r="Q67" s="49">
        <v>60</v>
      </c>
      <c r="R67" s="218">
        <f t="shared" si="57"/>
        <v>9.73</v>
      </c>
      <c r="S67" s="214">
        <f t="shared" si="1"/>
        <v>12</v>
      </c>
      <c r="T67" s="219">
        <f t="shared" si="58"/>
        <v>0.81083333333333341</v>
      </c>
      <c r="U67" s="218">
        <f t="shared" si="59"/>
        <v>2</v>
      </c>
      <c r="V67" s="214">
        <f t="shared" si="60"/>
        <v>0.4825090470446321</v>
      </c>
      <c r="W67" s="214">
        <f t="shared" si="61"/>
        <v>0.51749095295536796</v>
      </c>
      <c r="X67" s="214">
        <f t="shared" si="23"/>
        <v>0</v>
      </c>
      <c r="Y67" s="218">
        <f t="shared" si="76"/>
        <v>1.6804520833333334</v>
      </c>
      <c r="Z67" s="214">
        <f t="shared" si="62"/>
        <v>2.924297254815952</v>
      </c>
      <c r="AA67" s="214">
        <f t="shared" si="25"/>
        <v>3.1426007107413092</v>
      </c>
      <c r="AB67" s="219">
        <f t="shared" si="63"/>
        <v>1.3062982639065752</v>
      </c>
      <c r="AC67" s="218">
        <v>0</v>
      </c>
      <c r="AD67" s="214">
        <f t="shared" si="64"/>
        <v>5.1192454628559973E-2</v>
      </c>
      <c r="AE67" s="219">
        <f t="shared" si="27"/>
        <v>5.1192454628559973E-2</v>
      </c>
      <c r="AF67" s="58">
        <f t="shared" si="65"/>
        <v>0.19460000000000002</v>
      </c>
      <c r="AG67" s="61">
        <f t="shared" si="66"/>
        <v>0.19460000000000002</v>
      </c>
      <c r="AH67" s="58">
        <f t="shared" si="67"/>
        <v>1.4845811842282392E-2</v>
      </c>
      <c r="AI67" s="49">
        <f t="shared" si="68"/>
        <v>4.3928916329621447E-2</v>
      </c>
      <c r="AJ67" s="61">
        <f t="shared" si="45"/>
        <v>5.8774728171903837E-2</v>
      </c>
      <c r="AK67" s="218">
        <f t="shared" si="69"/>
        <v>9.6</v>
      </c>
      <c r="AL67" s="214">
        <f t="shared" si="13"/>
        <v>48</v>
      </c>
      <c r="AM67" s="219">
        <f t="shared" si="28"/>
        <v>0.19999999999999998</v>
      </c>
      <c r="AN67" s="218">
        <f t="shared" si="77"/>
        <v>2</v>
      </c>
      <c r="AO67" s="214">
        <f t="shared" si="78"/>
        <v>0.51749095295536796</v>
      </c>
      <c r="AP67" s="214">
        <f t="shared" si="79"/>
        <v>0.38648018648018645</v>
      </c>
      <c r="AQ67" s="214">
        <f t="shared" si="80"/>
        <v>0.6816543717519703</v>
      </c>
      <c r="AR67" s="214">
        <f t="shared" si="46"/>
        <v>0.7273073723561716</v>
      </c>
      <c r="AS67" s="219">
        <f t="shared" si="47"/>
        <v>0.31198370777807011</v>
      </c>
      <c r="AT67" s="218"/>
      <c r="AU67" s="214">
        <f t="shared" si="81"/>
        <v>4.7999999999999996E-4</v>
      </c>
      <c r="AV67" s="219">
        <f t="shared" si="48"/>
        <v>4.7999999999999996E-4</v>
      </c>
      <c r="AW67" s="218">
        <f t="shared" si="82"/>
        <v>0.109428</v>
      </c>
      <c r="AX67" s="214">
        <f t="shared" si="83"/>
        <v>5.9999999999999991E-2</v>
      </c>
      <c r="AY67" s="219">
        <f t="shared" si="49"/>
        <v>0.169428</v>
      </c>
      <c r="AZ67" s="218">
        <f t="shared" si="70"/>
        <v>0.13</v>
      </c>
      <c r="BA67" s="214">
        <f t="shared" si="71"/>
        <v>6.5</v>
      </c>
      <c r="BB67" s="214">
        <f t="shared" si="50"/>
        <v>0.02</v>
      </c>
      <c r="BC67" s="61">
        <f t="shared" si="84"/>
        <v>0.02</v>
      </c>
      <c r="BD67" s="58">
        <v>0</v>
      </c>
      <c r="BE67" s="49">
        <f t="shared" si="85"/>
        <v>4.8000000000000006E-6</v>
      </c>
      <c r="BF67" s="61">
        <f t="shared" si="52"/>
        <v>4.8000000000000006E-6</v>
      </c>
      <c r="BG67" s="58">
        <f t="shared" si="86"/>
        <v>1.4700399999999999E-2</v>
      </c>
      <c r="BH67" s="49">
        <f t="shared" si="87"/>
        <v>6.0000000000000001E-3</v>
      </c>
      <c r="BI67" s="61">
        <f t="shared" si="88"/>
        <v>2.0700400000000001E-2</v>
      </c>
      <c r="BK67" s="218">
        <f t="shared" si="72"/>
        <v>0</v>
      </c>
      <c r="BL67" s="214">
        <f t="shared" si="18"/>
        <v>0</v>
      </c>
      <c r="BM67" s="214">
        <f t="shared" si="73"/>
        <v>0</v>
      </c>
      <c r="BN67" s="61">
        <f t="shared" si="89"/>
        <v>0</v>
      </c>
      <c r="BO67" s="58">
        <v>0</v>
      </c>
      <c r="BP67" s="49">
        <f t="shared" si="90"/>
        <v>0</v>
      </c>
      <c r="BQ67" s="61">
        <f t="shared" si="53"/>
        <v>0</v>
      </c>
      <c r="BR67" s="58">
        <f t="shared" si="91"/>
        <v>0</v>
      </c>
      <c r="BS67" s="49">
        <f t="shared" si="92"/>
        <v>0</v>
      </c>
      <c r="BT67" s="61">
        <f t="shared" si="55"/>
        <v>0</v>
      </c>
      <c r="BU67" s="58">
        <f t="shared" si="74"/>
        <v>3.4128303085706651E-3</v>
      </c>
      <c r="BV67" s="49">
        <f t="shared" si="21"/>
        <v>2.59875E-2</v>
      </c>
      <c r="BW67" s="61">
        <f t="shared" si="75"/>
        <v>5.4000000000000003E-3</v>
      </c>
      <c r="BX67" s="49">
        <f t="shared" si="56"/>
        <v>0.24579725462856</v>
      </c>
      <c r="BY67" s="49">
        <f t="shared" si="43"/>
        <v>0.72458071310903449</v>
      </c>
      <c r="BZ67" s="49">
        <f t="shared" si="93"/>
        <v>93.069251335919375</v>
      </c>
    </row>
    <row r="68" spans="17:78" x14ac:dyDescent="0.35">
      <c r="Q68" s="49">
        <v>61</v>
      </c>
      <c r="R68" s="218">
        <f t="shared" si="57"/>
        <v>9.8921666666666663</v>
      </c>
      <c r="S68" s="214">
        <f t="shared" si="1"/>
        <v>12</v>
      </c>
      <c r="T68" s="219">
        <f t="shared" si="58"/>
        <v>0.82434722222222223</v>
      </c>
      <c r="U68" s="218">
        <f t="shared" si="59"/>
        <v>2</v>
      </c>
      <c r="V68" s="214">
        <f t="shared" si="60"/>
        <v>0.4825090470446321</v>
      </c>
      <c r="W68" s="214">
        <f t="shared" si="61"/>
        <v>0.51749095295536796</v>
      </c>
      <c r="X68" s="214">
        <f t="shared" si="23"/>
        <v>0</v>
      </c>
      <c r="Y68" s="218">
        <f t="shared" si="76"/>
        <v>1.7084596180555554</v>
      </c>
      <c r="Z68" s="214">
        <f t="shared" si="62"/>
        <v>2.924297254815952</v>
      </c>
      <c r="AA68" s="214">
        <f t="shared" si="25"/>
        <v>3.1706082454635314</v>
      </c>
      <c r="AB68" s="219">
        <f t="shared" si="63"/>
        <v>1.3237116492923058</v>
      </c>
      <c r="AC68" s="218">
        <v>0</v>
      </c>
      <c r="AD68" s="214">
        <f t="shared" si="64"/>
        <v>5.2566375914164687E-2</v>
      </c>
      <c r="AE68" s="219">
        <f t="shared" si="27"/>
        <v>5.2566375914164687E-2</v>
      </c>
      <c r="AF68" s="58">
        <f t="shared" si="65"/>
        <v>0.19784333333333334</v>
      </c>
      <c r="AG68" s="61">
        <f t="shared" si="66"/>
        <v>0.19784333333333334</v>
      </c>
      <c r="AH68" s="58">
        <f t="shared" si="67"/>
        <v>1.5244249015107758E-2</v>
      </c>
      <c r="AI68" s="49">
        <f t="shared" si="68"/>
        <v>4.4661064935115145E-2</v>
      </c>
      <c r="AJ68" s="61">
        <f t="shared" si="45"/>
        <v>5.9905313950222902E-2</v>
      </c>
      <c r="AK68" s="218">
        <f t="shared" si="69"/>
        <v>9.76</v>
      </c>
      <c r="AL68" s="214">
        <f t="shared" si="13"/>
        <v>48</v>
      </c>
      <c r="AM68" s="219">
        <f t="shared" si="28"/>
        <v>0.20333333333333334</v>
      </c>
      <c r="AN68" s="218">
        <f t="shared" si="77"/>
        <v>2</v>
      </c>
      <c r="AO68" s="214">
        <f t="shared" si="78"/>
        <v>0.51749095295536796</v>
      </c>
      <c r="AP68" s="214">
        <f t="shared" si="79"/>
        <v>0.39292152292152288</v>
      </c>
      <c r="AQ68" s="214">
        <f t="shared" si="80"/>
        <v>0.6816543717519703</v>
      </c>
      <c r="AR68" s="214">
        <f t="shared" si="46"/>
        <v>0.73374870879750809</v>
      </c>
      <c r="AS68" s="219">
        <f t="shared" si="47"/>
        <v>0.31611997661798907</v>
      </c>
      <c r="AT68" s="218"/>
      <c r="AU68" s="214">
        <f t="shared" si="81"/>
        <v>4.9613333333333343E-4</v>
      </c>
      <c r="AV68" s="219">
        <f t="shared" si="48"/>
        <v>4.9613333333333343E-4</v>
      </c>
      <c r="AW68" s="218">
        <f t="shared" si="82"/>
        <v>0.109428</v>
      </c>
      <c r="AX68" s="214">
        <f t="shared" si="83"/>
        <v>6.0999999999999999E-2</v>
      </c>
      <c r="AY68" s="219">
        <f t="shared" si="49"/>
        <v>0.170428</v>
      </c>
      <c r="AZ68" s="218">
        <f t="shared" si="70"/>
        <v>0.13216666666666665</v>
      </c>
      <c r="BA68" s="214">
        <f t="shared" si="71"/>
        <v>6.5</v>
      </c>
      <c r="BB68" s="214">
        <f t="shared" si="50"/>
        <v>2.0333333333333332E-2</v>
      </c>
      <c r="BC68" s="61">
        <f t="shared" si="84"/>
        <v>2.0333333333333332E-2</v>
      </c>
      <c r="BD68" s="58">
        <v>0</v>
      </c>
      <c r="BE68" s="49">
        <f t="shared" si="85"/>
        <v>4.9613333333333328E-6</v>
      </c>
      <c r="BF68" s="61">
        <f t="shared" si="52"/>
        <v>4.9613333333333328E-6</v>
      </c>
      <c r="BG68" s="58">
        <f t="shared" si="86"/>
        <v>1.4700399999999999E-2</v>
      </c>
      <c r="BH68" s="49">
        <f t="shared" si="87"/>
        <v>6.0999999999999995E-3</v>
      </c>
      <c r="BI68" s="61">
        <f t="shared" si="88"/>
        <v>2.0800399999999997E-2</v>
      </c>
      <c r="BK68" s="218">
        <f t="shared" si="72"/>
        <v>0</v>
      </c>
      <c r="BL68" s="214">
        <f t="shared" si="18"/>
        <v>0</v>
      </c>
      <c r="BM68" s="214">
        <f t="shared" si="73"/>
        <v>0</v>
      </c>
      <c r="BN68" s="61">
        <f t="shared" si="89"/>
        <v>0</v>
      </c>
      <c r="BO68" s="58">
        <v>0</v>
      </c>
      <c r="BP68" s="49">
        <f t="shared" si="90"/>
        <v>0</v>
      </c>
      <c r="BQ68" s="61">
        <f t="shared" si="53"/>
        <v>0</v>
      </c>
      <c r="BR68" s="58">
        <f t="shared" si="91"/>
        <v>0</v>
      </c>
      <c r="BS68" s="49">
        <f t="shared" si="92"/>
        <v>0</v>
      </c>
      <c r="BT68" s="61">
        <f t="shared" si="55"/>
        <v>0</v>
      </c>
      <c r="BU68" s="58">
        <f t="shared" si="74"/>
        <v>3.5044250609443128E-3</v>
      </c>
      <c r="BV68" s="49">
        <f t="shared" si="21"/>
        <v>2.59875E-2</v>
      </c>
      <c r="BW68" s="61">
        <f t="shared" si="75"/>
        <v>5.4000000000000003E-3</v>
      </c>
      <c r="BX68" s="49">
        <f t="shared" si="56"/>
        <v>0.25041467058083133</v>
      </c>
      <c r="BY68" s="49">
        <f t="shared" si="43"/>
        <v>0.73477977625866531</v>
      </c>
      <c r="BZ68" s="49">
        <f t="shared" si="93"/>
        <v>93.085692299241515</v>
      </c>
    </row>
    <row r="69" spans="17:78" x14ac:dyDescent="0.35">
      <c r="Q69" s="49">
        <v>62</v>
      </c>
      <c r="R69" s="218">
        <f t="shared" si="57"/>
        <v>10.054333333333334</v>
      </c>
      <c r="S69" s="214">
        <f t="shared" si="1"/>
        <v>12</v>
      </c>
      <c r="T69" s="219">
        <f t="shared" si="58"/>
        <v>0.83786111111111117</v>
      </c>
      <c r="U69" s="218">
        <f t="shared" si="59"/>
        <v>2</v>
      </c>
      <c r="V69" s="214">
        <f t="shared" si="60"/>
        <v>0.4825090470446321</v>
      </c>
      <c r="W69" s="214">
        <f t="shared" si="61"/>
        <v>0.51749095295536796</v>
      </c>
      <c r="X69" s="214">
        <f t="shared" si="23"/>
        <v>0</v>
      </c>
      <c r="Y69" s="218">
        <f t="shared" si="76"/>
        <v>1.7364671527777777</v>
      </c>
      <c r="Z69" s="214">
        <f t="shared" si="62"/>
        <v>2.924297254815952</v>
      </c>
      <c r="AA69" s="214">
        <f t="shared" si="25"/>
        <v>3.1986157801857535</v>
      </c>
      <c r="AB69" s="219">
        <f t="shared" si="63"/>
        <v>1.3411811540890206</v>
      </c>
      <c r="AC69" s="218">
        <v>0</v>
      </c>
      <c r="AD69" s="214">
        <f t="shared" si="64"/>
        <v>5.3963006642506715E-2</v>
      </c>
      <c r="AE69" s="219">
        <f t="shared" si="27"/>
        <v>5.3963006642506715E-2</v>
      </c>
      <c r="AF69" s="58">
        <f t="shared" si="65"/>
        <v>0.20108666666666669</v>
      </c>
      <c r="AG69" s="61">
        <f t="shared" si="66"/>
        <v>0.20108666666666669</v>
      </c>
      <c r="AH69" s="58">
        <f t="shared" si="67"/>
        <v>1.5649271926326948E-2</v>
      </c>
      <c r="AI69" s="49">
        <f t="shared" si="68"/>
        <v>4.539321354060883E-2</v>
      </c>
      <c r="AJ69" s="61">
        <f t="shared" si="45"/>
        <v>6.1042485466935775E-2</v>
      </c>
      <c r="AK69" s="218">
        <f t="shared" si="69"/>
        <v>9.92</v>
      </c>
      <c r="AL69" s="214">
        <f t="shared" si="13"/>
        <v>48</v>
      </c>
      <c r="AM69" s="219">
        <f t="shared" si="28"/>
        <v>0.20666666666666667</v>
      </c>
      <c r="AN69" s="218">
        <f t="shared" si="77"/>
        <v>2</v>
      </c>
      <c r="AO69" s="214">
        <f t="shared" si="78"/>
        <v>0.51749095295536796</v>
      </c>
      <c r="AP69" s="214">
        <f t="shared" si="79"/>
        <v>0.39936285936285937</v>
      </c>
      <c r="AQ69" s="214">
        <f t="shared" si="80"/>
        <v>0.6816543717519703</v>
      </c>
      <c r="AR69" s="214">
        <f t="shared" si="46"/>
        <v>0.74019004523884457</v>
      </c>
      <c r="AS69" s="219">
        <f t="shared" si="47"/>
        <v>0.32026986676536695</v>
      </c>
      <c r="AT69" s="218"/>
      <c r="AU69" s="214">
        <f t="shared" si="81"/>
        <v>5.1253333333333329E-4</v>
      </c>
      <c r="AV69" s="219">
        <f t="shared" si="48"/>
        <v>5.1253333333333329E-4</v>
      </c>
      <c r="AW69" s="218">
        <f t="shared" si="82"/>
        <v>0.109428</v>
      </c>
      <c r="AX69" s="214">
        <f t="shared" si="83"/>
        <v>6.2E-2</v>
      </c>
      <c r="AY69" s="219">
        <f t="shared" si="49"/>
        <v>0.171428</v>
      </c>
      <c r="AZ69" s="218">
        <f t="shared" si="70"/>
        <v>0.13433333333333333</v>
      </c>
      <c r="BA69" s="214">
        <f t="shared" si="71"/>
        <v>6.5</v>
      </c>
      <c r="BB69" s="214">
        <f t="shared" si="50"/>
        <v>2.0666666666666667E-2</v>
      </c>
      <c r="BC69" s="61">
        <f t="shared" si="84"/>
        <v>2.0666666666666667E-2</v>
      </c>
      <c r="BD69" s="58">
        <v>0</v>
      </c>
      <c r="BE69" s="49">
        <f t="shared" si="85"/>
        <v>5.1253333333333333E-6</v>
      </c>
      <c r="BF69" s="61">
        <f t="shared" si="52"/>
        <v>5.1253333333333333E-6</v>
      </c>
      <c r="BG69" s="58">
        <f t="shared" si="86"/>
        <v>1.4700399999999999E-2</v>
      </c>
      <c r="BH69" s="49">
        <f t="shared" si="87"/>
        <v>6.1999999999999998E-3</v>
      </c>
      <c r="BI69" s="61">
        <f t="shared" si="88"/>
        <v>2.09004E-2</v>
      </c>
      <c r="BK69" s="218">
        <f t="shared" si="72"/>
        <v>0</v>
      </c>
      <c r="BL69" s="214">
        <f t="shared" si="18"/>
        <v>0</v>
      </c>
      <c r="BM69" s="214">
        <f t="shared" si="73"/>
        <v>0</v>
      </c>
      <c r="BN69" s="61">
        <f t="shared" si="89"/>
        <v>0</v>
      </c>
      <c r="BO69" s="58">
        <v>0</v>
      </c>
      <c r="BP69" s="49">
        <f t="shared" si="90"/>
        <v>0</v>
      </c>
      <c r="BQ69" s="61">
        <f t="shared" si="53"/>
        <v>0</v>
      </c>
      <c r="BR69" s="58">
        <f t="shared" si="91"/>
        <v>0</v>
      </c>
      <c r="BS69" s="49">
        <f t="shared" si="92"/>
        <v>0</v>
      </c>
      <c r="BT69" s="61">
        <f t="shared" si="55"/>
        <v>0</v>
      </c>
      <c r="BU69" s="58">
        <f t="shared" si="74"/>
        <v>3.5975337761671145E-3</v>
      </c>
      <c r="BV69" s="49">
        <f t="shared" si="21"/>
        <v>2.59875E-2</v>
      </c>
      <c r="BW69" s="61">
        <f t="shared" si="75"/>
        <v>5.4000000000000003E-3</v>
      </c>
      <c r="BX69" s="49">
        <f t="shared" si="56"/>
        <v>0.25505479864250674</v>
      </c>
      <c r="BY69" s="49">
        <f t="shared" si="43"/>
        <v>0.74500991788560955</v>
      </c>
      <c r="BZ69" s="49">
        <f t="shared" si="93"/>
        <v>93.101340511595296</v>
      </c>
    </row>
    <row r="70" spans="17:78" x14ac:dyDescent="0.35">
      <c r="Q70" s="49">
        <v>63</v>
      </c>
      <c r="R70" s="218">
        <f t="shared" si="57"/>
        <v>10.2165</v>
      </c>
      <c r="S70" s="214">
        <f t="shared" si="1"/>
        <v>12</v>
      </c>
      <c r="T70" s="219">
        <f t="shared" si="58"/>
        <v>0.85137499999999999</v>
      </c>
      <c r="U70" s="218">
        <f t="shared" si="59"/>
        <v>2</v>
      </c>
      <c r="V70" s="214">
        <f t="shared" si="60"/>
        <v>0.4825090470446321</v>
      </c>
      <c r="W70" s="214">
        <f t="shared" si="61"/>
        <v>0.51749095295536796</v>
      </c>
      <c r="X70" s="214">
        <f t="shared" si="23"/>
        <v>0</v>
      </c>
      <c r="Y70" s="218">
        <f t="shared" si="76"/>
        <v>1.7644746874999999</v>
      </c>
      <c r="Z70" s="214">
        <f t="shared" si="62"/>
        <v>2.924297254815952</v>
      </c>
      <c r="AA70" s="214">
        <f t="shared" si="25"/>
        <v>3.2266233149079762</v>
      </c>
      <c r="AB70" s="219">
        <f t="shared" si="63"/>
        <v>1.3587046136373917</v>
      </c>
      <c r="AC70" s="218">
        <v>0</v>
      </c>
      <c r="AD70" s="214">
        <f t="shared" si="64"/>
        <v>5.5382346813586017E-2</v>
      </c>
      <c r="AE70" s="219">
        <f t="shared" si="27"/>
        <v>5.5382346813586017E-2</v>
      </c>
      <c r="AF70" s="58">
        <f t="shared" si="65"/>
        <v>0.20433000000000001</v>
      </c>
      <c r="AG70" s="61">
        <f t="shared" si="66"/>
        <v>0.20433000000000001</v>
      </c>
      <c r="AH70" s="58">
        <f t="shared" si="67"/>
        <v>1.6060880575939945E-2</v>
      </c>
      <c r="AI70" s="49">
        <f t="shared" si="68"/>
        <v>4.6125362146102522E-2</v>
      </c>
      <c r="AJ70" s="61">
        <f t="shared" si="45"/>
        <v>6.218624272204247E-2</v>
      </c>
      <c r="AK70" s="218">
        <f t="shared" si="69"/>
        <v>10.08</v>
      </c>
      <c r="AL70" s="214">
        <f t="shared" si="13"/>
        <v>48</v>
      </c>
      <c r="AM70" s="219">
        <f t="shared" si="28"/>
        <v>0.21</v>
      </c>
      <c r="AN70" s="218">
        <f t="shared" si="77"/>
        <v>2</v>
      </c>
      <c r="AO70" s="214">
        <f t="shared" si="78"/>
        <v>0.51749095295536796</v>
      </c>
      <c r="AP70" s="214">
        <f t="shared" si="79"/>
        <v>0.40580419580419574</v>
      </c>
      <c r="AQ70" s="214">
        <f t="shared" si="80"/>
        <v>0.6816543717519703</v>
      </c>
      <c r="AR70" s="214">
        <f t="shared" si="46"/>
        <v>0.74663138168018084</v>
      </c>
      <c r="AS70" s="219">
        <f t="shared" si="47"/>
        <v>0.32443285552144074</v>
      </c>
      <c r="AT70" s="218"/>
      <c r="AU70" s="214">
        <f t="shared" si="81"/>
        <v>5.2919999999999996E-4</v>
      </c>
      <c r="AV70" s="219">
        <f t="shared" si="48"/>
        <v>5.2919999999999996E-4</v>
      </c>
      <c r="AW70" s="218">
        <f t="shared" si="82"/>
        <v>0.109428</v>
      </c>
      <c r="AX70" s="214">
        <f t="shared" si="83"/>
        <v>6.3E-2</v>
      </c>
      <c r="AY70" s="219">
        <f t="shared" si="49"/>
        <v>0.172428</v>
      </c>
      <c r="AZ70" s="218">
        <f t="shared" si="70"/>
        <v>0.13649999999999998</v>
      </c>
      <c r="BA70" s="214">
        <f t="shared" si="71"/>
        <v>6.5</v>
      </c>
      <c r="BB70" s="214">
        <f t="shared" si="50"/>
        <v>2.0999999999999998E-2</v>
      </c>
      <c r="BC70" s="61">
        <f t="shared" si="84"/>
        <v>2.0999999999999998E-2</v>
      </c>
      <c r="BD70" s="58">
        <v>0</v>
      </c>
      <c r="BE70" s="49">
        <f t="shared" si="85"/>
        <v>5.2919999999999995E-6</v>
      </c>
      <c r="BF70" s="61">
        <f t="shared" si="52"/>
        <v>5.2919999999999995E-6</v>
      </c>
      <c r="BG70" s="58">
        <f t="shared" si="86"/>
        <v>1.4700399999999999E-2</v>
      </c>
      <c r="BH70" s="49">
        <f t="shared" si="87"/>
        <v>6.2999999999999992E-3</v>
      </c>
      <c r="BI70" s="61">
        <f t="shared" si="88"/>
        <v>2.1000399999999999E-2</v>
      </c>
      <c r="BK70" s="218">
        <f t="shared" si="72"/>
        <v>0</v>
      </c>
      <c r="BL70" s="214">
        <f t="shared" si="18"/>
        <v>0</v>
      </c>
      <c r="BM70" s="214">
        <f t="shared" si="73"/>
        <v>0</v>
      </c>
      <c r="BN70" s="61">
        <f t="shared" si="89"/>
        <v>0</v>
      </c>
      <c r="BO70" s="58">
        <v>0</v>
      </c>
      <c r="BP70" s="49">
        <f t="shared" si="90"/>
        <v>0</v>
      </c>
      <c r="BQ70" s="61">
        <f t="shared" si="53"/>
        <v>0</v>
      </c>
      <c r="BR70" s="58">
        <f t="shared" si="91"/>
        <v>0</v>
      </c>
      <c r="BS70" s="49">
        <f t="shared" si="92"/>
        <v>0</v>
      </c>
      <c r="BT70" s="61">
        <f t="shared" si="55"/>
        <v>0</v>
      </c>
      <c r="BU70" s="58">
        <f t="shared" si="74"/>
        <v>3.6921564542390681E-3</v>
      </c>
      <c r="BV70" s="49">
        <f t="shared" si="21"/>
        <v>2.59875E-2</v>
      </c>
      <c r="BW70" s="61">
        <f t="shared" si="75"/>
        <v>5.4000000000000003E-3</v>
      </c>
      <c r="BX70" s="49">
        <f t="shared" si="56"/>
        <v>0.259717638813586</v>
      </c>
      <c r="BY70" s="49">
        <f t="shared" si="43"/>
        <v>0.75527113798986756</v>
      </c>
      <c r="BZ70" s="49">
        <f t="shared" si="93"/>
        <v>93.116233208923461</v>
      </c>
    </row>
    <row r="71" spans="17:78" x14ac:dyDescent="0.35">
      <c r="Q71" s="49">
        <v>64</v>
      </c>
      <c r="R71" s="218">
        <f t="shared" ref="R71:R102" si="94">AK71+AZ71+BK71</f>
        <v>10.378666666666668</v>
      </c>
      <c r="S71" s="214">
        <f t="shared" ref="S71:S134" si="95">VIN_var</f>
        <v>12</v>
      </c>
      <c r="T71" s="219">
        <f t="shared" ref="T71:T102" si="96">(R71)/(S71*EFF_est)</f>
        <v>0.86488888888888893</v>
      </c>
      <c r="U71" s="218">
        <f t="shared" ref="U71:U102" si="97">IF(R71&lt;((((Np/NS1_)*(AL71)/((S71+((Np/NS1_)*(AL71)))))^2)*(S71^2))/(2*Lm*Fsw),1,2)</f>
        <v>2</v>
      </c>
      <c r="V71" s="214">
        <f t="shared" ref="V71:V102" si="98">CHOOSE(U71,SQRT((2*Lm*R71*Fsw)/((S71^2)*EFF_est)),(((Np/NS1_)*(AL71))/(S71+((Np/NS1_)*(AL71)))))</f>
        <v>0.4825090470446321</v>
      </c>
      <c r="W71" s="214">
        <f t="shared" ref="W71:W102" si="99">CHOOSE(U71,(NS1_*S71*V71)/(Np*AL71),1-V71)</f>
        <v>0.51749095295536796</v>
      </c>
      <c r="X71" s="214">
        <f t="shared" si="23"/>
        <v>0</v>
      </c>
      <c r="Y71" s="218">
        <f t="shared" si="76"/>
        <v>1.7924822222222223</v>
      </c>
      <c r="Z71" s="214">
        <f t="shared" ref="Z71:Z102" si="100">(S71*V71)/(Lm*Fsw)</f>
        <v>2.924297254815952</v>
      </c>
      <c r="AA71" s="214">
        <f t="shared" si="25"/>
        <v>3.2546308496301983</v>
      </c>
      <c r="AB71" s="219">
        <f t="shared" ref="AB71:AB102" si="101">CHOOSE(U71,AA71*SQRT(V71/3),SQRT(V71*((AA71^2)+((Z71^2)/(3))-(AA71*Z71))))</f>
        <v>1.376279967005291</v>
      </c>
      <c r="AC71" s="218">
        <v>0</v>
      </c>
      <c r="AD71" s="214">
        <f t="shared" ref="AD71:AD102" si="102">(AB71^2)*Rdcr</f>
        <v>5.6824396427402543E-2</v>
      </c>
      <c r="AE71" s="219">
        <f t="shared" si="27"/>
        <v>5.6824396427402543E-2</v>
      </c>
      <c r="AF71" s="58">
        <f t="shared" ref="AF71:AF102" si="103">R71*0.02</f>
        <v>0.20757333333333336</v>
      </c>
      <c r="AG71" s="61">
        <f t="shared" ref="AG71:AG102" si="104">R71*0.02</f>
        <v>0.20757333333333336</v>
      </c>
      <c r="AH71" s="58">
        <f t="shared" ref="AH71:AH102" si="105">(AB71^2)*RDS_on</f>
        <v>1.6479074963946738E-2</v>
      </c>
      <c r="AI71" s="49">
        <f t="shared" ref="AI71:AI102" si="106">((Y71*(S71+((Np/NS1_)*VOUT1)))/2)*Fsw*(tr_sw+tf_sw)</f>
        <v>4.6857510751596214E-2</v>
      </c>
      <c r="AJ71" s="61">
        <f t="shared" si="45"/>
        <v>6.3336585715542959E-2</v>
      </c>
      <c r="AK71" s="218">
        <f t="shared" ref="AK71:AK102" si="107">Q71*$B$11</f>
        <v>10.24</v>
      </c>
      <c r="AL71" s="214">
        <f t="shared" ref="AL71:AL134" si="108">VOUT1</f>
        <v>48</v>
      </c>
      <c r="AM71" s="219">
        <f t="shared" si="28"/>
        <v>0.21333333333333335</v>
      </c>
      <c r="AN71" s="218">
        <f t="shared" si="77"/>
        <v>2</v>
      </c>
      <c r="AO71" s="214">
        <f t="shared" si="78"/>
        <v>0.51749095295536796</v>
      </c>
      <c r="AP71" s="214">
        <f t="shared" si="79"/>
        <v>0.41224553224553223</v>
      </c>
      <c r="AQ71" s="214">
        <f t="shared" si="80"/>
        <v>0.6816543717519703</v>
      </c>
      <c r="AR71" s="214">
        <f t="shared" si="46"/>
        <v>0.75307271812151733</v>
      </c>
      <c r="AS71" s="219">
        <f t="shared" si="47"/>
        <v>0.32860844506589981</v>
      </c>
      <c r="AT71" s="218"/>
      <c r="AU71" s="214">
        <f t="shared" si="81"/>
        <v>5.4613333333333345E-4</v>
      </c>
      <c r="AV71" s="219">
        <f t="shared" si="48"/>
        <v>5.4613333333333345E-4</v>
      </c>
      <c r="AW71" s="218">
        <f t="shared" si="82"/>
        <v>0.109428</v>
      </c>
      <c r="AX71" s="214">
        <f t="shared" si="83"/>
        <v>6.4000000000000001E-2</v>
      </c>
      <c r="AY71" s="219">
        <f t="shared" si="49"/>
        <v>0.173428</v>
      </c>
      <c r="AZ71" s="218">
        <f t="shared" ref="AZ71:AZ102" si="109">IF(EN_OUT_2=1,Q71*$B$15,0)</f>
        <v>0.13866666666666666</v>
      </c>
      <c r="BA71" s="214">
        <f t="shared" ref="BA71:BA102" si="110">IF(EN_OUT_2=1,VOUT2,0)</f>
        <v>6.5</v>
      </c>
      <c r="BB71" s="214">
        <f t="shared" si="50"/>
        <v>2.1333333333333333E-2</v>
      </c>
      <c r="BC71" s="61">
        <f t="shared" si="84"/>
        <v>2.1333333333333333E-2</v>
      </c>
      <c r="BD71" s="58">
        <v>0</v>
      </c>
      <c r="BE71" s="49">
        <f t="shared" si="85"/>
        <v>5.4613333333333331E-6</v>
      </c>
      <c r="BF71" s="61">
        <f t="shared" si="52"/>
        <v>5.4613333333333331E-6</v>
      </c>
      <c r="BG71" s="58">
        <f t="shared" si="86"/>
        <v>1.4700399999999999E-2</v>
      </c>
      <c r="BH71" s="49">
        <f t="shared" si="87"/>
        <v>6.3999999999999994E-3</v>
      </c>
      <c r="BI71" s="61">
        <f t="shared" si="88"/>
        <v>2.1100399999999998E-2</v>
      </c>
      <c r="BK71" s="218">
        <f t="shared" ref="BK71:BK102" si="111">IF(EN_OUT_3=1,Q71*$B$19,0)</f>
        <v>0</v>
      </c>
      <c r="BL71" s="214">
        <f t="shared" ref="BL71:BL134" si="112">IF(EN_OUT_3=1,VOUT3,0)</f>
        <v>0</v>
      </c>
      <c r="BM71" s="214">
        <f t="shared" ref="BM71:BM102" si="113">IF(EN_OUT_3=1,BK71/BL71,0)</f>
        <v>0</v>
      </c>
      <c r="BN71" s="61">
        <f t="shared" si="89"/>
        <v>0</v>
      </c>
      <c r="BO71" s="58">
        <v>0</v>
      </c>
      <c r="BP71" s="49">
        <f t="shared" si="90"/>
        <v>0</v>
      </c>
      <c r="BQ71" s="61">
        <f t="shared" si="53"/>
        <v>0</v>
      </c>
      <c r="BR71" s="58">
        <f t="shared" si="91"/>
        <v>0</v>
      </c>
      <c r="BS71" s="49">
        <f t="shared" si="92"/>
        <v>0</v>
      </c>
      <c r="BT71" s="61">
        <f t="shared" si="55"/>
        <v>0</v>
      </c>
      <c r="BU71" s="58">
        <f t="shared" ref="BU71:BU102" si="114">(AB71^2)*R_cs</f>
        <v>3.78829309516017E-3</v>
      </c>
      <c r="BV71" s="49">
        <f t="shared" ref="BV71:BV134" si="115">Qg_tot*Vcc*Fsw</f>
        <v>2.59875E-2</v>
      </c>
      <c r="BW71" s="61">
        <f t="shared" ref="BW71:BW102" si="116">IQ*S71</f>
        <v>5.4000000000000003E-3</v>
      </c>
      <c r="BX71" s="49">
        <f t="shared" si="56"/>
        <v>0.26440319109406923</v>
      </c>
      <c r="BY71" s="49">
        <f t="shared" si="43"/>
        <v>0.7655634365714391</v>
      </c>
      <c r="BZ71" s="49">
        <f t="shared" si="93"/>
        <v>93.130405335501877</v>
      </c>
    </row>
    <row r="72" spans="17:78" x14ac:dyDescent="0.35">
      <c r="Q72" s="49">
        <v>65</v>
      </c>
      <c r="R72" s="218">
        <f t="shared" si="94"/>
        <v>10.540833333333333</v>
      </c>
      <c r="S72" s="214">
        <f t="shared" si="95"/>
        <v>12</v>
      </c>
      <c r="T72" s="219">
        <f t="shared" si="96"/>
        <v>0.87840277777777775</v>
      </c>
      <c r="U72" s="218">
        <f t="shared" si="97"/>
        <v>2</v>
      </c>
      <c r="V72" s="214">
        <f t="shared" si="98"/>
        <v>0.4825090470446321</v>
      </c>
      <c r="W72" s="214">
        <f t="shared" si="99"/>
        <v>0.51749095295536796</v>
      </c>
      <c r="X72" s="214">
        <f t="shared" ref="X72:X135" si="117">CHOOSE(U72,1-V72-W72,0)</f>
        <v>0</v>
      </c>
      <c r="Y72" s="218">
        <f t="shared" ref="Y72:Y103" si="118">R72/(S72*EFF_est*V72)</f>
        <v>1.8204897569444443</v>
      </c>
      <c r="Z72" s="214">
        <f t="shared" si="100"/>
        <v>2.924297254815952</v>
      </c>
      <c r="AA72" s="214">
        <f t="shared" ref="AA72:AA135" si="119">Y72+(Z72/2)</f>
        <v>3.2826383843524205</v>
      </c>
      <c r="AB72" s="219">
        <f t="shared" si="101"/>
        <v>1.3939052512510355</v>
      </c>
      <c r="AC72" s="218">
        <v>0</v>
      </c>
      <c r="AD72" s="214">
        <f t="shared" si="102"/>
        <v>5.828915548395637E-2</v>
      </c>
      <c r="AE72" s="219">
        <f t="shared" ref="AE72:AE135" si="120">AC72+AD72</f>
        <v>5.828915548395637E-2</v>
      </c>
      <c r="AF72" s="58">
        <f t="shared" si="103"/>
        <v>0.21081666666666668</v>
      </c>
      <c r="AG72" s="61">
        <f t="shared" si="104"/>
        <v>0.21081666666666668</v>
      </c>
      <c r="AH72" s="58">
        <f t="shared" si="105"/>
        <v>1.6903855090347347E-2</v>
      </c>
      <c r="AI72" s="49">
        <f t="shared" si="106"/>
        <v>4.7589659357089906E-2</v>
      </c>
      <c r="AJ72" s="61">
        <f t="shared" ref="AJ72:AJ135" si="121">AH72+AI72</f>
        <v>6.4493514447437256E-2</v>
      </c>
      <c r="AK72" s="218">
        <f t="shared" si="107"/>
        <v>10.4</v>
      </c>
      <c r="AL72" s="214">
        <f t="shared" si="108"/>
        <v>48</v>
      </c>
      <c r="AM72" s="219">
        <f t="shared" ref="AM72:AM103" si="122">AK72/AL72</f>
        <v>0.21666666666666667</v>
      </c>
      <c r="AN72" s="218">
        <f t="shared" ref="AN72:AN103" si="123">IF(((AL72*AO72)/(Fsw*$AO$2))/2&gt;AP72,1,2)</f>
        <v>2</v>
      </c>
      <c r="AO72" s="214">
        <f t="shared" ref="AO72:AO103" si="124">AM72/AP72</f>
        <v>0.51749095295536784</v>
      </c>
      <c r="AP72" s="214">
        <f t="shared" ref="AP72:AP103" si="125">Np*$Y72*AK72/(R72*NS1_)</f>
        <v>0.41868686868686872</v>
      </c>
      <c r="AQ72" s="214">
        <f t="shared" ref="AQ72:AQ103" si="126">(AL72*AO72)/(Fsw*$AO$2)</f>
        <v>0.68165437175197008</v>
      </c>
      <c r="AR72" s="214">
        <f t="shared" si="46"/>
        <v>0.75951405456285381</v>
      </c>
      <c r="AS72" s="219">
        <f t="shared" si="47"/>
        <v>0.33279616109324817</v>
      </c>
      <c r="AT72" s="218"/>
      <c r="AU72" s="214">
        <f t="shared" ref="AU72:AU103" si="127">(AM72^2)*Rdcr1</f>
        <v>5.6333333333333344E-4</v>
      </c>
      <c r="AV72" s="219">
        <f t="shared" si="48"/>
        <v>5.6333333333333344E-4</v>
      </c>
      <c r="AW72" s="218">
        <f t="shared" ref="AW72:AW103" si="128">(VOUT1+((NS1_/Np)*S72))*QRR1_*Fsw</f>
        <v>0.109428</v>
      </c>
      <c r="AX72" s="214">
        <f t="shared" ref="AX72:AX103" si="129">AM72*VD1_</f>
        <v>6.5000000000000002E-2</v>
      </c>
      <c r="AY72" s="219">
        <f t="shared" si="49"/>
        <v>0.174428</v>
      </c>
      <c r="AZ72" s="218">
        <f t="shared" si="109"/>
        <v>0.14083333333333334</v>
      </c>
      <c r="BA72" s="214">
        <f t="shared" si="110"/>
        <v>6.5</v>
      </c>
      <c r="BB72" s="214">
        <f t="shared" si="50"/>
        <v>2.1666666666666667E-2</v>
      </c>
      <c r="BC72" s="61">
        <f t="shared" ref="BC72:BC103" si="130">IF(EN_OUT_2=1,AZ72/BA72,0)</f>
        <v>2.1666666666666667E-2</v>
      </c>
      <c r="BD72" s="58">
        <v>0</v>
      </c>
      <c r="BE72" s="49">
        <f t="shared" ref="BE72:BE103" si="131">(BB72^2)*Rdcr2</f>
        <v>5.6333333333333342E-6</v>
      </c>
      <c r="BF72" s="61">
        <f t="shared" si="52"/>
        <v>5.6333333333333342E-6</v>
      </c>
      <c r="BG72" s="58">
        <f t="shared" ref="BG72:BG103" si="132">(VOUT2+((NS2_/Np)*S72))*QRR2_*Fsw</f>
        <v>1.4700399999999999E-2</v>
      </c>
      <c r="BH72" s="49">
        <f t="shared" ref="BH72:BH103" si="133">BB72*VD2_</f>
        <v>6.4999999999999997E-3</v>
      </c>
      <c r="BI72" s="61">
        <f t="shared" ref="BI72:BI103" si="134">BH72+BG72</f>
        <v>2.1200399999999998E-2</v>
      </c>
      <c r="BK72" s="218">
        <f t="shared" si="111"/>
        <v>0</v>
      </c>
      <c r="BL72" s="214">
        <f t="shared" si="112"/>
        <v>0</v>
      </c>
      <c r="BM72" s="214">
        <f t="shared" si="113"/>
        <v>0</v>
      </c>
      <c r="BN72" s="61">
        <f t="shared" ref="BN72:BN79" si="135">Y72*(Np/NS3_)*(BK72/R72)</f>
        <v>0</v>
      </c>
      <c r="BO72" s="58">
        <v>0</v>
      </c>
      <c r="BP72" s="49">
        <f t="shared" ref="BP72:BP103" si="136">(BM72^2)*Rdcr3</f>
        <v>0</v>
      </c>
      <c r="BQ72" s="61">
        <f t="shared" si="53"/>
        <v>0</v>
      </c>
      <c r="BR72" s="58">
        <f t="shared" ref="BR72:BR103" si="137">(VOUT3+((NS3_/Np)*S72))*QRR3_*Fsw</f>
        <v>0</v>
      </c>
      <c r="BS72" s="49">
        <f t="shared" ref="BS72:BS103" si="138">BM72*VD3_</f>
        <v>0</v>
      </c>
      <c r="BT72" s="61">
        <f t="shared" si="55"/>
        <v>0</v>
      </c>
      <c r="BU72" s="58">
        <f t="shared" si="114"/>
        <v>3.885943698930425E-3</v>
      </c>
      <c r="BV72" s="49">
        <f t="shared" si="115"/>
        <v>2.59875E-2</v>
      </c>
      <c r="BW72" s="61">
        <f t="shared" si="116"/>
        <v>5.4000000000000003E-3</v>
      </c>
      <c r="BX72" s="49">
        <f t="shared" ref="BX72:BX135" si="139">BF72+BQ72+AE72+AG72</f>
        <v>0.26911145548395637</v>
      </c>
      <c r="BY72" s="49">
        <f t="shared" ref="BY72:BY135" si="140">BW72+BV72+BU72+BT72+BQ72+BI72+BF72++AY72+AV72+AJ72+AF72+AE72+AG72</f>
        <v>0.77588681363032408</v>
      </c>
      <c r="BZ72" s="49">
        <f t="shared" ref="BZ72:BZ103" si="141">(R72/(R72+BY72))*100</f>
        <v>93.143889717565401</v>
      </c>
    </row>
    <row r="73" spans="17:78" x14ac:dyDescent="0.35">
      <c r="Q73" s="49">
        <v>66</v>
      </c>
      <c r="R73" s="218">
        <f t="shared" si="94"/>
        <v>10.703000000000001</v>
      </c>
      <c r="S73" s="214">
        <f t="shared" si="95"/>
        <v>12</v>
      </c>
      <c r="T73" s="219">
        <f t="shared" si="96"/>
        <v>0.8919166666666668</v>
      </c>
      <c r="U73" s="218">
        <f t="shared" si="97"/>
        <v>2</v>
      </c>
      <c r="V73" s="214">
        <f t="shared" si="98"/>
        <v>0.4825090470446321</v>
      </c>
      <c r="W73" s="214">
        <f t="shared" si="99"/>
        <v>0.51749095295536796</v>
      </c>
      <c r="X73" s="214">
        <f t="shared" si="117"/>
        <v>0</v>
      </c>
      <c r="Y73" s="218">
        <f t="shared" si="118"/>
        <v>1.8484972916666667</v>
      </c>
      <c r="Z73" s="214">
        <f t="shared" si="100"/>
        <v>2.924297254815952</v>
      </c>
      <c r="AA73" s="214">
        <f t="shared" si="119"/>
        <v>3.3106459190746427</v>
      </c>
      <c r="AB73" s="219">
        <f t="shared" si="101"/>
        <v>1.411578596031732</v>
      </c>
      <c r="AC73" s="218">
        <v>0</v>
      </c>
      <c r="AD73" s="214">
        <f t="shared" si="102"/>
        <v>5.9776623983247464E-2</v>
      </c>
      <c r="AE73" s="219">
        <f t="shared" si="120"/>
        <v>5.9776623983247464E-2</v>
      </c>
      <c r="AF73" s="58">
        <f t="shared" si="103"/>
        <v>0.21406000000000003</v>
      </c>
      <c r="AG73" s="61">
        <f t="shared" si="104"/>
        <v>0.21406000000000003</v>
      </c>
      <c r="AH73" s="58">
        <f t="shared" si="105"/>
        <v>1.7335220955141763E-2</v>
      </c>
      <c r="AI73" s="49">
        <f t="shared" si="106"/>
        <v>4.8321807962583591E-2</v>
      </c>
      <c r="AJ73" s="61">
        <f t="shared" si="121"/>
        <v>6.5657028917725346E-2</v>
      </c>
      <c r="AK73" s="218">
        <f t="shared" si="107"/>
        <v>10.56</v>
      </c>
      <c r="AL73" s="214">
        <f t="shared" si="108"/>
        <v>48</v>
      </c>
      <c r="AM73" s="219">
        <f t="shared" si="122"/>
        <v>0.22</v>
      </c>
      <c r="AN73" s="218">
        <f t="shared" si="123"/>
        <v>2</v>
      </c>
      <c r="AO73" s="214">
        <f t="shared" si="124"/>
        <v>0.51749095295536796</v>
      </c>
      <c r="AP73" s="214">
        <f t="shared" si="125"/>
        <v>0.42512820512820509</v>
      </c>
      <c r="AQ73" s="214">
        <f t="shared" si="126"/>
        <v>0.6816543717519703</v>
      </c>
      <c r="AR73" s="214">
        <f t="shared" ref="AR73:AR136" si="142">AP73+(AQ73/2)</f>
        <v>0.7659553910041903</v>
      </c>
      <c r="AS73" s="219">
        <f t="shared" ref="AS73:AS136" si="143">CHOOSE(AN73,AR73*SQRT(AO73/3),SQRT(AO73*((AR73^2)+((AQ73^2)/(3))-(AQ73*AR73))))</f>
        <v>0.33699555153016508</v>
      </c>
      <c r="AT73" s="218"/>
      <c r="AU73" s="214">
        <f t="shared" si="127"/>
        <v>5.8080000000000002E-4</v>
      </c>
      <c r="AV73" s="219">
        <f t="shared" ref="AV73:AV136" si="144">AT73+AU73</f>
        <v>5.8080000000000002E-4</v>
      </c>
      <c r="AW73" s="218">
        <f t="shared" si="128"/>
        <v>0.109428</v>
      </c>
      <c r="AX73" s="214">
        <f t="shared" si="129"/>
        <v>6.6000000000000003E-2</v>
      </c>
      <c r="AY73" s="219">
        <f t="shared" ref="AY73:AY136" si="145">AW73+AX73</f>
        <v>0.175428</v>
      </c>
      <c r="AZ73" s="218">
        <f t="shared" si="109"/>
        <v>0.14299999999999999</v>
      </c>
      <c r="BA73" s="214">
        <f t="shared" si="110"/>
        <v>6.5</v>
      </c>
      <c r="BB73" s="214">
        <f t="shared" ref="BB73:BB136" si="146">IF(EN_OUT_2=1,AZ73/BA73,0)</f>
        <v>2.1999999999999999E-2</v>
      </c>
      <c r="BC73" s="61">
        <f t="shared" si="130"/>
        <v>2.1999999999999999E-2</v>
      </c>
      <c r="BD73" s="58">
        <v>0</v>
      </c>
      <c r="BE73" s="49">
        <f t="shared" si="131"/>
        <v>5.8079999999999993E-6</v>
      </c>
      <c r="BF73" s="61">
        <f t="shared" ref="BF73:BF136" si="147">BD73+BE73</f>
        <v>5.8079999999999993E-6</v>
      </c>
      <c r="BG73" s="58">
        <f t="shared" si="132"/>
        <v>1.4700399999999999E-2</v>
      </c>
      <c r="BH73" s="49">
        <f t="shared" si="133"/>
        <v>6.5999999999999991E-3</v>
      </c>
      <c r="BI73" s="61">
        <f t="shared" si="134"/>
        <v>2.1300399999999997E-2</v>
      </c>
      <c r="BK73" s="218">
        <f t="shared" si="111"/>
        <v>0</v>
      </c>
      <c r="BL73" s="214">
        <f t="shared" si="112"/>
        <v>0</v>
      </c>
      <c r="BM73" s="214">
        <f t="shared" si="113"/>
        <v>0</v>
      </c>
      <c r="BN73" s="61">
        <f t="shared" si="135"/>
        <v>0</v>
      </c>
      <c r="BO73" s="58">
        <v>0</v>
      </c>
      <c r="BP73" s="49">
        <f t="shared" si="136"/>
        <v>0</v>
      </c>
      <c r="BQ73" s="61">
        <f t="shared" ref="BQ73:BQ136" si="148">BO73+BP73</f>
        <v>0</v>
      </c>
      <c r="BR73" s="58">
        <f t="shared" si="137"/>
        <v>0</v>
      </c>
      <c r="BS73" s="49">
        <f t="shared" si="138"/>
        <v>0</v>
      </c>
      <c r="BT73" s="61">
        <f t="shared" ref="BT73:BT136" si="149">BS73+BR73</f>
        <v>0</v>
      </c>
      <c r="BU73" s="58">
        <f t="shared" si="114"/>
        <v>3.9851082655498306E-3</v>
      </c>
      <c r="BV73" s="49">
        <f t="shared" si="115"/>
        <v>2.59875E-2</v>
      </c>
      <c r="BW73" s="61">
        <f t="shared" si="116"/>
        <v>5.4000000000000003E-3</v>
      </c>
      <c r="BX73" s="49">
        <f t="shared" si="139"/>
        <v>0.27384243198324748</v>
      </c>
      <c r="BY73" s="49">
        <f t="shared" si="140"/>
        <v>0.7862412691665227</v>
      </c>
      <c r="BZ73" s="49">
        <f t="shared" si="141"/>
        <v>93.156717221383929</v>
      </c>
    </row>
    <row r="74" spans="17:78" x14ac:dyDescent="0.35">
      <c r="Q74" s="49">
        <v>67</v>
      </c>
      <c r="R74" s="218">
        <f t="shared" si="94"/>
        <v>10.865166666666667</v>
      </c>
      <c r="S74" s="214">
        <f t="shared" si="95"/>
        <v>12</v>
      </c>
      <c r="T74" s="219">
        <f t="shared" si="96"/>
        <v>0.90543055555555563</v>
      </c>
      <c r="U74" s="218">
        <f t="shared" si="97"/>
        <v>2</v>
      </c>
      <c r="V74" s="214">
        <f t="shared" si="98"/>
        <v>0.4825090470446321</v>
      </c>
      <c r="W74" s="214">
        <f t="shared" si="99"/>
        <v>0.51749095295536796</v>
      </c>
      <c r="X74" s="214">
        <f t="shared" si="117"/>
        <v>0</v>
      </c>
      <c r="Y74" s="218">
        <f t="shared" si="118"/>
        <v>1.8765048263888888</v>
      </c>
      <c r="Z74" s="214">
        <f t="shared" si="100"/>
        <v>2.924297254815952</v>
      </c>
      <c r="AA74" s="214">
        <f t="shared" si="119"/>
        <v>3.3386534537968648</v>
      </c>
      <c r="AB74" s="219">
        <f t="shared" si="101"/>
        <v>1.429298218535654</v>
      </c>
      <c r="AC74" s="218">
        <v>0</v>
      </c>
      <c r="AD74" s="214">
        <f t="shared" si="102"/>
        <v>6.1286801925275816E-2</v>
      </c>
      <c r="AE74" s="219">
        <f t="shared" si="120"/>
        <v>6.1286801925275816E-2</v>
      </c>
      <c r="AF74" s="58">
        <f t="shared" si="103"/>
        <v>0.21730333333333335</v>
      </c>
      <c r="AG74" s="61">
        <f t="shared" si="104"/>
        <v>0.21730333333333335</v>
      </c>
      <c r="AH74" s="58">
        <f t="shared" si="105"/>
        <v>1.7773172558329987E-2</v>
      </c>
      <c r="AI74" s="49">
        <f t="shared" si="106"/>
        <v>4.9053956568077289E-2</v>
      </c>
      <c r="AJ74" s="61">
        <f t="shared" si="121"/>
        <v>6.6827129126407273E-2</v>
      </c>
      <c r="AK74" s="218">
        <f t="shared" si="107"/>
        <v>10.72</v>
      </c>
      <c r="AL74" s="214">
        <f t="shared" si="108"/>
        <v>48</v>
      </c>
      <c r="AM74" s="219">
        <f t="shared" si="122"/>
        <v>0.22333333333333336</v>
      </c>
      <c r="AN74" s="218">
        <f t="shared" si="123"/>
        <v>2</v>
      </c>
      <c r="AO74" s="214">
        <f t="shared" si="124"/>
        <v>0.51749095295536796</v>
      </c>
      <c r="AP74" s="214">
        <f t="shared" si="125"/>
        <v>0.43156954156954158</v>
      </c>
      <c r="AQ74" s="214">
        <f t="shared" si="126"/>
        <v>0.6816543717519703</v>
      </c>
      <c r="AR74" s="214">
        <f t="shared" si="142"/>
        <v>0.77239672744552679</v>
      </c>
      <c r="AS74" s="219">
        <f t="shared" si="143"/>
        <v>0.3412061853290167</v>
      </c>
      <c r="AT74" s="218"/>
      <c r="AU74" s="214">
        <f t="shared" si="127"/>
        <v>5.9853333333333343E-4</v>
      </c>
      <c r="AV74" s="219">
        <f t="shared" si="144"/>
        <v>5.9853333333333343E-4</v>
      </c>
      <c r="AW74" s="218">
        <f t="shared" si="128"/>
        <v>0.109428</v>
      </c>
      <c r="AX74" s="214">
        <f t="shared" si="129"/>
        <v>6.7000000000000004E-2</v>
      </c>
      <c r="AY74" s="219">
        <f t="shared" si="145"/>
        <v>0.176428</v>
      </c>
      <c r="AZ74" s="218">
        <f t="shared" si="109"/>
        <v>0.14516666666666667</v>
      </c>
      <c r="BA74" s="214">
        <f t="shared" si="110"/>
        <v>6.5</v>
      </c>
      <c r="BB74" s="214">
        <f t="shared" si="146"/>
        <v>2.2333333333333334E-2</v>
      </c>
      <c r="BC74" s="61">
        <f t="shared" si="130"/>
        <v>2.2333333333333334E-2</v>
      </c>
      <c r="BD74" s="58">
        <v>0</v>
      </c>
      <c r="BE74" s="49">
        <f t="shared" si="131"/>
        <v>5.9853333333333335E-6</v>
      </c>
      <c r="BF74" s="61">
        <f t="shared" si="147"/>
        <v>5.9853333333333335E-6</v>
      </c>
      <c r="BG74" s="58">
        <f t="shared" si="132"/>
        <v>1.4700399999999999E-2</v>
      </c>
      <c r="BH74" s="49">
        <f t="shared" si="133"/>
        <v>6.7000000000000002E-3</v>
      </c>
      <c r="BI74" s="61">
        <f t="shared" si="134"/>
        <v>2.14004E-2</v>
      </c>
      <c r="BK74" s="218">
        <f t="shared" si="111"/>
        <v>0</v>
      </c>
      <c r="BL74" s="214">
        <f t="shared" si="112"/>
        <v>0</v>
      </c>
      <c r="BM74" s="214">
        <f t="shared" si="113"/>
        <v>0</v>
      </c>
      <c r="BN74" s="61">
        <f t="shared" si="135"/>
        <v>0</v>
      </c>
      <c r="BO74" s="58">
        <v>0</v>
      </c>
      <c r="BP74" s="49">
        <f t="shared" si="136"/>
        <v>0</v>
      </c>
      <c r="BQ74" s="61">
        <f t="shared" si="148"/>
        <v>0</v>
      </c>
      <c r="BR74" s="58">
        <f t="shared" si="137"/>
        <v>0</v>
      </c>
      <c r="BS74" s="49">
        <f t="shared" si="138"/>
        <v>0</v>
      </c>
      <c r="BT74" s="61">
        <f t="shared" si="149"/>
        <v>0</v>
      </c>
      <c r="BU74" s="58">
        <f t="shared" si="114"/>
        <v>4.085786795018388E-3</v>
      </c>
      <c r="BV74" s="49">
        <f t="shared" si="115"/>
        <v>2.59875E-2</v>
      </c>
      <c r="BW74" s="61">
        <f t="shared" si="116"/>
        <v>5.4000000000000003E-3</v>
      </c>
      <c r="BX74" s="49">
        <f t="shared" si="139"/>
        <v>0.2785961205919425</v>
      </c>
      <c r="BY74" s="49">
        <f t="shared" si="140"/>
        <v>0.79662680318003476</v>
      </c>
      <c r="BZ74" s="49">
        <f t="shared" si="141"/>
        <v>93.168916897389494</v>
      </c>
    </row>
    <row r="75" spans="17:78" x14ac:dyDescent="0.35">
      <c r="Q75" s="49">
        <v>68</v>
      </c>
      <c r="R75" s="218">
        <f t="shared" si="94"/>
        <v>11.027333333333335</v>
      </c>
      <c r="S75" s="214">
        <f t="shared" si="95"/>
        <v>12</v>
      </c>
      <c r="T75" s="219">
        <f t="shared" si="96"/>
        <v>0.91894444444444456</v>
      </c>
      <c r="U75" s="218">
        <f t="shared" si="97"/>
        <v>2</v>
      </c>
      <c r="V75" s="214">
        <f t="shared" si="98"/>
        <v>0.4825090470446321</v>
      </c>
      <c r="W75" s="214">
        <f t="shared" si="99"/>
        <v>0.51749095295536796</v>
      </c>
      <c r="X75" s="214">
        <f t="shared" si="117"/>
        <v>0</v>
      </c>
      <c r="Y75" s="218">
        <f t="shared" si="118"/>
        <v>1.9045123611111112</v>
      </c>
      <c r="Z75" s="214">
        <f t="shared" si="100"/>
        <v>2.924297254815952</v>
      </c>
      <c r="AA75" s="214">
        <f t="shared" si="119"/>
        <v>3.3666609885190875</v>
      </c>
      <c r="AB75" s="219">
        <f t="shared" si="101"/>
        <v>1.447062418718712</v>
      </c>
      <c r="AC75" s="218">
        <v>0</v>
      </c>
      <c r="AD75" s="214">
        <f t="shared" si="102"/>
        <v>6.2819689310041477E-2</v>
      </c>
      <c r="AE75" s="219">
        <f t="shared" si="120"/>
        <v>6.2819689310041477E-2</v>
      </c>
      <c r="AF75" s="58">
        <f t="shared" si="103"/>
        <v>0.2205466666666667</v>
      </c>
      <c r="AG75" s="61">
        <f t="shared" si="104"/>
        <v>0.2205466666666667</v>
      </c>
      <c r="AH75" s="58">
        <f t="shared" si="105"/>
        <v>1.8217709899912025E-2</v>
      </c>
      <c r="AI75" s="49">
        <f t="shared" si="106"/>
        <v>4.9786105173570974E-2</v>
      </c>
      <c r="AJ75" s="61">
        <f t="shared" si="121"/>
        <v>6.8003815073482993E-2</v>
      </c>
      <c r="AK75" s="218">
        <f t="shared" si="107"/>
        <v>10.88</v>
      </c>
      <c r="AL75" s="214">
        <f t="shared" si="108"/>
        <v>48</v>
      </c>
      <c r="AM75" s="219">
        <f t="shared" si="122"/>
        <v>0.22666666666666668</v>
      </c>
      <c r="AN75" s="218">
        <f t="shared" si="123"/>
        <v>2</v>
      </c>
      <c r="AO75" s="214">
        <f t="shared" si="124"/>
        <v>0.51749095295536796</v>
      </c>
      <c r="AP75" s="214">
        <f t="shared" si="125"/>
        <v>0.43801087801087801</v>
      </c>
      <c r="AQ75" s="214">
        <f t="shared" si="126"/>
        <v>0.6816543717519703</v>
      </c>
      <c r="AR75" s="214">
        <f t="shared" si="142"/>
        <v>0.77883806388686316</v>
      </c>
      <c r="AS75" s="219">
        <f t="shared" si="143"/>
        <v>0.34542765133292486</v>
      </c>
      <c r="AT75" s="218"/>
      <c r="AU75" s="214">
        <f t="shared" si="127"/>
        <v>6.1653333333333343E-4</v>
      </c>
      <c r="AV75" s="219">
        <f t="shared" si="144"/>
        <v>6.1653333333333343E-4</v>
      </c>
      <c r="AW75" s="218">
        <f t="shared" si="128"/>
        <v>0.109428</v>
      </c>
      <c r="AX75" s="214">
        <f t="shared" si="129"/>
        <v>6.8000000000000005E-2</v>
      </c>
      <c r="AY75" s="219">
        <f t="shared" si="145"/>
        <v>0.177428</v>
      </c>
      <c r="AZ75" s="218">
        <f t="shared" si="109"/>
        <v>0.14733333333333332</v>
      </c>
      <c r="BA75" s="214">
        <f t="shared" si="110"/>
        <v>6.5</v>
      </c>
      <c r="BB75" s="214">
        <f t="shared" si="146"/>
        <v>2.2666666666666665E-2</v>
      </c>
      <c r="BC75" s="61">
        <f t="shared" si="130"/>
        <v>2.2666666666666665E-2</v>
      </c>
      <c r="BD75" s="58">
        <v>0</v>
      </c>
      <c r="BE75" s="49">
        <f t="shared" si="131"/>
        <v>6.1653333333333326E-6</v>
      </c>
      <c r="BF75" s="61">
        <f t="shared" si="147"/>
        <v>6.1653333333333326E-6</v>
      </c>
      <c r="BG75" s="58">
        <f t="shared" si="132"/>
        <v>1.4700399999999999E-2</v>
      </c>
      <c r="BH75" s="49">
        <f t="shared" si="133"/>
        <v>6.7999999999999996E-3</v>
      </c>
      <c r="BI75" s="61">
        <f t="shared" si="134"/>
        <v>2.1500399999999999E-2</v>
      </c>
      <c r="BK75" s="218">
        <f t="shared" si="111"/>
        <v>0</v>
      </c>
      <c r="BL75" s="214">
        <f t="shared" si="112"/>
        <v>0</v>
      </c>
      <c r="BM75" s="214">
        <f t="shared" si="113"/>
        <v>0</v>
      </c>
      <c r="BN75" s="61">
        <f t="shared" si="135"/>
        <v>0</v>
      </c>
      <c r="BO75" s="58">
        <v>0</v>
      </c>
      <c r="BP75" s="49">
        <f t="shared" si="136"/>
        <v>0</v>
      </c>
      <c r="BQ75" s="61">
        <f t="shared" si="148"/>
        <v>0</v>
      </c>
      <c r="BR75" s="58">
        <f t="shared" si="137"/>
        <v>0</v>
      </c>
      <c r="BS75" s="49">
        <f t="shared" si="138"/>
        <v>0</v>
      </c>
      <c r="BT75" s="61">
        <f t="shared" si="149"/>
        <v>0</v>
      </c>
      <c r="BU75" s="58">
        <f t="shared" si="114"/>
        <v>4.1879792873360982E-3</v>
      </c>
      <c r="BV75" s="49">
        <f t="shared" si="115"/>
        <v>2.59875E-2</v>
      </c>
      <c r="BW75" s="61">
        <f t="shared" si="116"/>
        <v>5.4000000000000003E-3</v>
      </c>
      <c r="BX75" s="49">
        <f t="shared" si="139"/>
        <v>0.28337252131004154</v>
      </c>
      <c r="BY75" s="49">
        <f t="shared" si="140"/>
        <v>0.80704341567086058</v>
      </c>
      <c r="BZ75" s="49">
        <f t="shared" si="141"/>
        <v>93.180516111769293</v>
      </c>
    </row>
    <row r="76" spans="17:78" x14ac:dyDescent="0.35">
      <c r="Q76" s="49">
        <v>69</v>
      </c>
      <c r="R76" s="218">
        <f t="shared" si="94"/>
        <v>11.189500000000001</v>
      </c>
      <c r="S76" s="214">
        <f t="shared" si="95"/>
        <v>12</v>
      </c>
      <c r="T76" s="219">
        <f t="shared" si="96"/>
        <v>0.93245833333333339</v>
      </c>
      <c r="U76" s="218">
        <f t="shared" si="97"/>
        <v>2</v>
      </c>
      <c r="V76" s="214">
        <f t="shared" si="98"/>
        <v>0.4825090470446321</v>
      </c>
      <c r="W76" s="214">
        <f t="shared" si="99"/>
        <v>0.51749095295536796</v>
      </c>
      <c r="X76" s="214">
        <f t="shared" si="117"/>
        <v>0</v>
      </c>
      <c r="Y76" s="218">
        <f t="shared" si="118"/>
        <v>1.9325198958333334</v>
      </c>
      <c r="Z76" s="214">
        <f t="shared" si="100"/>
        <v>2.924297254815952</v>
      </c>
      <c r="AA76" s="214">
        <f t="shared" si="119"/>
        <v>3.3946685232413092</v>
      </c>
      <c r="AB76" s="219">
        <f t="shared" si="101"/>
        <v>1.4648695748261948</v>
      </c>
      <c r="AC76" s="218">
        <v>0</v>
      </c>
      <c r="AD76" s="214">
        <f t="shared" si="102"/>
        <v>6.4375286137544299E-2</v>
      </c>
      <c r="AE76" s="219">
        <f t="shared" si="120"/>
        <v>6.4375286137544299E-2</v>
      </c>
      <c r="AF76" s="58">
        <f t="shared" si="103"/>
        <v>0.22379000000000002</v>
      </c>
      <c r="AG76" s="61">
        <f t="shared" si="104"/>
        <v>0.22379000000000002</v>
      </c>
      <c r="AH76" s="58">
        <f t="shared" si="105"/>
        <v>1.8668832979887848E-2</v>
      </c>
      <c r="AI76" s="49">
        <f t="shared" si="106"/>
        <v>5.0518253779064673E-2</v>
      </c>
      <c r="AJ76" s="61">
        <f t="shared" si="121"/>
        <v>6.9187086758952521E-2</v>
      </c>
      <c r="AK76" s="218">
        <f t="shared" si="107"/>
        <v>11.040000000000001</v>
      </c>
      <c r="AL76" s="214">
        <f t="shared" si="108"/>
        <v>48</v>
      </c>
      <c r="AM76" s="219">
        <f t="shared" si="122"/>
        <v>0.23</v>
      </c>
      <c r="AN76" s="218">
        <f t="shared" si="123"/>
        <v>2</v>
      </c>
      <c r="AO76" s="214">
        <f t="shared" si="124"/>
        <v>0.51749095295536784</v>
      </c>
      <c r="AP76" s="214">
        <f t="shared" si="125"/>
        <v>0.4444522144522145</v>
      </c>
      <c r="AQ76" s="214">
        <f t="shared" si="126"/>
        <v>0.68165437175197008</v>
      </c>
      <c r="AR76" s="214">
        <f t="shared" si="142"/>
        <v>0.78527940032819954</v>
      </c>
      <c r="AS76" s="219">
        <f t="shared" si="143"/>
        <v>0.34965955720804237</v>
      </c>
      <c r="AT76" s="218"/>
      <c r="AU76" s="214">
        <f t="shared" si="127"/>
        <v>6.3480000000000003E-4</v>
      </c>
      <c r="AV76" s="219">
        <f t="shared" si="144"/>
        <v>6.3480000000000003E-4</v>
      </c>
      <c r="AW76" s="218">
        <f t="shared" si="128"/>
        <v>0.109428</v>
      </c>
      <c r="AX76" s="214">
        <f t="shared" si="129"/>
        <v>6.9000000000000006E-2</v>
      </c>
      <c r="AY76" s="219">
        <f t="shared" si="145"/>
        <v>0.178428</v>
      </c>
      <c r="AZ76" s="218">
        <f t="shared" si="109"/>
        <v>0.14949999999999999</v>
      </c>
      <c r="BA76" s="214">
        <f t="shared" si="110"/>
        <v>6.5</v>
      </c>
      <c r="BB76" s="214">
        <f t="shared" si="146"/>
        <v>2.3E-2</v>
      </c>
      <c r="BC76" s="61">
        <f t="shared" si="130"/>
        <v>2.3E-2</v>
      </c>
      <c r="BD76" s="58">
        <v>0</v>
      </c>
      <c r="BE76" s="49">
        <f t="shared" si="131"/>
        <v>6.3479999999999992E-6</v>
      </c>
      <c r="BF76" s="61">
        <f t="shared" si="147"/>
        <v>6.3479999999999992E-6</v>
      </c>
      <c r="BG76" s="58">
        <f t="shared" si="132"/>
        <v>1.4700399999999999E-2</v>
      </c>
      <c r="BH76" s="49">
        <f t="shared" si="133"/>
        <v>6.8999999999999999E-3</v>
      </c>
      <c r="BI76" s="61">
        <f t="shared" si="134"/>
        <v>2.1600399999999999E-2</v>
      </c>
      <c r="BK76" s="218">
        <f t="shared" si="111"/>
        <v>0</v>
      </c>
      <c r="BL76" s="214">
        <f t="shared" si="112"/>
        <v>0</v>
      </c>
      <c r="BM76" s="214">
        <f t="shared" si="113"/>
        <v>0</v>
      </c>
      <c r="BN76" s="61">
        <f t="shared" si="135"/>
        <v>0</v>
      </c>
      <c r="BO76" s="58">
        <v>0</v>
      </c>
      <c r="BP76" s="49">
        <f t="shared" si="136"/>
        <v>0</v>
      </c>
      <c r="BQ76" s="61">
        <f t="shared" si="148"/>
        <v>0</v>
      </c>
      <c r="BR76" s="58">
        <f t="shared" si="137"/>
        <v>0</v>
      </c>
      <c r="BS76" s="49">
        <f t="shared" si="138"/>
        <v>0</v>
      </c>
      <c r="BT76" s="61">
        <f t="shared" si="149"/>
        <v>0</v>
      </c>
      <c r="BU76" s="58">
        <f t="shared" si="114"/>
        <v>4.291685742502954E-3</v>
      </c>
      <c r="BV76" s="49">
        <f t="shared" si="115"/>
        <v>2.59875E-2</v>
      </c>
      <c r="BW76" s="61">
        <f t="shared" si="116"/>
        <v>5.4000000000000003E-3</v>
      </c>
      <c r="BX76" s="49">
        <f t="shared" si="139"/>
        <v>0.28817163413754432</v>
      </c>
      <c r="BY76" s="49">
        <f t="shared" si="140"/>
        <v>0.81749110663899982</v>
      </c>
      <c r="BZ76" s="49">
        <f t="shared" si="141"/>
        <v>93.19154066677882</v>
      </c>
    </row>
    <row r="77" spans="17:78" x14ac:dyDescent="0.35">
      <c r="Q77" s="49">
        <v>70</v>
      </c>
      <c r="R77" s="218">
        <f t="shared" si="94"/>
        <v>11.351666666666668</v>
      </c>
      <c r="S77" s="214">
        <f t="shared" si="95"/>
        <v>12</v>
      </c>
      <c r="T77" s="219">
        <f t="shared" si="96"/>
        <v>0.94597222222222233</v>
      </c>
      <c r="U77" s="218">
        <f t="shared" si="97"/>
        <v>2</v>
      </c>
      <c r="V77" s="214">
        <f t="shared" si="98"/>
        <v>0.4825090470446321</v>
      </c>
      <c r="W77" s="214">
        <f t="shared" si="99"/>
        <v>0.51749095295536796</v>
      </c>
      <c r="X77" s="214">
        <f t="shared" si="117"/>
        <v>0</v>
      </c>
      <c r="Y77" s="218">
        <f t="shared" si="118"/>
        <v>1.9605274305555558</v>
      </c>
      <c r="Z77" s="214">
        <f t="shared" si="100"/>
        <v>2.924297254815952</v>
      </c>
      <c r="AA77" s="214">
        <f t="shared" si="119"/>
        <v>3.4226760579635318</v>
      </c>
      <c r="AB77" s="219">
        <f t="shared" si="101"/>
        <v>1.482718139182051</v>
      </c>
      <c r="AC77" s="218">
        <v>0</v>
      </c>
      <c r="AD77" s="214">
        <f t="shared" si="102"/>
        <v>6.5953592407784506E-2</v>
      </c>
      <c r="AE77" s="219">
        <f t="shared" si="120"/>
        <v>6.5953592407784506E-2</v>
      </c>
      <c r="AF77" s="58">
        <f t="shared" si="103"/>
        <v>0.22703333333333336</v>
      </c>
      <c r="AG77" s="61">
        <f t="shared" si="104"/>
        <v>0.22703333333333336</v>
      </c>
      <c r="AH77" s="58">
        <f t="shared" si="105"/>
        <v>1.9126541798257506E-2</v>
      </c>
      <c r="AI77" s="49">
        <f t="shared" si="106"/>
        <v>5.1250402384558365E-2</v>
      </c>
      <c r="AJ77" s="61">
        <f t="shared" si="121"/>
        <v>7.037694418281587E-2</v>
      </c>
      <c r="AK77" s="218">
        <f t="shared" si="107"/>
        <v>11.200000000000001</v>
      </c>
      <c r="AL77" s="214">
        <f t="shared" si="108"/>
        <v>48</v>
      </c>
      <c r="AM77" s="219">
        <f t="shared" si="122"/>
        <v>0.23333333333333336</v>
      </c>
      <c r="AN77" s="218">
        <f t="shared" si="123"/>
        <v>2</v>
      </c>
      <c r="AO77" s="214">
        <f t="shared" si="124"/>
        <v>0.51749095295536796</v>
      </c>
      <c r="AP77" s="214">
        <f t="shared" si="125"/>
        <v>0.45089355089355088</v>
      </c>
      <c r="AQ77" s="214">
        <f t="shared" si="126"/>
        <v>0.6816543717519703</v>
      </c>
      <c r="AR77" s="214">
        <f t="shared" si="142"/>
        <v>0.79172073676953603</v>
      </c>
      <c r="AS77" s="219">
        <f t="shared" si="143"/>
        <v>0.35390152843892914</v>
      </c>
      <c r="AT77" s="218"/>
      <c r="AU77" s="214">
        <f t="shared" si="127"/>
        <v>6.5333333333333357E-4</v>
      </c>
      <c r="AV77" s="219">
        <f t="shared" si="144"/>
        <v>6.5333333333333357E-4</v>
      </c>
      <c r="AW77" s="218">
        <f t="shared" si="128"/>
        <v>0.109428</v>
      </c>
      <c r="AX77" s="214">
        <f t="shared" si="129"/>
        <v>7.0000000000000007E-2</v>
      </c>
      <c r="AY77" s="219">
        <f t="shared" si="145"/>
        <v>0.179428</v>
      </c>
      <c r="AZ77" s="218">
        <f t="shared" si="109"/>
        <v>0.15166666666666667</v>
      </c>
      <c r="BA77" s="214">
        <f t="shared" si="110"/>
        <v>6.5</v>
      </c>
      <c r="BB77" s="214">
        <f t="shared" si="146"/>
        <v>2.3333333333333334E-2</v>
      </c>
      <c r="BC77" s="61">
        <f t="shared" si="130"/>
        <v>2.3333333333333334E-2</v>
      </c>
      <c r="BD77" s="58">
        <v>0</v>
      </c>
      <c r="BE77" s="49">
        <f t="shared" si="131"/>
        <v>6.533333333333334E-6</v>
      </c>
      <c r="BF77" s="61">
        <f t="shared" si="147"/>
        <v>6.533333333333334E-6</v>
      </c>
      <c r="BG77" s="58">
        <f t="shared" si="132"/>
        <v>1.4700399999999999E-2</v>
      </c>
      <c r="BH77" s="49">
        <f t="shared" si="133"/>
        <v>7.0000000000000001E-3</v>
      </c>
      <c r="BI77" s="61">
        <f t="shared" si="134"/>
        <v>2.1700399999999998E-2</v>
      </c>
      <c r="BK77" s="218">
        <f t="shared" si="111"/>
        <v>0</v>
      </c>
      <c r="BL77" s="214">
        <f t="shared" si="112"/>
        <v>0</v>
      </c>
      <c r="BM77" s="214">
        <f t="shared" si="113"/>
        <v>0</v>
      </c>
      <c r="BN77" s="61">
        <f t="shared" si="135"/>
        <v>0</v>
      </c>
      <c r="BO77" s="58">
        <v>0</v>
      </c>
      <c r="BP77" s="49">
        <f t="shared" si="136"/>
        <v>0</v>
      </c>
      <c r="BQ77" s="61">
        <f t="shared" si="148"/>
        <v>0</v>
      </c>
      <c r="BR77" s="58">
        <f t="shared" si="137"/>
        <v>0</v>
      </c>
      <c r="BS77" s="49">
        <f t="shared" si="138"/>
        <v>0</v>
      </c>
      <c r="BT77" s="61">
        <f t="shared" si="149"/>
        <v>0</v>
      </c>
      <c r="BU77" s="58">
        <f t="shared" si="114"/>
        <v>4.3969061605189678E-3</v>
      </c>
      <c r="BV77" s="49">
        <f t="shared" si="115"/>
        <v>2.59875E-2</v>
      </c>
      <c r="BW77" s="61">
        <f t="shared" si="116"/>
        <v>5.4000000000000003E-3</v>
      </c>
      <c r="BX77" s="49">
        <f t="shared" si="139"/>
        <v>0.29299345907445118</v>
      </c>
      <c r="BY77" s="49">
        <f t="shared" si="140"/>
        <v>0.82796987608445272</v>
      </c>
      <c r="BZ77" s="49">
        <f t="shared" si="141"/>
        <v>93.202014910886405</v>
      </c>
    </row>
    <row r="78" spans="17:78" x14ac:dyDescent="0.35">
      <c r="Q78" s="49">
        <v>71</v>
      </c>
      <c r="R78" s="218">
        <f t="shared" si="94"/>
        <v>11.513833333333332</v>
      </c>
      <c r="S78" s="214">
        <f t="shared" si="95"/>
        <v>12</v>
      </c>
      <c r="T78" s="219">
        <f t="shared" si="96"/>
        <v>0.95948611111111104</v>
      </c>
      <c r="U78" s="218">
        <f t="shared" si="97"/>
        <v>2</v>
      </c>
      <c r="V78" s="214">
        <f t="shared" si="98"/>
        <v>0.4825090470446321</v>
      </c>
      <c r="W78" s="214">
        <f t="shared" si="99"/>
        <v>0.51749095295536796</v>
      </c>
      <c r="X78" s="214">
        <f t="shared" si="117"/>
        <v>0</v>
      </c>
      <c r="Y78" s="218">
        <f t="shared" si="118"/>
        <v>1.9885349652777775</v>
      </c>
      <c r="Z78" s="214">
        <f t="shared" si="100"/>
        <v>2.924297254815952</v>
      </c>
      <c r="AA78" s="214">
        <f t="shared" si="119"/>
        <v>3.4506835926857535</v>
      </c>
      <c r="AB78" s="219">
        <f t="shared" si="101"/>
        <v>1.5006066342289919</v>
      </c>
      <c r="AC78" s="218">
        <v>0</v>
      </c>
      <c r="AD78" s="214">
        <f t="shared" si="102"/>
        <v>6.7554608120761903E-2</v>
      </c>
      <c r="AE78" s="219">
        <f t="shared" si="120"/>
        <v>6.7554608120761903E-2</v>
      </c>
      <c r="AF78" s="58">
        <f t="shared" si="103"/>
        <v>0.23027666666666666</v>
      </c>
      <c r="AG78" s="61">
        <f t="shared" si="104"/>
        <v>0.23027666666666666</v>
      </c>
      <c r="AH78" s="58">
        <f t="shared" si="105"/>
        <v>1.959083635502095E-2</v>
      </c>
      <c r="AI78" s="49">
        <f t="shared" si="106"/>
        <v>5.1982550990052043E-2</v>
      </c>
      <c r="AJ78" s="61">
        <f t="shared" si="121"/>
        <v>7.1573387345072986E-2</v>
      </c>
      <c r="AK78" s="218">
        <f t="shared" si="107"/>
        <v>11.36</v>
      </c>
      <c r="AL78" s="214">
        <f t="shared" si="108"/>
        <v>48</v>
      </c>
      <c r="AM78" s="219">
        <f t="shared" si="122"/>
        <v>0.23666666666666666</v>
      </c>
      <c r="AN78" s="218">
        <f t="shared" si="123"/>
        <v>2</v>
      </c>
      <c r="AO78" s="214">
        <f t="shared" si="124"/>
        <v>0.51749095295536796</v>
      </c>
      <c r="AP78" s="214">
        <f t="shared" si="125"/>
        <v>0.45733488733488725</v>
      </c>
      <c r="AQ78" s="214">
        <f t="shared" si="126"/>
        <v>0.6816543717519703</v>
      </c>
      <c r="AR78" s="214">
        <f t="shared" si="142"/>
        <v>0.7981620732108724</v>
      </c>
      <c r="AS78" s="219">
        <f t="shared" si="143"/>
        <v>0.35815320738315087</v>
      </c>
      <c r="AT78" s="218"/>
      <c r="AU78" s="214">
        <f t="shared" si="127"/>
        <v>6.7213333333333337E-4</v>
      </c>
      <c r="AV78" s="219">
        <f t="shared" si="144"/>
        <v>6.7213333333333337E-4</v>
      </c>
      <c r="AW78" s="218">
        <f t="shared" si="128"/>
        <v>0.109428</v>
      </c>
      <c r="AX78" s="214">
        <f t="shared" si="129"/>
        <v>7.0999999999999994E-2</v>
      </c>
      <c r="AY78" s="219">
        <f t="shared" si="145"/>
        <v>0.18042799999999998</v>
      </c>
      <c r="AZ78" s="218">
        <f t="shared" si="109"/>
        <v>0.15383333333333332</v>
      </c>
      <c r="BA78" s="214">
        <f t="shared" si="110"/>
        <v>6.5</v>
      </c>
      <c r="BB78" s="214">
        <f t="shared" si="146"/>
        <v>2.3666666666666666E-2</v>
      </c>
      <c r="BC78" s="61">
        <f t="shared" si="130"/>
        <v>2.3666666666666666E-2</v>
      </c>
      <c r="BD78" s="58">
        <v>0</v>
      </c>
      <c r="BE78" s="49">
        <f t="shared" si="131"/>
        <v>6.7213333333333329E-6</v>
      </c>
      <c r="BF78" s="61">
        <f t="shared" si="147"/>
        <v>6.7213333333333329E-6</v>
      </c>
      <c r="BG78" s="58">
        <f t="shared" si="132"/>
        <v>1.4700399999999999E-2</v>
      </c>
      <c r="BH78" s="49">
        <f t="shared" si="133"/>
        <v>7.0999999999999995E-3</v>
      </c>
      <c r="BI78" s="61">
        <f t="shared" si="134"/>
        <v>2.1800399999999998E-2</v>
      </c>
      <c r="BK78" s="218">
        <f t="shared" si="111"/>
        <v>0</v>
      </c>
      <c r="BL78" s="214">
        <f t="shared" si="112"/>
        <v>0</v>
      </c>
      <c r="BM78" s="214">
        <f t="shared" si="113"/>
        <v>0</v>
      </c>
      <c r="BN78" s="61">
        <f t="shared" si="135"/>
        <v>0</v>
      </c>
      <c r="BO78" s="58">
        <v>0</v>
      </c>
      <c r="BP78" s="49">
        <f t="shared" si="136"/>
        <v>0</v>
      </c>
      <c r="BQ78" s="61">
        <f t="shared" si="148"/>
        <v>0</v>
      </c>
      <c r="BR78" s="58">
        <f t="shared" si="137"/>
        <v>0</v>
      </c>
      <c r="BS78" s="49">
        <f t="shared" si="138"/>
        <v>0</v>
      </c>
      <c r="BT78" s="61">
        <f t="shared" si="149"/>
        <v>0</v>
      </c>
      <c r="BU78" s="58">
        <f t="shared" si="114"/>
        <v>4.5036405413841265E-3</v>
      </c>
      <c r="BV78" s="49">
        <f t="shared" si="115"/>
        <v>2.59875E-2</v>
      </c>
      <c r="BW78" s="61">
        <f t="shared" si="116"/>
        <v>5.4000000000000003E-3</v>
      </c>
      <c r="BX78" s="49">
        <f t="shared" si="139"/>
        <v>0.29783799612076189</v>
      </c>
      <c r="BY78" s="49">
        <f t="shared" si="140"/>
        <v>0.83847972400721893</v>
      </c>
      <c r="BZ78" s="49">
        <f t="shared" si="141"/>
        <v>93.211961839738677</v>
      </c>
    </row>
    <row r="79" spans="17:78" x14ac:dyDescent="0.35">
      <c r="Q79" s="49">
        <v>72</v>
      </c>
      <c r="R79" s="218">
        <f t="shared" si="94"/>
        <v>11.676</v>
      </c>
      <c r="S79" s="214">
        <f t="shared" si="95"/>
        <v>12</v>
      </c>
      <c r="T79" s="219">
        <f t="shared" si="96"/>
        <v>0.97299999999999998</v>
      </c>
      <c r="U79" s="218">
        <f t="shared" si="97"/>
        <v>2</v>
      </c>
      <c r="V79" s="214">
        <f t="shared" si="98"/>
        <v>0.4825090470446321</v>
      </c>
      <c r="W79" s="214">
        <f t="shared" si="99"/>
        <v>0.51749095295536796</v>
      </c>
      <c r="X79" s="214">
        <f t="shared" si="117"/>
        <v>0</v>
      </c>
      <c r="Y79" s="218">
        <f t="shared" si="118"/>
        <v>2.0165424999999999</v>
      </c>
      <c r="Z79" s="214">
        <f t="shared" si="100"/>
        <v>2.924297254815952</v>
      </c>
      <c r="AA79" s="214">
        <f t="shared" si="119"/>
        <v>3.4786911274079761</v>
      </c>
      <c r="AB79" s="219">
        <f t="shared" si="101"/>
        <v>1.5185336488037469</v>
      </c>
      <c r="AC79" s="218">
        <v>0</v>
      </c>
      <c r="AD79" s="214">
        <f t="shared" si="102"/>
        <v>6.9178333276476628E-2</v>
      </c>
      <c r="AE79" s="219">
        <f t="shared" si="120"/>
        <v>6.9178333276476628E-2</v>
      </c>
      <c r="AF79" s="58">
        <f t="shared" si="103"/>
        <v>0.23352000000000001</v>
      </c>
      <c r="AG79" s="61">
        <f t="shared" si="104"/>
        <v>0.23352000000000001</v>
      </c>
      <c r="AH79" s="58">
        <f t="shared" si="105"/>
        <v>2.0061716650178221E-2</v>
      </c>
      <c r="AI79" s="49">
        <f t="shared" si="106"/>
        <v>5.2714699595545741E-2</v>
      </c>
      <c r="AJ79" s="61">
        <f t="shared" si="121"/>
        <v>7.2776416245723966E-2</v>
      </c>
      <c r="AK79" s="218">
        <f t="shared" si="107"/>
        <v>11.52</v>
      </c>
      <c r="AL79" s="214">
        <f t="shared" si="108"/>
        <v>48</v>
      </c>
      <c r="AM79" s="219">
        <f t="shared" si="122"/>
        <v>0.24</v>
      </c>
      <c r="AN79" s="218">
        <f t="shared" si="123"/>
        <v>2</v>
      </c>
      <c r="AO79" s="214">
        <f t="shared" si="124"/>
        <v>0.51749095295536796</v>
      </c>
      <c r="AP79" s="214">
        <f t="shared" si="125"/>
        <v>0.46377622377622374</v>
      </c>
      <c r="AQ79" s="214">
        <f t="shared" si="126"/>
        <v>0.6816543717519703</v>
      </c>
      <c r="AR79" s="214">
        <f t="shared" si="142"/>
        <v>0.80460340965220889</v>
      </c>
      <c r="AS79" s="219">
        <f t="shared" si="143"/>
        <v>0.36241425238145464</v>
      </c>
      <c r="AT79" s="218"/>
      <c r="AU79" s="214">
        <f t="shared" si="127"/>
        <v>6.912E-4</v>
      </c>
      <c r="AV79" s="219">
        <f t="shared" si="144"/>
        <v>6.912E-4</v>
      </c>
      <c r="AW79" s="218">
        <f t="shared" si="128"/>
        <v>0.109428</v>
      </c>
      <c r="AX79" s="214">
        <f t="shared" si="129"/>
        <v>7.1999999999999995E-2</v>
      </c>
      <c r="AY79" s="219">
        <f t="shared" si="145"/>
        <v>0.18142799999999998</v>
      </c>
      <c r="AZ79" s="218">
        <f t="shared" si="109"/>
        <v>0.156</v>
      </c>
      <c r="BA79" s="214">
        <f t="shared" si="110"/>
        <v>6.5</v>
      </c>
      <c r="BB79" s="214">
        <f t="shared" si="146"/>
        <v>2.4E-2</v>
      </c>
      <c r="BC79" s="61">
        <f t="shared" si="130"/>
        <v>2.4E-2</v>
      </c>
      <c r="BD79" s="58">
        <v>0</v>
      </c>
      <c r="BE79" s="49">
        <f t="shared" si="131"/>
        <v>6.9120000000000001E-6</v>
      </c>
      <c r="BF79" s="61">
        <f t="shared" si="147"/>
        <v>6.9120000000000001E-6</v>
      </c>
      <c r="BG79" s="58">
        <f t="shared" si="132"/>
        <v>1.4700399999999999E-2</v>
      </c>
      <c r="BH79" s="49">
        <f t="shared" si="133"/>
        <v>7.1999999999999998E-3</v>
      </c>
      <c r="BI79" s="61">
        <f t="shared" si="134"/>
        <v>2.19004E-2</v>
      </c>
      <c r="BK79" s="218">
        <f t="shared" si="111"/>
        <v>0</v>
      </c>
      <c r="BL79" s="214">
        <f t="shared" si="112"/>
        <v>0</v>
      </c>
      <c r="BM79" s="214">
        <f t="shared" si="113"/>
        <v>0</v>
      </c>
      <c r="BN79" s="61">
        <f t="shared" si="135"/>
        <v>0</v>
      </c>
      <c r="BO79" s="58">
        <v>0</v>
      </c>
      <c r="BP79" s="49">
        <f t="shared" si="136"/>
        <v>0</v>
      </c>
      <c r="BQ79" s="61">
        <f t="shared" si="148"/>
        <v>0</v>
      </c>
      <c r="BR79" s="58">
        <f t="shared" si="137"/>
        <v>0</v>
      </c>
      <c r="BS79" s="49">
        <f t="shared" si="138"/>
        <v>0</v>
      </c>
      <c r="BT79" s="61">
        <f t="shared" si="149"/>
        <v>0</v>
      </c>
      <c r="BU79" s="58">
        <f t="shared" si="114"/>
        <v>4.6118888850984422E-3</v>
      </c>
      <c r="BV79" s="49">
        <f t="shared" si="115"/>
        <v>2.59875E-2</v>
      </c>
      <c r="BW79" s="61">
        <f t="shared" si="116"/>
        <v>5.4000000000000003E-3</v>
      </c>
      <c r="BX79" s="49">
        <f t="shared" si="139"/>
        <v>0.30270524527647663</v>
      </c>
      <c r="BY79" s="49">
        <f t="shared" si="140"/>
        <v>0.84902065040729902</v>
      </c>
      <c r="BZ79" s="49">
        <f t="shared" si="141"/>
        <v>93.221403188826756</v>
      </c>
    </row>
    <row r="80" spans="17:78" x14ac:dyDescent="0.35">
      <c r="Q80" s="49">
        <v>73</v>
      </c>
      <c r="R80" s="218">
        <f t="shared" si="94"/>
        <v>11.838166666666666</v>
      </c>
      <c r="S80" s="214">
        <f t="shared" si="95"/>
        <v>12</v>
      </c>
      <c r="T80" s="219">
        <f t="shared" si="96"/>
        <v>0.9865138888888888</v>
      </c>
      <c r="U80" s="218">
        <f t="shared" si="97"/>
        <v>2</v>
      </c>
      <c r="V80" s="214">
        <f t="shared" si="98"/>
        <v>0.4825090470446321</v>
      </c>
      <c r="W80" s="214">
        <f t="shared" si="99"/>
        <v>0.51749095295536796</v>
      </c>
      <c r="X80" s="214">
        <f t="shared" si="117"/>
        <v>0</v>
      </c>
      <c r="Y80" s="218">
        <f t="shared" si="118"/>
        <v>2.0445500347222221</v>
      </c>
      <c r="Z80" s="214">
        <f t="shared" si="100"/>
        <v>2.924297254815952</v>
      </c>
      <c r="AA80" s="214">
        <f t="shared" si="119"/>
        <v>3.5066986621301979</v>
      </c>
      <c r="AB80" s="219">
        <f t="shared" si="101"/>
        <v>1.5364978346326925</v>
      </c>
      <c r="AC80" s="218">
        <v>0</v>
      </c>
      <c r="AD80" s="214">
        <f t="shared" si="102"/>
        <v>7.0824767874928585E-2</v>
      </c>
      <c r="AE80" s="219">
        <f t="shared" si="120"/>
        <v>7.0824767874928585E-2</v>
      </c>
      <c r="AF80" s="58">
        <f t="shared" si="103"/>
        <v>0.23676333333333333</v>
      </c>
      <c r="AG80" s="61">
        <f t="shared" si="104"/>
        <v>0.23676333333333333</v>
      </c>
      <c r="AH80" s="58">
        <f t="shared" si="105"/>
        <v>2.0539182683729288E-2</v>
      </c>
      <c r="AI80" s="49">
        <f t="shared" si="106"/>
        <v>5.3446848201039433E-2</v>
      </c>
      <c r="AJ80" s="61">
        <f t="shared" si="121"/>
        <v>7.3986030884768725E-2</v>
      </c>
      <c r="AK80" s="218">
        <f t="shared" si="107"/>
        <v>11.68</v>
      </c>
      <c r="AL80" s="214">
        <f t="shared" si="108"/>
        <v>48</v>
      </c>
      <c r="AM80" s="219">
        <f t="shared" si="122"/>
        <v>0.24333333333333332</v>
      </c>
      <c r="AN80" s="218">
        <f t="shared" si="123"/>
        <v>2</v>
      </c>
      <c r="AO80" s="214">
        <f t="shared" si="124"/>
        <v>0.51749095295536784</v>
      </c>
      <c r="AP80" s="214">
        <f t="shared" si="125"/>
        <v>0.47021756021756023</v>
      </c>
      <c r="AQ80" s="214">
        <f t="shared" si="126"/>
        <v>0.68165437175197008</v>
      </c>
      <c r="AR80" s="214">
        <f t="shared" si="142"/>
        <v>0.81104474609354527</v>
      </c>
      <c r="AS80" s="219">
        <f t="shared" si="143"/>
        <v>0.36668433692008345</v>
      </c>
      <c r="AT80" s="218"/>
      <c r="AU80" s="214">
        <f t="shared" si="127"/>
        <v>7.1053333333333322E-4</v>
      </c>
      <c r="AV80" s="219">
        <f t="shared" si="144"/>
        <v>7.1053333333333322E-4</v>
      </c>
      <c r="AW80" s="218">
        <f t="shared" si="128"/>
        <v>0.109428</v>
      </c>
      <c r="AX80" s="214">
        <f t="shared" si="129"/>
        <v>7.2999999999999995E-2</v>
      </c>
      <c r="AY80" s="219">
        <f t="shared" si="145"/>
        <v>0.18242799999999998</v>
      </c>
      <c r="AZ80" s="218">
        <f t="shared" si="109"/>
        <v>0.15816666666666665</v>
      </c>
      <c r="BA80" s="214">
        <f t="shared" si="110"/>
        <v>6.5</v>
      </c>
      <c r="BB80" s="214">
        <f t="shared" si="146"/>
        <v>2.4333333333333332E-2</v>
      </c>
      <c r="BC80" s="61">
        <f t="shared" si="130"/>
        <v>2.4333333333333332E-2</v>
      </c>
      <c r="BD80" s="58">
        <v>0</v>
      </c>
      <c r="BE80" s="49">
        <f t="shared" si="131"/>
        <v>7.105333333333333E-6</v>
      </c>
      <c r="BF80" s="61">
        <f t="shared" si="147"/>
        <v>7.105333333333333E-6</v>
      </c>
      <c r="BG80" s="58">
        <f t="shared" si="132"/>
        <v>1.4700399999999999E-2</v>
      </c>
      <c r="BH80" s="49">
        <f t="shared" si="133"/>
        <v>7.2999999999999992E-3</v>
      </c>
      <c r="BI80" s="61">
        <f t="shared" si="134"/>
        <v>2.2000399999999996E-2</v>
      </c>
      <c r="BK80" s="218">
        <f t="shared" si="111"/>
        <v>0</v>
      </c>
      <c r="BL80" s="214">
        <f t="shared" si="112"/>
        <v>0</v>
      </c>
      <c r="BM80" s="214">
        <f t="shared" si="113"/>
        <v>0</v>
      </c>
      <c r="BN80" s="61">
        <f t="shared" ref="BN80:BN111" si="150">IF(EN_OUT_3=1,BK80/BL80,0)</f>
        <v>0</v>
      </c>
      <c r="BO80" s="58">
        <v>0</v>
      </c>
      <c r="BP80" s="49">
        <f t="shared" si="136"/>
        <v>0</v>
      </c>
      <c r="BQ80" s="61">
        <f t="shared" si="148"/>
        <v>0</v>
      </c>
      <c r="BR80" s="58">
        <f t="shared" si="137"/>
        <v>0</v>
      </c>
      <c r="BS80" s="49">
        <f t="shared" si="138"/>
        <v>0</v>
      </c>
      <c r="BT80" s="61">
        <f t="shared" si="149"/>
        <v>0</v>
      </c>
      <c r="BU80" s="58">
        <f t="shared" si="114"/>
        <v>4.7216511916619054E-3</v>
      </c>
      <c r="BV80" s="49">
        <f t="shared" si="115"/>
        <v>2.59875E-2</v>
      </c>
      <c r="BW80" s="61">
        <f t="shared" si="116"/>
        <v>5.4000000000000003E-3</v>
      </c>
      <c r="BX80" s="49">
        <f t="shared" si="139"/>
        <v>0.30759520654159522</v>
      </c>
      <c r="BY80" s="49">
        <f t="shared" si="140"/>
        <v>0.85959265528469253</v>
      </c>
      <c r="BZ80" s="49">
        <f t="shared" si="141"/>
        <v>93.230359518638338</v>
      </c>
    </row>
    <row r="81" spans="17:78" x14ac:dyDescent="0.35">
      <c r="Q81" s="49">
        <v>74</v>
      </c>
      <c r="R81" s="218">
        <f t="shared" si="94"/>
        <v>12.000333333333334</v>
      </c>
      <c r="S81" s="214">
        <f t="shared" si="95"/>
        <v>12</v>
      </c>
      <c r="T81" s="219">
        <f t="shared" si="96"/>
        <v>1.0000277777777777</v>
      </c>
      <c r="U81" s="218">
        <f t="shared" si="97"/>
        <v>2</v>
      </c>
      <c r="V81" s="214">
        <f t="shared" si="98"/>
        <v>0.4825090470446321</v>
      </c>
      <c r="W81" s="214">
        <f t="shared" si="99"/>
        <v>0.51749095295536796</v>
      </c>
      <c r="X81" s="214">
        <f t="shared" si="117"/>
        <v>0</v>
      </c>
      <c r="Y81" s="218">
        <f t="shared" si="118"/>
        <v>2.0725575694444442</v>
      </c>
      <c r="Z81" s="214">
        <f t="shared" si="100"/>
        <v>2.924297254815952</v>
      </c>
      <c r="AA81" s="214">
        <f t="shared" si="119"/>
        <v>3.5347061968524205</v>
      </c>
      <c r="AB81" s="219">
        <f t="shared" si="101"/>
        <v>1.5544979030340507</v>
      </c>
      <c r="AC81" s="218">
        <v>0</v>
      </c>
      <c r="AD81" s="214">
        <f t="shared" si="102"/>
        <v>7.2493911916117815E-2</v>
      </c>
      <c r="AE81" s="219">
        <f t="shared" si="120"/>
        <v>7.2493911916117815E-2</v>
      </c>
      <c r="AF81" s="58">
        <f t="shared" si="103"/>
        <v>0.24000666666666667</v>
      </c>
      <c r="AG81" s="61">
        <f t="shared" si="104"/>
        <v>0.24000666666666667</v>
      </c>
      <c r="AH81" s="58">
        <f t="shared" si="105"/>
        <v>2.1023234455674167E-2</v>
      </c>
      <c r="AI81" s="49">
        <f t="shared" si="106"/>
        <v>5.4178996806533118E-2</v>
      </c>
      <c r="AJ81" s="61">
        <f t="shared" si="121"/>
        <v>7.5202231262207292E-2</v>
      </c>
      <c r="AK81" s="218">
        <f t="shared" si="107"/>
        <v>11.84</v>
      </c>
      <c r="AL81" s="214">
        <f t="shared" si="108"/>
        <v>48</v>
      </c>
      <c r="AM81" s="219">
        <f t="shared" si="122"/>
        <v>0.24666666666666667</v>
      </c>
      <c r="AN81" s="218">
        <f t="shared" si="123"/>
        <v>2</v>
      </c>
      <c r="AO81" s="214">
        <f t="shared" si="124"/>
        <v>0.51749095295536796</v>
      </c>
      <c r="AP81" s="214">
        <f t="shared" si="125"/>
        <v>0.4766588966588966</v>
      </c>
      <c r="AQ81" s="214">
        <f t="shared" si="126"/>
        <v>0.6816543717519703</v>
      </c>
      <c r="AR81" s="214">
        <f t="shared" si="142"/>
        <v>0.81748608253488175</v>
      </c>
      <c r="AS81" s="219">
        <f t="shared" si="143"/>
        <v>0.37096314884200571</v>
      </c>
      <c r="AT81" s="218"/>
      <c r="AU81" s="214">
        <f t="shared" si="127"/>
        <v>7.3013333333333348E-4</v>
      </c>
      <c r="AV81" s="219">
        <f t="shared" si="144"/>
        <v>7.3013333333333348E-4</v>
      </c>
      <c r="AW81" s="218">
        <f t="shared" si="128"/>
        <v>0.109428</v>
      </c>
      <c r="AX81" s="214">
        <f t="shared" si="129"/>
        <v>7.3999999999999996E-2</v>
      </c>
      <c r="AY81" s="219">
        <f t="shared" si="145"/>
        <v>0.18342799999999998</v>
      </c>
      <c r="AZ81" s="218">
        <f t="shared" si="109"/>
        <v>0.16033333333333333</v>
      </c>
      <c r="BA81" s="214">
        <f t="shared" si="110"/>
        <v>6.5</v>
      </c>
      <c r="BB81" s="214">
        <f t="shared" si="146"/>
        <v>2.4666666666666667E-2</v>
      </c>
      <c r="BC81" s="61">
        <f t="shared" si="130"/>
        <v>2.4666666666666667E-2</v>
      </c>
      <c r="BD81" s="58">
        <v>0</v>
      </c>
      <c r="BE81" s="49">
        <f t="shared" si="131"/>
        <v>7.3013333333333333E-6</v>
      </c>
      <c r="BF81" s="61">
        <f t="shared" si="147"/>
        <v>7.3013333333333333E-6</v>
      </c>
      <c r="BG81" s="58">
        <f t="shared" si="132"/>
        <v>1.4700399999999999E-2</v>
      </c>
      <c r="BH81" s="49">
        <f t="shared" si="133"/>
        <v>7.3999999999999995E-3</v>
      </c>
      <c r="BI81" s="61">
        <f t="shared" si="134"/>
        <v>2.2100399999999999E-2</v>
      </c>
      <c r="BK81" s="218">
        <f t="shared" si="111"/>
        <v>0</v>
      </c>
      <c r="BL81" s="214">
        <f t="shared" si="112"/>
        <v>0</v>
      </c>
      <c r="BM81" s="214">
        <f t="shared" si="113"/>
        <v>0</v>
      </c>
      <c r="BN81" s="61">
        <f t="shared" si="150"/>
        <v>0</v>
      </c>
      <c r="BO81" s="58">
        <v>0</v>
      </c>
      <c r="BP81" s="49">
        <f t="shared" si="136"/>
        <v>0</v>
      </c>
      <c r="BQ81" s="61">
        <f t="shared" si="148"/>
        <v>0</v>
      </c>
      <c r="BR81" s="58">
        <f t="shared" si="137"/>
        <v>0</v>
      </c>
      <c r="BS81" s="49">
        <f t="shared" si="138"/>
        <v>0</v>
      </c>
      <c r="BT81" s="61">
        <f t="shared" si="149"/>
        <v>0</v>
      </c>
      <c r="BU81" s="58">
        <f t="shared" si="114"/>
        <v>4.8329274610745213E-3</v>
      </c>
      <c r="BV81" s="49">
        <f t="shared" si="115"/>
        <v>2.59875E-2</v>
      </c>
      <c r="BW81" s="61">
        <f t="shared" si="116"/>
        <v>5.4000000000000003E-3</v>
      </c>
      <c r="BX81" s="49">
        <f t="shared" si="139"/>
        <v>0.31250787991611784</v>
      </c>
      <c r="BY81" s="49">
        <f t="shared" si="140"/>
        <v>0.8701957386393997</v>
      </c>
      <c r="BZ81" s="49">
        <f t="shared" si="141"/>
        <v>93.238850292997171</v>
      </c>
    </row>
    <row r="82" spans="17:78" x14ac:dyDescent="0.35">
      <c r="Q82" s="49">
        <v>75</v>
      </c>
      <c r="R82" s="218">
        <f t="shared" si="94"/>
        <v>12.1625</v>
      </c>
      <c r="S82" s="214">
        <f t="shared" si="95"/>
        <v>12</v>
      </c>
      <c r="T82" s="219">
        <f t="shared" si="96"/>
        <v>1.0135416666666666</v>
      </c>
      <c r="U82" s="218">
        <f t="shared" si="97"/>
        <v>2</v>
      </c>
      <c r="V82" s="214">
        <f t="shared" si="98"/>
        <v>0.4825090470446321</v>
      </c>
      <c r="W82" s="214">
        <f t="shared" si="99"/>
        <v>0.51749095295536796</v>
      </c>
      <c r="X82" s="214">
        <f t="shared" si="117"/>
        <v>0</v>
      </c>
      <c r="Y82" s="218">
        <f t="shared" si="118"/>
        <v>2.1005651041666664</v>
      </c>
      <c r="Z82" s="214">
        <f t="shared" si="100"/>
        <v>2.924297254815952</v>
      </c>
      <c r="AA82" s="214">
        <f t="shared" si="119"/>
        <v>3.5627137315746422</v>
      </c>
      <c r="AB82" s="219">
        <f t="shared" si="101"/>
        <v>1.5725326218136602</v>
      </c>
      <c r="AC82" s="218">
        <v>0</v>
      </c>
      <c r="AD82" s="214">
        <f t="shared" si="102"/>
        <v>7.4185765400044318E-2</v>
      </c>
      <c r="AE82" s="219">
        <f t="shared" si="120"/>
        <v>7.4185765400044318E-2</v>
      </c>
      <c r="AF82" s="58">
        <f t="shared" si="103"/>
        <v>0.24324999999999999</v>
      </c>
      <c r="AG82" s="61">
        <f t="shared" si="104"/>
        <v>0.24324999999999999</v>
      </c>
      <c r="AH82" s="58">
        <f t="shared" si="105"/>
        <v>2.151387196601285E-2</v>
      </c>
      <c r="AI82" s="49">
        <f t="shared" si="106"/>
        <v>5.4911145412026803E-2</v>
      </c>
      <c r="AJ82" s="61">
        <f t="shared" si="121"/>
        <v>7.6425017378039653E-2</v>
      </c>
      <c r="AK82" s="218">
        <f t="shared" si="107"/>
        <v>12</v>
      </c>
      <c r="AL82" s="214">
        <f t="shared" si="108"/>
        <v>48</v>
      </c>
      <c r="AM82" s="219">
        <f t="shared" si="122"/>
        <v>0.25</v>
      </c>
      <c r="AN82" s="218">
        <f t="shared" si="123"/>
        <v>2</v>
      </c>
      <c r="AO82" s="214">
        <f t="shared" si="124"/>
        <v>0.51749095295536796</v>
      </c>
      <c r="AP82" s="214">
        <f t="shared" si="125"/>
        <v>0.48310023310023309</v>
      </c>
      <c r="AQ82" s="214">
        <f t="shared" si="126"/>
        <v>0.6816543717519703</v>
      </c>
      <c r="AR82" s="214">
        <f t="shared" si="142"/>
        <v>0.82392741897621824</v>
      </c>
      <c r="AS82" s="219">
        <f t="shared" si="143"/>
        <v>0.37525038960402596</v>
      </c>
      <c r="AT82" s="218"/>
      <c r="AU82" s="214">
        <f t="shared" si="127"/>
        <v>7.5000000000000002E-4</v>
      </c>
      <c r="AV82" s="219">
        <f t="shared" si="144"/>
        <v>7.5000000000000002E-4</v>
      </c>
      <c r="AW82" s="218">
        <f t="shared" si="128"/>
        <v>0.109428</v>
      </c>
      <c r="AX82" s="214">
        <f t="shared" si="129"/>
        <v>7.4999999999999997E-2</v>
      </c>
      <c r="AY82" s="219">
        <f t="shared" si="145"/>
        <v>0.18442799999999998</v>
      </c>
      <c r="AZ82" s="218">
        <f t="shared" si="109"/>
        <v>0.16250000000000001</v>
      </c>
      <c r="BA82" s="214">
        <f t="shared" si="110"/>
        <v>6.5</v>
      </c>
      <c r="BB82" s="214">
        <f t="shared" si="146"/>
        <v>2.5000000000000001E-2</v>
      </c>
      <c r="BC82" s="61">
        <f t="shared" si="130"/>
        <v>2.5000000000000001E-2</v>
      </c>
      <c r="BD82" s="58">
        <v>0</v>
      </c>
      <c r="BE82" s="49">
        <f t="shared" si="131"/>
        <v>7.5000000000000019E-6</v>
      </c>
      <c r="BF82" s="61">
        <f t="shared" si="147"/>
        <v>7.5000000000000019E-6</v>
      </c>
      <c r="BG82" s="58">
        <f t="shared" si="132"/>
        <v>1.4700399999999999E-2</v>
      </c>
      <c r="BH82" s="49">
        <f t="shared" si="133"/>
        <v>7.4999999999999997E-3</v>
      </c>
      <c r="BI82" s="61">
        <f t="shared" si="134"/>
        <v>2.2200399999999999E-2</v>
      </c>
      <c r="BK82" s="218">
        <f t="shared" si="111"/>
        <v>0</v>
      </c>
      <c r="BL82" s="214">
        <f t="shared" si="112"/>
        <v>0</v>
      </c>
      <c r="BM82" s="214">
        <f t="shared" si="113"/>
        <v>0</v>
      </c>
      <c r="BN82" s="61">
        <f t="shared" si="150"/>
        <v>0</v>
      </c>
      <c r="BO82" s="58">
        <v>0</v>
      </c>
      <c r="BP82" s="49">
        <f t="shared" si="136"/>
        <v>0</v>
      </c>
      <c r="BQ82" s="61">
        <f t="shared" si="148"/>
        <v>0</v>
      </c>
      <c r="BR82" s="58">
        <f t="shared" si="137"/>
        <v>0</v>
      </c>
      <c r="BS82" s="49">
        <f t="shared" si="138"/>
        <v>0</v>
      </c>
      <c r="BT82" s="61">
        <f t="shared" si="149"/>
        <v>0</v>
      </c>
      <c r="BU82" s="58">
        <f t="shared" si="114"/>
        <v>4.9457176933362882E-3</v>
      </c>
      <c r="BV82" s="49">
        <f t="shared" si="115"/>
        <v>2.59875E-2</v>
      </c>
      <c r="BW82" s="61">
        <f t="shared" si="116"/>
        <v>5.4000000000000003E-3</v>
      </c>
      <c r="BX82" s="49">
        <f t="shared" si="139"/>
        <v>0.31744326540004431</v>
      </c>
      <c r="BY82" s="49">
        <f t="shared" si="140"/>
        <v>0.88082990047142018</v>
      </c>
      <c r="BZ82" s="49">
        <f t="shared" si="141"/>
        <v>93.246893951217274</v>
      </c>
    </row>
    <row r="83" spans="17:78" x14ac:dyDescent="0.35">
      <c r="Q83" s="49">
        <v>76</v>
      </c>
      <c r="R83" s="218">
        <f t="shared" si="94"/>
        <v>12.324666666666667</v>
      </c>
      <c r="S83" s="214">
        <f t="shared" si="95"/>
        <v>12</v>
      </c>
      <c r="T83" s="219">
        <f t="shared" si="96"/>
        <v>1.0270555555555556</v>
      </c>
      <c r="U83" s="218">
        <f t="shared" si="97"/>
        <v>2</v>
      </c>
      <c r="V83" s="214">
        <f t="shared" si="98"/>
        <v>0.4825090470446321</v>
      </c>
      <c r="W83" s="214">
        <f t="shared" si="99"/>
        <v>0.51749095295536796</v>
      </c>
      <c r="X83" s="214">
        <f t="shared" si="117"/>
        <v>0</v>
      </c>
      <c r="Y83" s="218">
        <f t="shared" si="118"/>
        <v>2.128572638888889</v>
      </c>
      <c r="Z83" s="214">
        <f t="shared" si="100"/>
        <v>2.924297254815952</v>
      </c>
      <c r="AA83" s="214">
        <f t="shared" si="119"/>
        <v>3.5907212662968648</v>
      </c>
      <c r="AB83" s="219">
        <f t="shared" si="101"/>
        <v>1.5906008123421802</v>
      </c>
      <c r="AC83" s="218">
        <v>0</v>
      </c>
      <c r="AD83" s="214">
        <f t="shared" si="102"/>
        <v>7.5900328326708108E-2</v>
      </c>
      <c r="AE83" s="219">
        <f t="shared" si="120"/>
        <v>7.5900328326708108E-2</v>
      </c>
      <c r="AF83" s="58">
        <f t="shared" si="103"/>
        <v>0.24649333333333334</v>
      </c>
      <c r="AG83" s="61">
        <f t="shared" si="104"/>
        <v>0.24649333333333334</v>
      </c>
      <c r="AH83" s="58">
        <f t="shared" si="105"/>
        <v>2.2011095214745351E-2</v>
      </c>
      <c r="AI83" s="49">
        <f t="shared" si="106"/>
        <v>5.5643294017520502E-2</v>
      </c>
      <c r="AJ83" s="61">
        <f t="shared" si="121"/>
        <v>7.765438923226585E-2</v>
      </c>
      <c r="AK83" s="218">
        <f t="shared" si="107"/>
        <v>12.16</v>
      </c>
      <c r="AL83" s="214">
        <f t="shared" si="108"/>
        <v>48</v>
      </c>
      <c r="AM83" s="219">
        <f t="shared" si="122"/>
        <v>0.25333333333333335</v>
      </c>
      <c r="AN83" s="218">
        <f t="shared" si="123"/>
        <v>2</v>
      </c>
      <c r="AO83" s="214">
        <f t="shared" si="124"/>
        <v>0.51749095295536796</v>
      </c>
      <c r="AP83" s="214">
        <f t="shared" si="125"/>
        <v>0.48954156954156952</v>
      </c>
      <c r="AQ83" s="214">
        <f t="shared" si="126"/>
        <v>0.6816543717519703</v>
      </c>
      <c r="AR83" s="214">
        <f t="shared" si="142"/>
        <v>0.83036875541755473</v>
      </c>
      <c r="AS83" s="219">
        <f t="shared" si="143"/>
        <v>0.37954577357693314</v>
      </c>
      <c r="AT83" s="218"/>
      <c r="AU83" s="214">
        <f t="shared" si="127"/>
        <v>7.7013333333333348E-4</v>
      </c>
      <c r="AV83" s="219">
        <f t="shared" si="144"/>
        <v>7.7013333333333348E-4</v>
      </c>
      <c r="AW83" s="218">
        <f t="shared" si="128"/>
        <v>0.109428</v>
      </c>
      <c r="AX83" s="214">
        <f t="shared" si="129"/>
        <v>7.5999999999999998E-2</v>
      </c>
      <c r="AY83" s="219">
        <f t="shared" si="145"/>
        <v>0.18542799999999998</v>
      </c>
      <c r="AZ83" s="218">
        <f t="shared" si="109"/>
        <v>0.16466666666666666</v>
      </c>
      <c r="BA83" s="214">
        <f t="shared" si="110"/>
        <v>6.5</v>
      </c>
      <c r="BB83" s="214">
        <f t="shared" si="146"/>
        <v>2.5333333333333333E-2</v>
      </c>
      <c r="BC83" s="61">
        <f t="shared" si="130"/>
        <v>2.5333333333333333E-2</v>
      </c>
      <c r="BD83" s="58">
        <v>0</v>
      </c>
      <c r="BE83" s="49">
        <f t="shared" si="131"/>
        <v>7.7013333333333337E-6</v>
      </c>
      <c r="BF83" s="61">
        <f t="shared" si="147"/>
        <v>7.7013333333333337E-6</v>
      </c>
      <c r="BG83" s="58">
        <f t="shared" si="132"/>
        <v>1.4700399999999999E-2</v>
      </c>
      <c r="BH83" s="49">
        <f t="shared" si="133"/>
        <v>7.5999999999999991E-3</v>
      </c>
      <c r="BI83" s="61">
        <f t="shared" si="134"/>
        <v>2.2300399999999998E-2</v>
      </c>
      <c r="BK83" s="218">
        <f t="shared" si="111"/>
        <v>0</v>
      </c>
      <c r="BL83" s="214">
        <f t="shared" si="112"/>
        <v>0</v>
      </c>
      <c r="BM83" s="214">
        <f t="shared" si="113"/>
        <v>0</v>
      </c>
      <c r="BN83" s="61">
        <f t="shared" si="150"/>
        <v>0</v>
      </c>
      <c r="BO83" s="58">
        <v>0</v>
      </c>
      <c r="BP83" s="49">
        <f t="shared" si="136"/>
        <v>0</v>
      </c>
      <c r="BQ83" s="61">
        <f t="shared" si="148"/>
        <v>0</v>
      </c>
      <c r="BR83" s="58">
        <f t="shared" si="137"/>
        <v>0</v>
      </c>
      <c r="BS83" s="49">
        <f t="shared" si="138"/>
        <v>0</v>
      </c>
      <c r="BT83" s="61">
        <f t="shared" si="149"/>
        <v>0</v>
      </c>
      <c r="BU83" s="58">
        <f t="shared" si="114"/>
        <v>5.0600218884472069E-3</v>
      </c>
      <c r="BV83" s="49">
        <f t="shared" si="115"/>
        <v>2.59875E-2</v>
      </c>
      <c r="BW83" s="61">
        <f t="shared" si="116"/>
        <v>5.4000000000000003E-3</v>
      </c>
      <c r="BX83" s="49">
        <f t="shared" si="139"/>
        <v>0.3224013629933748</v>
      </c>
      <c r="BY83" s="49">
        <f t="shared" si="140"/>
        <v>0.89149514078075454</v>
      </c>
      <c r="BZ83" s="49">
        <f t="shared" si="141"/>
        <v>93.254507974634592</v>
      </c>
    </row>
    <row r="84" spans="17:78" x14ac:dyDescent="0.35">
      <c r="Q84" s="49">
        <v>77</v>
      </c>
      <c r="R84" s="218">
        <f t="shared" si="94"/>
        <v>12.486833333333333</v>
      </c>
      <c r="S84" s="214">
        <f t="shared" si="95"/>
        <v>12</v>
      </c>
      <c r="T84" s="219">
        <f t="shared" si="96"/>
        <v>1.0405694444444444</v>
      </c>
      <c r="U84" s="218">
        <f t="shared" si="97"/>
        <v>2</v>
      </c>
      <c r="V84" s="214">
        <f t="shared" si="98"/>
        <v>0.4825090470446321</v>
      </c>
      <c r="W84" s="214">
        <f t="shared" si="99"/>
        <v>0.51749095295536796</v>
      </c>
      <c r="X84" s="214">
        <f t="shared" si="117"/>
        <v>0</v>
      </c>
      <c r="Y84" s="218">
        <f t="shared" si="118"/>
        <v>2.1565801736111108</v>
      </c>
      <c r="Z84" s="214">
        <f t="shared" si="100"/>
        <v>2.924297254815952</v>
      </c>
      <c r="AA84" s="214">
        <f t="shared" si="119"/>
        <v>3.6187288010190866</v>
      </c>
      <c r="AB84" s="219">
        <f t="shared" si="101"/>
        <v>1.6087013468023323</v>
      </c>
      <c r="AC84" s="218">
        <v>0</v>
      </c>
      <c r="AD84" s="214">
        <f t="shared" si="102"/>
        <v>7.7637600696109144E-2</v>
      </c>
      <c r="AE84" s="219">
        <f t="shared" si="120"/>
        <v>7.7637600696109144E-2</v>
      </c>
      <c r="AF84" s="58">
        <f t="shared" si="103"/>
        <v>0.24973666666666666</v>
      </c>
      <c r="AG84" s="61">
        <f t="shared" si="104"/>
        <v>0.24973666666666666</v>
      </c>
      <c r="AH84" s="58">
        <f t="shared" si="105"/>
        <v>2.251490420187165E-2</v>
      </c>
      <c r="AI84" s="49">
        <f t="shared" si="106"/>
        <v>5.6375442623014187E-2</v>
      </c>
      <c r="AJ84" s="61">
        <f t="shared" si="121"/>
        <v>7.889034682488584E-2</v>
      </c>
      <c r="AK84" s="218">
        <f t="shared" si="107"/>
        <v>12.32</v>
      </c>
      <c r="AL84" s="214">
        <f t="shared" si="108"/>
        <v>48</v>
      </c>
      <c r="AM84" s="219">
        <f t="shared" si="122"/>
        <v>0.25666666666666665</v>
      </c>
      <c r="AN84" s="218">
        <f t="shared" si="123"/>
        <v>2</v>
      </c>
      <c r="AO84" s="214">
        <f t="shared" si="124"/>
        <v>0.51749095295536796</v>
      </c>
      <c r="AP84" s="214">
        <f t="shared" si="125"/>
        <v>0.49598290598290595</v>
      </c>
      <c r="AQ84" s="214">
        <f t="shared" si="126"/>
        <v>0.6816543717519703</v>
      </c>
      <c r="AR84" s="214">
        <f t="shared" si="142"/>
        <v>0.8368100918588911</v>
      </c>
      <c r="AS84" s="219">
        <f t="shared" si="143"/>
        <v>0.38384902738602078</v>
      </c>
      <c r="AT84" s="218"/>
      <c r="AU84" s="214">
        <f t="shared" si="127"/>
        <v>7.9053333333333332E-4</v>
      </c>
      <c r="AV84" s="219">
        <f t="shared" si="144"/>
        <v>7.9053333333333332E-4</v>
      </c>
      <c r="AW84" s="218">
        <f t="shared" si="128"/>
        <v>0.109428</v>
      </c>
      <c r="AX84" s="214">
        <f t="shared" si="129"/>
        <v>7.6999999999999999E-2</v>
      </c>
      <c r="AY84" s="219">
        <f t="shared" si="145"/>
        <v>0.18642799999999998</v>
      </c>
      <c r="AZ84" s="218">
        <f t="shared" si="109"/>
        <v>0.16683333333333333</v>
      </c>
      <c r="BA84" s="214">
        <f t="shared" si="110"/>
        <v>6.5</v>
      </c>
      <c r="BB84" s="214">
        <f t="shared" si="146"/>
        <v>2.5666666666666667E-2</v>
      </c>
      <c r="BC84" s="61">
        <f t="shared" si="130"/>
        <v>2.5666666666666667E-2</v>
      </c>
      <c r="BD84" s="58">
        <v>0</v>
      </c>
      <c r="BE84" s="49">
        <f t="shared" si="131"/>
        <v>7.9053333333333338E-6</v>
      </c>
      <c r="BF84" s="61">
        <f t="shared" si="147"/>
        <v>7.9053333333333338E-6</v>
      </c>
      <c r="BG84" s="58">
        <f t="shared" si="132"/>
        <v>1.4700399999999999E-2</v>
      </c>
      <c r="BH84" s="49">
        <f t="shared" si="133"/>
        <v>7.7000000000000002E-3</v>
      </c>
      <c r="BI84" s="61">
        <f t="shared" si="134"/>
        <v>2.2400400000000001E-2</v>
      </c>
      <c r="BK84" s="218">
        <f t="shared" si="111"/>
        <v>0</v>
      </c>
      <c r="BL84" s="214">
        <f t="shared" si="112"/>
        <v>0</v>
      </c>
      <c r="BM84" s="214">
        <f t="shared" si="113"/>
        <v>0</v>
      </c>
      <c r="BN84" s="61">
        <f t="shared" si="150"/>
        <v>0</v>
      </c>
      <c r="BO84" s="58">
        <v>0</v>
      </c>
      <c r="BP84" s="49">
        <f t="shared" si="136"/>
        <v>0</v>
      </c>
      <c r="BQ84" s="61">
        <f t="shared" si="148"/>
        <v>0</v>
      </c>
      <c r="BR84" s="58">
        <f t="shared" si="137"/>
        <v>0</v>
      </c>
      <c r="BS84" s="49">
        <f t="shared" si="138"/>
        <v>0</v>
      </c>
      <c r="BT84" s="61">
        <f t="shared" si="149"/>
        <v>0</v>
      </c>
      <c r="BU84" s="58">
        <f t="shared" si="114"/>
        <v>5.1758400464072766E-3</v>
      </c>
      <c r="BV84" s="49">
        <f t="shared" si="115"/>
        <v>2.59875E-2</v>
      </c>
      <c r="BW84" s="61">
        <f t="shared" si="116"/>
        <v>5.4000000000000003E-3</v>
      </c>
      <c r="BX84" s="49">
        <f t="shared" si="139"/>
        <v>0.32738217269610914</v>
      </c>
      <c r="BY84" s="49">
        <f t="shared" si="140"/>
        <v>0.90219145956740232</v>
      </c>
      <c r="BZ84" s="49">
        <f t="shared" si="141"/>
        <v>93.261708948020086</v>
      </c>
    </row>
    <row r="85" spans="17:78" x14ac:dyDescent="0.35">
      <c r="Q85" s="49">
        <v>78</v>
      </c>
      <c r="R85" s="218">
        <f t="shared" si="94"/>
        <v>12.649000000000001</v>
      </c>
      <c r="S85" s="214">
        <f t="shared" si="95"/>
        <v>12</v>
      </c>
      <c r="T85" s="219">
        <f t="shared" si="96"/>
        <v>1.0540833333333335</v>
      </c>
      <c r="U85" s="218">
        <f t="shared" si="97"/>
        <v>2</v>
      </c>
      <c r="V85" s="214">
        <f t="shared" si="98"/>
        <v>0.4825090470446321</v>
      </c>
      <c r="W85" s="214">
        <f t="shared" si="99"/>
        <v>0.51749095295536796</v>
      </c>
      <c r="X85" s="214">
        <f t="shared" si="117"/>
        <v>0</v>
      </c>
      <c r="Y85" s="218">
        <f t="shared" si="118"/>
        <v>2.1845877083333334</v>
      </c>
      <c r="Z85" s="214">
        <f t="shared" si="100"/>
        <v>2.924297254815952</v>
      </c>
      <c r="AA85" s="214">
        <f t="shared" si="119"/>
        <v>3.6467363357413092</v>
      </c>
      <c r="AB85" s="219">
        <f t="shared" si="101"/>
        <v>1.6268331455955305</v>
      </c>
      <c r="AC85" s="218">
        <v>0</v>
      </c>
      <c r="AD85" s="214">
        <f t="shared" si="102"/>
        <v>7.9397582508247452E-2</v>
      </c>
      <c r="AE85" s="219">
        <f t="shared" si="120"/>
        <v>7.9397582508247452E-2</v>
      </c>
      <c r="AF85" s="58">
        <f t="shared" si="103"/>
        <v>0.25298000000000004</v>
      </c>
      <c r="AG85" s="61">
        <f t="shared" si="104"/>
        <v>0.25298000000000004</v>
      </c>
      <c r="AH85" s="58">
        <f t="shared" si="105"/>
        <v>2.302529892739176E-2</v>
      </c>
      <c r="AI85" s="49">
        <f t="shared" si="106"/>
        <v>5.7107591228507885E-2</v>
      </c>
      <c r="AJ85" s="61">
        <f t="shared" si="121"/>
        <v>8.0132890155899639E-2</v>
      </c>
      <c r="AK85" s="218">
        <f t="shared" si="107"/>
        <v>12.48</v>
      </c>
      <c r="AL85" s="214">
        <f t="shared" si="108"/>
        <v>48</v>
      </c>
      <c r="AM85" s="219">
        <f t="shared" si="122"/>
        <v>0.26</v>
      </c>
      <c r="AN85" s="218">
        <f t="shared" si="123"/>
        <v>2</v>
      </c>
      <c r="AO85" s="214">
        <f t="shared" si="124"/>
        <v>0.51749095295536796</v>
      </c>
      <c r="AP85" s="214">
        <f t="shared" si="125"/>
        <v>0.50242424242424244</v>
      </c>
      <c r="AQ85" s="214">
        <f t="shared" si="126"/>
        <v>0.6816543717519703</v>
      </c>
      <c r="AR85" s="214">
        <f t="shared" si="142"/>
        <v>0.84325142830022759</v>
      </c>
      <c r="AS85" s="219">
        <f t="shared" si="143"/>
        <v>0.38815988928947565</v>
      </c>
      <c r="AT85" s="218"/>
      <c r="AU85" s="214">
        <f t="shared" si="127"/>
        <v>8.1120000000000009E-4</v>
      </c>
      <c r="AV85" s="219">
        <f t="shared" si="144"/>
        <v>8.1120000000000009E-4</v>
      </c>
      <c r="AW85" s="218">
        <f t="shared" si="128"/>
        <v>0.109428</v>
      </c>
      <c r="AX85" s="214">
        <f t="shared" si="129"/>
        <v>7.8E-2</v>
      </c>
      <c r="AY85" s="219">
        <f t="shared" si="145"/>
        <v>0.18742799999999998</v>
      </c>
      <c r="AZ85" s="218">
        <f t="shared" si="109"/>
        <v>0.16899999999999998</v>
      </c>
      <c r="BA85" s="214">
        <f t="shared" si="110"/>
        <v>6.5</v>
      </c>
      <c r="BB85" s="214">
        <f t="shared" si="146"/>
        <v>2.5999999999999999E-2</v>
      </c>
      <c r="BC85" s="61">
        <f t="shared" si="130"/>
        <v>2.5999999999999999E-2</v>
      </c>
      <c r="BD85" s="58">
        <v>0</v>
      </c>
      <c r="BE85" s="49">
        <f t="shared" si="131"/>
        <v>8.1119999999999996E-6</v>
      </c>
      <c r="BF85" s="61">
        <f t="shared" si="147"/>
        <v>8.1119999999999996E-6</v>
      </c>
      <c r="BG85" s="58">
        <f t="shared" si="132"/>
        <v>1.4700399999999999E-2</v>
      </c>
      <c r="BH85" s="49">
        <f t="shared" si="133"/>
        <v>7.7999999999999996E-3</v>
      </c>
      <c r="BI85" s="61">
        <f t="shared" si="134"/>
        <v>2.2500399999999997E-2</v>
      </c>
      <c r="BK85" s="218">
        <f t="shared" si="111"/>
        <v>0</v>
      </c>
      <c r="BL85" s="214">
        <f t="shared" si="112"/>
        <v>0</v>
      </c>
      <c r="BM85" s="214">
        <f t="shared" si="113"/>
        <v>0</v>
      </c>
      <c r="BN85" s="61">
        <f t="shared" si="150"/>
        <v>0</v>
      </c>
      <c r="BO85" s="58">
        <v>0</v>
      </c>
      <c r="BP85" s="49">
        <f t="shared" si="136"/>
        <v>0</v>
      </c>
      <c r="BQ85" s="61">
        <f t="shared" si="148"/>
        <v>0</v>
      </c>
      <c r="BR85" s="58">
        <f t="shared" si="137"/>
        <v>0</v>
      </c>
      <c r="BS85" s="49">
        <f t="shared" si="138"/>
        <v>0</v>
      </c>
      <c r="BT85" s="61">
        <f t="shared" si="149"/>
        <v>0</v>
      </c>
      <c r="BU85" s="58">
        <f t="shared" si="114"/>
        <v>5.2931721672164972E-3</v>
      </c>
      <c r="BV85" s="49">
        <f t="shared" si="115"/>
        <v>2.59875E-2</v>
      </c>
      <c r="BW85" s="61">
        <f t="shared" si="116"/>
        <v>5.4000000000000003E-3</v>
      </c>
      <c r="BX85" s="49">
        <f t="shared" si="139"/>
        <v>0.33238569450824751</v>
      </c>
      <c r="BY85" s="49">
        <f t="shared" si="140"/>
        <v>0.91291885683136376</v>
      </c>
      <c r="BZ85" s="49">
        <f t="shared" si="141"/>
        <v>93.268512616328536</v>
      </c>
    </row>
    <row r="86" spans="17:78" x14ac:dyDescent="0.35">
      <c r="Q86" s="49">
        <v>79</v>
      </c>
      <c r="R86" s="218">
        <f t="shared" si="94"/>
        <v>12.811166666666667</v>
      </c>
      <c r="S86" s="214">
        <f t="shared" si="95"/>
        <v>12</v>
      </c>
      <c r="T86" s="219">
        <f t="shared" si="96"/>
        <v>1.0675972222222223</v>
      </c>
      <c r="U86" s="218">
        <f t="shared" si="97"/>
        <v>2</v>
      </c>
      <c r="V86" s="214">
        <f t="shared" si="98"/>
        <v>0.4825090470446321</v>
      </c>
      <c r="W86" s="214">
        <f t="shared" si="99"/>
        <v>0.51749095295536796</v>
      </c>
      <c r="X86" s="214">
        <f t="shared" si="117"/>
        <v>0</v>
      </c>
      <c r="Y86" s="218">
        <f t="shared" si="118"/>
        <v>2.2125952430555555</v>
      </c>
      <c r="Z86" s="214">
        <f t="shared" si="100"/>
        <v>2.924297254815952</v>
      </c>
      <c r="AA86" s="214">
        <f t="shared" si="119"/>
        <v>3.6747438704635318</v>
      </c>
      <c r="AB86" s="219">
        <f t="shared" si="101"/>
        <v>1.644995174897919</v>
      </c>
      <c r="AC86" s="218">
        <v>0</v>
      </c>
      <c r="AD86" s="214">
        <f t="shared" si="102"/>
        <v>8.1180273763123048E-2</v>
      </c>
      <c r="AE86" s="219">
        <f t="shared" si="120"/>
        <v>8.1180273763123048E-2</v>
      </c>
      <c r="AF86" s="58">
        <f t="shared" si="103"/>
        <v>0.25622333333333336</v>
      </c>
      <c r="AG86" s="61">
        <f t="shared" si="104"/>
        <v>0.25622333333333336</v>
      </c>
      <c r="AH86" s="58">
        <f t="shared" si="105"/>
        <v>2.3542279391305682E-2</v>
      </c>
      <c r="AI86" s="49">
        <f t="shared" si="106"/>
        <v>5.7839739834001577E-2</v>
      </c>
      <c r="AJ86" s="61">
        <f t="shared" si="121"/>
        <v>8.1382019225307259E-2</v>
      </c>
      <c r="AK86" s="218">
        <f t="shared" si="107"/>
        <v>12.64</v>
      </c>
      <c r="AL86" s="214">
        <f t="shared" si="108"/>
        <v>48</v>
      </c>
      <c r="AM86" s="219">
        <f t="shared" si="122"/>
        <v>0.26333333333333336</v>
      </c>
      <c r="AN86" s="218">
        <f t="shared" si="123"/>
        <v>2</v>
      </c>
      <c r="AO86" s="214">
        <f t="shared" si="124"/>
        <v>0.51749095295536796</v>
      </c>
      <c r="AP86" s="214">
        <f t="shared" si="125"/>
        <v>0.50886557886557893</v>
      </c>
      <c r="AQ86" s="214">
        <f t="shared" si="126"/>
        <v>0.6816543717519703</v>
      </c>
      <c r="AR86" s="214">
        <f t="shared" si="142"/>
        <v>0.84969276474156408</v>
      </c>
      <c r="AS86" s="219">
        <f t="shared" si="143"/>
        <v>0.39247810859229348</v>
      </c>
      <c r="AT86" s="218"/>
      <c r="AU86" s="214">
        <f t="shared" si="127"/>
        <v>8.3213333333333347E-4</v>
      </c>
      <c r="AV86" s="219">
        <f t="shared" si="144"/>
        <v>8.3213333333333347E-4</v>
      </c>
      <c r="AW86" s="218">
        <f t="shared" si="128"/>
        <v>0.109428</v>
      </c>
      <c r="AX86" s="214">
        <f t="shared" si="129"/>
        <v>7.9000000000000001E-2</v>
      </c>
      <c r="AY86" s="219">
        <f t="shared" si="145"/>
        <v>0.18842799999999998</v>
      </c>
      <c r="AZ86" s="218">
        <f t="shared" si="109"/>
        <v>0.17116666666666666</v>
      </c>
      <c r="BA86" s="214">
        <f t="shared" si="110"/>
        <v>6.5</v>
      </c>
      <c r="BB86" s="214">
        <f t="shared" si="146"/>
        <v>2.6333333333333334E-2</v>
      </c>
      <c r="BC86" s="61">
        <f t="shared" si="130"/>
        <v>2.6333333333333334E-2</v>
      </c>
      <c r="BD86" s="58">
        <v>0</v>
      </c>
      <c r="BE86" s="49">
        <f t="shared" si="131"/>
        <v>8.3213333333333328E-6</v>
      </c>
      <c r="BF86" s="61">
        <f t="shared" si="147"/>
        <v>8.3213333333333328E-6</v>
      </c>
      <c r="BG86" s="58">
        <f t="shared" si="132"/>
        <v>1.4700399999999999E-2</v>
      </c>
      <c r="BH86" s="49">
        <f t="shared" si="133"/>
        <v>7.899999999999999E-3</v>
      </c>
      <c r="BI86" s="61">
        <f t="shared" si="134"/>
        <v>2.26004E-2</v>
      </c>
      <c r="BK86" s="218">
        <f t="shared" si="111"/>
        <v>0</v>
      </c>
      <c r="BL86" s="214">
        <f t="shared" si="112"/>
        <v>0</v>
      </c>
      <c r="BM86" s="214">
        <f t="shared" si="113"/>
        <v>0</v>
      </c>
      <c r="BN86" s="61">
        <f t="shared" si="150"/>
        <v>0</v>
      </c>
      <c r="BO86" s="58">
        <v>0</v>
      </c>
      <c r="BP86" s="49">
        <f t="shared" si="136"/>
        <v>0</v>
      </c>
      <c r="BQ86" s="61">
        <f t="shared" si="148"/>
        <v>0</v>
      </c>
      <c r="BR86" s="58">
        <f t="shared" si="137"/>
        <v>0</v>
      </c>
      <c r="BS86" s="49">
        <f t="shared" si="138"/>
        <v>0</v>
      </c>
      <c r="BT86" s="61">
        <f t="shared" si="149"/>
        <v>0</v>
      </c>
      <c r="BU86" s="58">
        <f t="shared" si="114"/>
        <v>5.4120182508748697E-3</v>
      </c>
      <c r="BV86" s="49">
        <f t="shared" si="115"/>
        <v>2.59875E-2</v>
      </c>
      <c r="BW86" s="61">
        <f t="shared" si="116"/>
        <v>5.4000000000000003E-3</v>
      </c>
      <c r="BX86" s="49">
        <f t="shared" si="139"/>
        <v>0.33741192842978973</v>
      </c>
      <c r="BY86" s="49">
        <f t="shared" si="140"/>
        <v>0.92367733257263862</v>
      </c>
      <c r="BZ86" s="49">
        <f t="shared" si="141"/>
        <v>93.274933937190724</v>
      </c>
    </row>
    <row r="87" spans="17:78" x14ac:dyDescent="0.35">
      <c r="Q87" s="49">
        <v>80</v>
      </c>
      <c r="R87" s="218">
        <f t="shared" si="94"/>
        <v>12.973333333333334</v>
      </c>
      <c r="S87" s="214">
        <f t="shared" si="95"/>
        <v>12</v>
      </c>
      <c r="T87" s="219">
        <f t="shared" si="96"/>
        <v>1.0811111111111111</v>
      </c>
      <c r="U87" s="218">
        <f t="shared" si="97"/>
        <v>2</v>
      </c>
      <c r="V87" s="214">
        <f t="shared" si="98"/>
        <v>0.4825090470446321</v>
      </c>
      <c r="W87" s="214">
        <f t="shared" si="99"/>
        <v>0.51749095295536796</v>
      </c>
      <c r="X87" s="214">
        <f t="shared" si="117"/>
        <v>0</v>
      </c>
      <c r="Y87" s="218">
        <f t="shared" si="118"/>
        <v>2.2406027777777777</v>
      </c>
      <c r="Z87" s="214">
        <f t="shared" si="100"/>
        <v>2.924297254815952</v>
      </c>
      <c r="AA87" s="214">
        <f t="shared" si="119"/>
        <v>3.7027514051857535</v>
      </c>
      <c r="AB87" s="219">
        <f t="shared" si="101"/>
        <v>1.6631864443564932</v>
      </c>
      <c r="AC87" s="218">
        <v>0</v>
      </c>
      <c r="AD87" s="214">
        <f t="shared" si="102"/>
        <v>8.2985674460735834E-2</v>
      </c>
      <c r="AE87" s="219">
        <f t="shared" si="120"/>
        <v>8.2985674460735834E-2</v>
      </c>
      <c r="AF87" s="58">
        <f t="shared" si="103"/>
        <v>0.25946666666666668</v>
      </c>
      <c r="AG87" s="61">
        <f t="shared" si="104"/>
        <v>0.25946666666666668</v>
      </c>
      <c r="AH87" s="58">
        <f t="shared" si="105"/>
        <v>2.4065845593613393E-2</v>
      </c>
      <c r="AI87" s="49">
        <f t="shared" si="106"/>
        <v>5.8571888439495269E-2</v>
      </c>
      <c r="AJ87" s="61">
        <f t="shared" si="121"/>
        <v>8.2637734033108659E-2</v>
      </c>
      <c r="AK87" s="218">
        <f t="shared" si="107"/>
        <v>12.8</v>
      </c>
      <c r="AL87" s="214">
        <f t="shared" si="108"/>
        <v>48</v>
      </c>
      <c r="AM87" s="219">
        <f t="shared" si="122"/>
        <v>0.26666666666666666</v>
      </c>
      <c r="AN87" s="218">
        <f t="shared" si="123"/>
        <v>2</v>
      </c>
      <c r="AO87" s="214">
        <f t="shared" si="124"/>
        <v>0.51749095295536796</v>
      </c>
      <c r="AP87" s="214">
        <f t="shared" si="125"/>
        <v>0.5153069153069153</v>
      </c>
      <c r="AQ87" s="214">
        <f t="shared" si="126"/>
        <v>0.6816543717519703</v>
      </c>
      <c r="AR87" s="214">
        <f t="shared" si="142"/>
        <v>0.85613410118290045</v>
      </c>
      <c r="AS87" s="219">
        <f t="shared" si="143"/>
        <v>0.39680344509352788</v>
      </c>
      <c r="AT87" s="218"/>
      <c r="AU87" s="214">
        <f t="shared" si="127"/>
        <v>8.5333333333333333E-4</v>
      </c>
      <c r="AV87" s="219">
        <f t="shared" si="144"/>
        <v>8.5333333333333333E-4</v>
      </c>
      <c r="AW87" s="218">
        <f t="shared" si="128"/>
        <v>0.109428</v>
      </c>
      <c r="AX87" s="214">
        <f t="shared" si="129"/>
        <v>0.08</v>
      </c>
      <c r="AY87" s="219">
        <f t="shared" si="145"/>
        <v>0.18942799999999999</v>
      </c>
      <c r="AZ87" s="218">
        <f t="shared" si="109"/>
        <v>0.17333333333333334</v>
      </c>
      <c r="BA87" s="214">
        <f t="shared" si="110"/>
        <v>6.5</v>
      </c>
      <c r="BB87" s="214">
        <f t="shared" si="146"/>
        <v>2.6666666666666668E-2</v>
      </c>
      <c r="BC87" s="61">
        <f t="shared" si="130"/>
        <v>2.6666666666666668E-2</v>
      </c>
      <c r="BD87" s="58">
        <v>0</v>
      </c>
      <c r="BE87" s="49">
        <f t="shared" si="131"/>
        <v>8.5333333333333352E-6</v>
      </c>
      <c r="BF87" s="61">
        <f t="shared" si="147"/>
        <v>8.5333333333333352E-6</v>
      </c>
      <c r="BG87" s="58">
        <f t="shared" si="132"/>
        <v>1.4700399999999999E-2</v>
      </c>
      <c r="BH87" s="49">
        <f t="shared" si="133"/>
        <v>8.0000000000000002E-3</v>
      </c>
      <c r="BI87" s="61">
        <f t="shared" si="134"/>
        <v>2.2700399999999999E-2</v>
      </c>
      <c r="BK87" s="218">
        <f t="shared" si="111"/>
        <v>0</v>
      </c>
      <c r="BL87" s="214">
        <f t="shared" si="112"/>
        <v>0</v>
      </c>
      <c r="BM87" s="214">
        <f t="shared" si="113"/>
        <v>0</v>
      </c>
      <c r="BN87" s="61">
        <f t="shared" si="150"/>
        <v>0</v>
      </c>
      <c r="BO87" s="58">
        <v>0</v>
      </c>
      <c r="BP87" s="49">
        <f t="shared" si="136"/>
        <v>0</v>
      </c>
      <c r="BQ87" s="61">
        <f t="shared" si="148"/>
        <v>0</v>
      </c>
      <c r="BR87" s="58">
        <f t="shared" si="137"/>
        <v>0</v>
      </c>
      <c r="BS87" s="49">
        <f t="shared" si="138"/>
        <v>0</v>
      </c>
      <c r="BT87" s="61">
        <f t="shared" si="149"/>
        <v>0</v>
      </c>
      <c r="BU87" s="58">
        <f t="shared" si="114"/>
        <v>5.5323782973823897E-3</v>
      </c>
      <c r="BV87" s="49">
        <f t="shared" si="115"/>
        <v>2.59875E-2</v>
      </c>
      <c r="BW87" s="61">
        <f t="shared" si="116"/>
        <v>5.4000000000000003E-3</v>
      </c>
      <c r="BX87" s="49">
        <f t="shared" si="139"/>
        <v>0.34246087446073586</v>
      </c>
      <c r="BY87" s="49">
        <f t="shared" si="140"/>
        <v>0.93446688679122691</v>
      </c>
      <c r="BZ87" s="49">
        <f t="shared" si="141"/>
        <v>93.28098712951703</v>
      </c>
    </row>
    <row r="88" spans="17:78" x14ac:dyDescent="0.35">
      <c r="Q88" s="49">
        <v>81</v>
      </c>
      <c r="R88" s="218">
        <f t="shared" si="94"/>
        <v>13.1355</v>
      </c>
      <c r="S88" s="214">
        <f t="shared" si="95"/>
        <v>12</v>
      </c>
      <c r="T88" s="219">
        <f t="shared" si="96"/>
        <v>1.094625</v>
      </c>
      <c r="U88" s="218">
        <f t="shared" si="97"/>
        <v>2</v>
      </c>
      <c r="V88" s="214">
        <f t="shared" si="98"/>
        <v>0.4825090470446321</v>
      </c>
      <c r="W88" s="214">
        <f t="shared" si="99"/>
        <v>0.51749095295536796</v>
      </c>
      <c r="X88" s="214">
        <f t="shared" si="117"/>
        <v>0</v>
      </c>
      <c r="Y88" s="218">
        <f t="shared" si="118"/>
        <v>2.2686103124999999</v>
      </c>
      <c r="Z88" s="214">
        <f t="shared" si="100"/>
        <v>2.924297254815952</v>
      </c>
      <c r="AA88" s="214">
        <f t="shared" si="119"/>
        <v>3.7307589399079761</v>
      </c>
      <c r="AB88" s="219">
        <f t="shared" si="101"/>
        <v>1.68140600491658</v>
      </c>
      <c r="AC88" s="218">
        <v>0</v>
      </c>
      <c r="AD88" s="214">
        <f t="shared" si="102"/>
        <v>8.4813784601086017E-2</v>
      </c>
      <c r="AE88" s="219">
        <f t="shared" si="120"/>
        <v>8.4813784601086017E-2</v>
      </c>
      <c r="AF88" s="58">
        <f t="shared" si="103"/>
        <v>0.26271</v>
      </c>
      <c r="AG88" s="61">
        <f t="shared" si="104"/>
        <v>0.26271</v>
      </c>
      <c r="AH88" s="58">
        <f t="shared" si="105"/>
        <v>2.4595997534314944E-2</v>
      </c>
      <c r="AI88" s="49">
        <f t="shared" si="106"/>
        <v>5.9304037044988961E-2</v>
      </c>
      <c r="AJ88" s="61">
        <f t="shared" si="121"/>
        <v>8.3900034579303909E-2</v>
      </c>
      <c r="AK88" s="218">
        <f t="shared" si="107"/>
        <v>12.96</v>
      </c>
      <c r="AL88" s="214">
        <f t="shared" si="108"/>
        <v>48</v>
      </c>
      <c r="AM88" s="219">
        <f t="shared" si="122"/>
        <v>0.27</v>
      </c>
      <c r="AN88" s="218">
        <f t="shared" si="123"/>
        <v>2</v>
      </c>
      <c r="AO88" s="214">
        <f t="shared" si="124"/>
        <v>0.51749095295536807</v>
      </c>
      <c r="AP88" s="214">
        <f t="shared" si="125"/>
        <v>0.52174825174825168</v>
      </c>
      <c r="AQ88" s="214">
        <f t="shared" si="126"/>
        <v>0.68165437175197041</v>
      </c>
      <c r="AR88" s="214">
        <f t="shared" si="142"/>
        <v>0.86257543762423694</v>
      </c>
      <c r="AS88" s="219">
        <f t="shared" si="143"/>
        <v>0.40113566856481725</v>
      </c>
      <c r="AT88" s="218"/>
      <c r="AU88" s="214">
        <f t="shared" si="127"/>
        <v>8.7480000000000012E-4</v>
      </c>
      <c r="AV88" s="219">
        <f t="shared" si="144"/>
        <v>8.7480000000000012E-4</v>
      </c>
      <c r="AW88" s="218">
        <f t="shared" si="128"/>
        <v>0.109428</v>
      </c>
      <c r="AX88" s="214">
        <f t="shared" si="129"/>
        <v>8.1000000000000003E-2</v>
      </c>
      <c r="AY88" s="219">
        <f t="shared" si="145"/>
        <v>0.19042799999999999</v>
      </c>
      <c r="AZ88" s="218">
        <f t="shared" si="109"/>
        <v>0.17549999999999999</v>
      </c>
      <c r="BA88" s="214">
        <f t="shared" si="110"/>
        <v>6.5</v>
      </c>
      <c r="BB88" s="214">
        <f t="shared" si="146"/>
        <v>2.7E-2</v>
      </c>
      <c r="BC88" s="61">
        <f t="shared" si="130"/>
        <v>2.7E-2</v>
      </c>
      <c r="BD88" s="58">
        <v>0</v>
      </c>
      <c r="BE88" s="49">
        <f t="shared" si="131"/>
        <v>8.7479999999999999E-6</v>
      </c>
      <c r="BF88" s="61">
        <f t="shared" si="147"/>
        <v>8.7479999999999999E-6</v>
      </c>
      <c r="BG88" s="58">
        <f t="shared" si="132"/>
        <v>1.4700399999999999E-2</v>
      </c>
      <c r="BH88" s="49">
        <f t="shared" si="133"/>
        <v>8.0999999999999996E-3</v>
      </c>
      <c r="BI88" s="61">
        <f t="shared" si="134"/>
        <v>2.2800399999999998E-2</v>
      </c>
      <c r="BK88" s="218">
        <f t="shared" si="111"/>
        <v>0</v>
      </c>
      <c r="BL88" s="214">
        <f t="shared" si="112"/>
        <v>0</v>
      </c>
      <c r="BM88" s="214">
        <f t="shared" si="113"/>
        <v>0</v>
      </c>
      <c r="BN88" s="61">
        <f t="shared" si="150"/>
        <v>0</v>
      </c>
      <c r="BO88" s="58">
        <v>0</v>
      </c>
      <c r="BP88" s="49">
        <f t="shared" si="136"/>
        <v>0</v>
      </c>
      <c r="BQ88" s="61">
        <f t="shared" si="148"/>
        <v>0</v>
      </c>
      <c r="BR88" s="58">
        <f t="shared" si="137"/>
        <v>0</v>
      </c>
      <c r="BS88" s="49">
        <f t="shared" si="138"/>
        <v>0</v>
      </c>
      <c r="BT88" s="61">
        <f t="shared" si="149"/>
        <v>0</v>
      </c>
      <c r="BU88" s="58">
        <f t="shared" si="114"/>
        <v>5.6542523067390684E-3</v>
      </c>
      <c r="BV88" s="49">
        <f t="shared" si="115"/>
        <v>2.59875E-2</v>
      </c>
      <c r="BW88" s="61">
        <f t="shared" si="116"/>
        <v>5.4000000000000003E-3</v>
      </c>
      <c r="BX88" s="49">
        <f t="shared" si="139"/>
        <v>0.34753253260108602</v>
      </c>
      <c r="BY88" s="49">
        <f t="shared" si="140"/>
        <v>0.94528751948712897</v>
      </c>
      <c r="BZ88" s="49">
        <f t="shared" si="141"/>
        <v>93.286685718544533</v>
      </c>
    </row>
    <row r="89" spans="17:78" x14ac:dyDescent="0.35">
      <c r="Q89" s="49">
        <v>82</v>
      </c>
      <c r="R89" s="218">
        <f t="shared" si="94"/>
        <v>13.297666666666668</v>
      </c>
      <c r="S89" s="214">
        <f t="shared" si="95"/>
        <v>12</v>
      </c>
      <c r="T89" s="219">
        <f t="shared" si="96"/>
        <v>1.108138888888889</v>
      </c>
      <c r="U89" s="218">
        <f t="shared" si="97"/>
        <v>2</v>
      </c>
      <c r="V89" s="214">
        <f t="shared" si="98"/>
        <v>0.4825090470446321</v>
      </c>
      <c r="W89" s="214">
        <f t="shared" si="99"/>
        <v>0.51749095295536796</v>
      </c>
      <c r="X89" s="214">
        <f t="shared" si="117"/>
        <v>0</v>
      </c>
      <c r="Y89" s="218">
        <f t="shared" si="118"/>
        <v>2.2966178472222225</v>
      </c>
      <c r="Z89" s="214">
        <f t="shared" si="100"/>
        <v>2.924297254815952</v>
      </c>
      <c r="AA89" s="214">
        <f t="shared" si="119"/>
        <v>3.7587664746301988</v>
      </c>
      <c r="AB89" s="219">
        <f t="shared" si="101"/>
        <v>1.6996529467725014</v>
      </c>
      <c r="AC89" s="218">
        <v>0</v>
      </c>
      <c r="AD89" s="214">
        <f t="shared" si="102"/>
        <v>8.6664604184173433E-2</v>
      </c>
      <c r="AE89" s="219">
        <f t="shared" si="120"/>
        <v>8.6664604184173433E-2</v>
      </c>
      <c r="AF89" s="58">
        <f t="shared" si="103"/>
        <v>0.26595333333333337</v>
      </c>
      <c r="AG89" s="61">
        <f t="shared" si="104"/>
        <v>0.26595333333333337</v>
      </c>
      <c r="AH89" s="58">
        <f t="shared" si="105"/>
        <v>2.5132735213410293E-2</v>
      </c>
      <c r="AI89" s="49">
        <f t="shared" si="106"/>
        <v>6.003618565048266E-2</v>
      </c>
      <c r="AJ89" s="61">
        <f t="shared" si="121"/>
        <v>8.5168920863892952E-2</v>
      </c>
      <c r="AK89" s="218">
        <f t="shared" si="107"/>
        <v>13.120000000000001</v>
      </c>
      <c r="AL89" s="214">
        <f t="shared" si="108"/>
        <v>48</v>
      </c>
      <c r="AM89" s="219">
        <f t="shared" si="122"/>
        <v>0.27333333333333337</v>
      </c>
      <c r="AN89" s="218">
        <f t="shared" si="123"/>
        <v>2</v>
      </c>
      <c r="AO89" s="214">
        <f t="shared" si="124"/>
        <v>0.51749095295536796</v>
      </c>
      <c r="AP89" s="214">
        <f t="shared" si="125"/>
        <v>0.52818958818958828</v>
      </c>
      <c r="AQ89" s="214">
        <f t="shared" si="126"/>
        <v>0.6816543717519703</v>
      </c>
      <c r="AR89" s="214">
        <f t="shared" si="142"/>
        <v>0.86901677406557343</v>
      </c>
      <c r="AS89" s="219">
        <f t="shared" si="143"/>
        <v>0.40547455825826578</v>
      </c>
      <c r="AT89" s="218"/>
      <c r="AU89" s="214">
        <f t="shared" si="127"/>
        <v>8.9653333333333362E-4</v>
      </c>
      <c r="AV89" s="219">
        <f t="shared" si="144"/>
        <v>8.9653333333333362E-4</v>
      </c>
      <c r="AW89" s="218">
        <f t="shared" si="128"/>
        <v>0.109428</v>
      </c>
      <c r="AX89" s="214">
        <f t="shared" si="129"/>
        <v>8.2000000000000003E-2</v>
      </c>
      <c r="AY89" s="219">
        <f t="shared" si="145"/>
        <v>0.19142799999999999</v>
      </c>
      <c r="AZ89" s="218">
        <f t="shared" si="109"/>
        <v>0.17766666666666667</v>
      </c>
      <c r="BA89" s="214">
        <f t="shared" si="110"/>
        <v>6.5</v>
      </c>
      <c r="BB89" s="214">
        <f t="shared" si="146"/>
        <v>2.7333333333333334E-2</v>
      </c>
      <c r="BC89" s="61">
        <f t="shared" si="130"/>
        <v>2.7333333333333334E-2</v>
      </c>
      <c r="BD89" s="58">
        <v>0</v>
      </c>
      <c r="BE89" s="49">
        <f t="shared" si="131"/>
        <v>8.9653333333333338E-6</v>
      </c>
      <c r="BF89" s="61">
        <f t="shared" si="147"/>
        <v>8.9653333333333338E-6</v>
      </c>
      <c r="BG89" s="58">
        <f t="shared" si="132"/>
        <v>1.4700399999999999E-2</v>
      </c>
      <c r="BH89" s="49">
        <f t="shared" si="133"/>
        <v>8.2000000000000007E-3</v>
      </c>
      <c r="BI89" s="61">
        <f t="shared" si="134"/>
        <v>2.2900400000000001E-2</v>
      </c>
      <c r="BK89" s="218">
        <f t="shared" si="111"/>
        <v>0</v>
      </c>
      <c r="BL89" s="214">
        <f t="shared" si="112"/>
        <v>0</v>
      </c>
      <c r="BM89" s="214">
        <f t="shared" si="113"/>
        <v>0</v>
      </c>
      <c r="BN89" s="61">
        <f t="shared" si="150"/>
        <v>0</v>
      </c>
      <c r="BO89" s="58">
        <v>0</v>
      </c>
      <c r="BP89" s="49">
        <f t="shared" si="136"/>
        <v>0</v>
      </c>
      <c r="BQ89" s="61">
        <f t="shared" si="148"/>
        <v>0</v>
      </c>
      <c r="BR89" s="58">
        <f t="shared" si="137"/>
        <v>0</v>
      </c>
      <c r="BS89" s="49">
        <f t="shared" si="138"/>
        <v>0</v>
      </c>
      <c r="BT89" s="61">
        <f t="shared" si="149"/>
        <v>0</v>
      </c>
      <c r="BU89" s="58">
        <f t="shared" si="114"/>
        <v>5.7776402789448955E-3</v>
      </c>
      <c r="BV89" s="49">
        <f t="shared" si="115"/>
        <v>2.59875E-2</v>
      </c>
      <c r="BW89" s="61">
        <f t="shared" si="116"/>
        <v>5.4000000000000003E-3</v>
      </c>
      <c r="BX89" s="49">
        <f t="shared" si="139"/>
        <v>0.35262690285084014</v>
      </c>
      <c r="BY89" s="49">
        <f t="shared" si="140"/>
        <v>0.95613923066034467</v>
      </c>
      <c r="BZ89" s="49">
        <f t="shared" si="141"/>
        <v>93.292042577627299</v>
      </c>
    </row>
    <row r="90" spans="17:78" x14ac:dyDescent="0.35">
      <c r="Q90" s="49">
        <v>83</v>
      </c>
      <c r="R90" s="218">
        <f t="shared" si="94"/>
        <v>13.459833333333334</v>
      </c>
      <c r="S90" s="214">
        <f t="shared" si="95"/>
        <v>12</v>
      </c>
      <c r="T90" s="219">
        <f t="shared" si="96"/>
        <v>1.1216527777777778</v>
      </c>
      <c r="U90" s="218">
        <f t="shared" si="97"/>
        <v>2</v>
      </c>
      <c r="V90" s="214">
        <f t="shared" si="98"/>
        <v>0.4825090470446321</v>
      </c>
      <c r="W90" s="214">
        <f t="shared" si="99"/>
        <v>0.51749095295536796</v>
      </c>
      <c r="X90" s="214">
        <f t="shared" si="117"/>
        <v>0</v>
      </c>
      <c r="Y90" s="218">
        <f t="shared" si="118"/>
        <v>2.3246253819444442</v>
      </c>
      <c r="Z90" s="214">
        <f t="shared" si="100"/>
        <v>2.924297254815952</v>
      </c>
      <c r="AA90" s="214">
        <f t="shared" si="119"/>
        <v>3.7867740093524205</v>
      </c>
      <c r="AB90" s="219">
        <f t="shared" si="101"/>
        <v>1.7179263974338173</v>
      </c>
      <c r="AC90" s="218">
        <v>0</v>
      </c>
      <c r="AD90" s="214">
        <f t="shared" si="102"/>
        <v>8.853813320999801E-2</v>
      </c>
      <c r="AE90" s="219">
        <f t="shared" si="120"/>
        <v>8.853813320999801E-2</v>
      </c>
      <c r="AF90" s="58">
        <f t="shared" si="103"/>
        <v>0.2691966666666667</v>
      </c>
      <c r="AG90" s="61">
        <f t="shared" si="104"/>
        <v>0.2691966666666667</v>
      </c>
      <c r="AH90" s="58">
        <f t="shared" si="105"/>
        <v>2.5676058630899425E-2</v>
      </c>
      <c r="AI90" s="49">
        <f t="shared" si="106"/>
        <v>6.0768334255976331E-2</v>
      </c>
      <c r="AJ90" s="61">
        <f t="shared" si="121"/>
        <v>8.6444392886875748E-2</v>
      </c>
      <c r="AK90" s="218">
        <f t="shared" si="107"/>
        <v>13.280000000000001</v>
      </c>
      <c r="AL90" s="214">
        <f t="shared" si="108"/>
        <v>48</v>
      </c>
      <c r="AM90" s="219">
        <f t="shared" si="122"/>
        <v>0.27666666666666667</v>
      </c>
      <c r="AN90" s="218">
        <f t="shared" si="123"/>
        <v>2</v>
      </c>
      <c r="AO90" s="214">
        <f t="shared" si="124"/>
        <v>0.51749095295536796</v>
      </c>
      <c r="AP90" s="214">
        <f t="shared" si="125"/>
        <v>0.53463092463092454</v>
      </c>
      <c r="AQ90" s="214">
        <f t="shared" si="126"/>
        <v>0.6816543717519703</v>
      </c>
      <c r="AR90" s="214">
        <f t="shared" si="142"/>
        <v>0.87545811050690969</v>
      </c>
      <c r="AS90" s="219">
        <f t="shared" si="143"/>
        <v>0.40981990244187844</v>
      </c>
      <c r="AT90" s="218"/>
      <c r="AU90" s="214">
        <f t="shared" si="127"/>
        <v>9.1853333333333329E-4</v>
      </c>
      <c r="AV90" s="219">
        <f t="shared" si="144"/>
        <v>9.1853333333333329E-4</v>
      </c>
      <c r="AW90" s="218">
        <f t="shared" si="128"/>
        <v>0.109428</v>
      </c>
      <c r="AX90" s="214">
        <f t="shared" si="129"/>
        <v>8.3000000000000004E-2</v>
      </c>
      <c r="AY90" s="219">
        <f t="shared" si="145"/>
        <v>0.19242799999999999</v>
      </c>
      <c r="AZ90" s="218">
        <f t="shared" si="109"/>
        <v>0.17983333333333332</v>
      </c>
      <c r="BA90" s="214">
        <f t="shared" si="110"/>
        <v>6.5</v>
      </c>
      <c r="BB90" s="214">
        <f t="shared" si="146"/>
        <v>2.7666666666666666E-2</v>
      </c>
      <c r="BC90" s="61">
        <f t="shared" si="130"/>
        <v>2.7666666666666666E-2</v>
      </c>
      <c r="BD90" s="58">
        <v>0</v>
      </c>
      <c r="BE90" s="49">
        <f t="shared" si="131"/>
        <v>9.1853333333333317E-6</v>
      </c>
      <c r="BF90" s="61">
        <f t="shared" si="147"/>
        <v>9.1853333333333317E-6</v>
      </c>
      <c r="BG90" s="58">
        <f t="shared" si="132"/>
        <v>1.4700399999999999E-2</v>
      </c>
      <c r="BH90" s="49">
        <f t="shared" si="133"/>
        <v>8.3000000000000001E-3</v>
      </c>
      <c r="BI90" s="61">
        <f t="shared" si="134"/>
        <v>2.3000399999999997E-2</v>
      </c>
      <c r="BK90" s="218">
        <f t="shared" si="111"/>
        <v>0</v>
      </c>
      <c r="BL90" s="214">
        <f t="shared" si="112"/>
        <v>0</v>
      </c>
      <c r="BM90" s="214">
        <f t="shared" si="113"/>
        <v>0</v>
      </c>
      <c r="BN90" s="61">
        <f t="shared" si="150"/>
        <v>0</v>
      </c>
      <c r="BO90" s="58">
        <v>0</v>
      </c>
      <c r="BP90" s="49">
        <f t="shared" si="136"/>
        <v>0</v>
      </c>
      <c r="BQ90" s="61">
        <f t="shared" si="148"/>
        <v>0</v>
      </c>
      <c r="BR90" s="58">
        <f t="shared" si="137"/>
        <v>0</v>
      </c>
      <c r="BS90" s="49">
        <f t="shared" si="138"/>
        <v>0</v>
      </c>
      <c r="BT90" s="61">
        <f t="shared" si="149"/>
        <v>0</v>
      </c>
      <c r="BU90" s="58">
        <f t="shared" si="114"/>
        <v>5.9025422139998684E-3</v>
      </c>
      <c r="BV90" s="49">
        <f t="shared" si="115"/>
        <v>2.59875E-2</v>
      </c>
      <c r="BW90" s="61">
        <f t="shared" si="116"/>
        <v>5.4000000000000003E-3</v>
      </c>
      <c r="BX90" s="49">
        <f t="shared" si="139"/>
        <v>0.35774398520999806</v>
      </c>
      <c r="BY90" s="49">
        <f t="shared" si="140"/>
        <v>0.9670220203108737</v>
      </c>
      <c r="BZ90" s="49">
        <f t="shared" si="141"/>
        <v>93.297069967041679</v>
      </c>
    </row>
    <row r="91" spans="17:78" x14ac:dyDescent="0.35">
      <c r="Q91" s="49">
        <v>84</v>
      </c>
      <c r="R91" s="218">
        <f t="shared" si="94"/>
        <v>13.622</v>
      </c>
      <c r="S91" s="214">
        <f t="shared" si="95"/>
        <v>12</v>
      </c>
      <c r="T91" s="219">
        <f t="shared" si="96"/>
        <v>1.1351666666666667</v>
      </c>
      <c r="U91" s="218">
        <f t="shared" si="97"/>
        <v>2</v>
      </c>
      <c r="V91" s="214">
        <f t="shared" si="98"/>
        <v>0.4825090470446321</v>
      </c>
      <c r="W91" s="214">
        <f t="shared" si="99"/>
        <v>0.51749095295536796</v>
      </c>
      <c r="X91" s="214">
        <f t="shared" si="117"/>
        <v>0</v>
      </c>
      <c r="Y91" s="218">
        <f t="shared" si="118"/>
        <v>2.3526329166666664</v>
      </c>
      <c r="Z91" s="214">
        <f t="shared" si="100"/>
        <v>2.924297254815952</v>
      </c>
      <c r="AA91" s="214">
        <f t="shared" si="119"/>
        <v>3.8147815440746422</v>
      </c>
      <c r="AB91" s="219">
        <f t="shared" si="101"/>
        <v>1.7362255198999919</v>
      </c>
      <c r="AC91" s="218">
        <v>0</v>
      </c>
      <c r="AD91" s="214">
        <f t="shared" si="102"/>
        <v>9.0434371678559902E-2</v>
      </c>
      <c r="AE91" s="219">
        <f t="shared" si="120"/>
        <v>9.0434371678559902E-2</v>
      </c>
      <c r="AF91" s="58">
        <f t="shared" si="103"/>
        <v>0.27244000000000002</v>
      </c>
      <c r="AG91" s="61">
        <f t="shared" si="104"/>
        <v>0.27244000000000002</v>
      </c>
      <c r="AH91" s="58">
        <f t="shared" si="105"/>
        <v>2.6225967786782371E-2</v>
      </c>
      <c r="AI91" s="49">
        <f t="shared" si="106"/>
        <v>6.1500482861470029E-2</v>
      </c>
      <c r="AJ91" s="61">
        <f t="shared" si="121"/>
        <v>8.7726450648252408E-2</v>
      </c>
      <c r="AK91" s="218">
        <f t="shared" si="107"/>
        <v>13.44</v>
      </c>
      <c r="AL91" s="214">
        <f t="shared" si="108"/>
        <v>48</v>
      </c>
      <c r="AM91" s="219">
        <f t="shared" si="122"/>
        <v>0.27999999999999997</v>
      </c>
      <c r="AN91" s="218">
        <f t="shared" si="123"/>
        <v>2</v>
      </c>
      <c r="AO91" s="214">
        <f t="shared" si="124"/>
        <v>0.51749095295536796</v>
      </c>
      <c r="AP91" s="214">
        <f t="shared" si="125"/>
        <v>0.54107226107226103</v>
      </c>
      <c r="AQ91" s="214">
        <f t="shared" si="126"/>
        <v>0.6816543717519703</v>
      </c>
      <c r="AR91" s="214">
        <f t="shared" si="142"/>
        <v>0.88189944694824618</v>
      </c>
      <c r="AS91" s="219">
        <f t="shared" si="143"/>
        <v>0.41417149796086655</v>
      </c>
      <c r="AT91" s="218"/>
      <c r="AU91" s="214">
        <f t="shared" si="127"/>
        <v>9.4079999999999977E-4</v>
      </c>
      <c r="AV91" s="219">
        <f t="shared" si="144"/>
        <v>9.4079999999999977E-4</v>
      </c>
      <c r="AW91" s="218">
        <f t="shared" si="128"/>
        <v>0.109428</v>
      </c>
      <c r="AX91" s="214">
        <f t="shared" si="129"/>
        <v>8.3999999999999991E-2</v>
      </c>
      <c r="AY91" s="219">
        <f t="shared" si="145"/>
        <v>0.19342799999999999</v>
      </c>
      <c r="AZ91" s="218">
        <f t="shared" si="109"/>
        <v>0.182</v>
      </c>
      <c r="BA91" s="214">
        <f t="shared" si="110"/>
        <v>6.5</v>
      </c>
      <c r="BB91" s="214">
        <f t="shared" si="146"/>
        <v>2.8000000000000001E-2</v>
      </c>
      <c r="BC91" s="61">
        <f t="shared" si="130"/>
        <v>2.8000000000000001E-2</v>
      </c>
      <c r="BD91" s="58">
        <v>0</v>
      </c>
      <c r="BE91" s="49">
        <f t="shared" si="131"/>
        <v>9.4080000000000004E-6</v>
      </c>
      <c r="BF91" s="61">
        <f t="shared" si="147"/>
        <v>9.4080000000000004E-6</v>
      </c>
      <c r="BG91" s="58">
        <f t="shared" si="132"/>
        <v>1.4700399999999999E-2</v>
      </c>
      <c r="BH91" s="49">
        <f t="shared" si="133"/>
        <v>8.3999999999999995E-3</v>
      </c>
      <c r="BI91" s="61">
        <f t="shared" si="134"/>
        <v>2.31004E-2</v>
      </c>
      <c r="BK91" s="218">
        <f t="shared" si="111"/>
        <v>0</v>
      </c>
      <c r="BL91" s="214">
        <f t="shared" si="112"/>
        <v>0</v>
      </c>
      <c r="BM91" s="214">
        <f t="shared" si="113"/>
        <v>0</v>
      </c>
      <c r="BN91" s="61">
        <f t="shared" si="150"/>
        <v>0</v>
      </c>
      <c r="BO91" s="58">
        <v>0</v>
      </c>
      <c r="BP91" s="49">
        <f t="shared" si="136"/>
        <v>0</v>
      </c>
      <c r="BQ91" s="61">
        <f t="shared" si="148"/>
        <v>0</v>
      </c>
      <c r="BR91" s="58">
        <f t="shared" si="137"/>
        <v>0</v>
      </c>
      <c r="BS91" s="49">
        <f t="shared" si="138"/>
        <v>0</v>
      </c>
      <c r="BT91" s="61">
        <f t="shared" si="149"/>
        <v>0</v>
      </c>
      <c r="BU91" s="58">
        <f t="shared" si="114"/>
        <v>6.0289581119039939E-3</v>
      </c>
      <c r="BV91" s="49">
        <f t="shared" si="115"/>
        <v>2.59875E-2</v>
      </c>
      <c r="BW91" s="61">
        <f t="shared" si="116"/>
        <v>5.4000000000000003E-3</v>
      </c>
      <c r="BX91" s="49">
        <f t="shared" si="139"/>
        <v>0.36288377967855989</v>
      </c>
      <c r="BY91" s="49">
        <f t="shared" si="140"/>
        <v>0.97793588843871637</v>
      </c>
      <c r="BZ91" s="49">
        <f t="shared" si="141"/>
        <v>93.301779570051963</v>
      </c>
    </row>
    <row r="92" spans="17:78" x14ac:dyDescent="0.35">
      <c r="Q92" s="49">
        <v>85</v>
      </c>
      <c r="R92" s="218">
        <f t="shared" si="94"/>
        <v>13.784166666666666</v>
      </c>
      <c r="S92" s="214">
        <f t="shared" si="95"/>
        <v>12</v>
      </c>
      <c r="T92" s="219">
        <f t="shared" si="96"/>
        <v>1.1486805555555555</v>
      </c>
      <c r="U92" s="218">
        <f t="shared" si="97"/>
        <v>2</v>
      </c>
      <c r="V92" s="214">
        <f t="shared" si="98"/>
        <v>0.4825090470446321</v>
      </c>
      <c r="W92" s="214">
        <f t="shared" si="99"/>
        <v>0.51749095295536796</v>
      </c>
      <c r="X92" s="214">
        <f t="shared" si="117"/>
        <v>0</v>
      </c>
      <c r="Y92" s="218">
        <f t="shared" si="118"/>
        <v>2.3806404513888886</v>
      </c>
      <c r="Z92" s="214">
        <f t="shared" si="100"/>
        <v>2.924297254815952</v>
      </c>
      <c r="AA92" s="214">
        <f t="shared" si="119"/>
        <v>3.8427890787968648</v>
      </c>
      <c r="AB92" s="219">
        <f t="shared" si="101"/>
        <v>1.7545495109368212</v>
      </c>
      <c r="AC92" s="218">
        <v>0</v>
      </c>
      <c r="AD92" s="214">
        <f t="shared" si="102"/>
        <v>9.2353319589859151E-2</v>
      </c>
      <c r="AE92" s="219">
        <f t="shared" si="120"/>
        <v>9.2353319589859151E-2</v>
      </c>
      <c r="AF92" s="58">
        <f t="shared" si="103"/>
        <v>0.27568333333333334</v>
      </c>
      <c r="AG92" s="61">
        <f t="shared" si="104"/>
        <v>0.27568333333333334</v>
      </c>
      <c r="AH92" s="58">
        <f t="shared" si="105"/>
        <v>2.6782462681059153E-2</v>
      </c>
      <c r="AI92" s="49">
        <f t="shared" si="106"/>
        <v>6.2232631466963714E-2</v>
      </c>
      <c r="AJ92" s="61">
        <f t="shared" si="121"/>
        <v>8.9015094148022861E-2</v>
      </c>
      <c r="AK92" s="218">
        <f t="shared" si="107"/>
        <v>13.6</v>
      </c>
      <c r="AL92" s="214">
        <f t="shared" si="108"/>
        <v>48</v>
      </c>
      <c r="AM92" s="219">
        <f t="shared" si="122"/>
        <v>0.28333333333333333</v>
      </c>
      <c r="AN92" s="218">
        <f t="shared" si="123"/>
        <v>2</v>
      </c>
      <c r="AO92" s="214">
        <f t="shared" si="124"/>
        <v>0.51749095295536796</v>
      </c>
      <c r="AP92" s="214">
        <f t="shared" si="125"/>
        <v>0.54751359751359741</v>
      </c>
      <c r="AQ92" s="214">
        <f t="shared" si="126"/>
        <v>0.6816543717519703</v>
      </c>
      <c r="AR92" s="214">
        <f t="shared" si="142"/>
        <v>0.88834078338958256</v>
      </c>
      <c r="AS92" s="219">
        <f t="shared" si="143"/>
        <v>0.41852914982324413</v>
      </c>
      <c r="AT92" s="218"/>
      <c r="AU92" s="214">
        <f t="shared" si="127"/>
        <v>9.6333333333333319E-4</v>
      </c>
      <c r="AV92" s="219">
        <f t="shared" si="144"/>
        <v>9.6333333333333319E-4</v>
      </c>
      <c r="AW92" s="218">
        <f t="shared" si="128"/>
        <v>0.109428</v>
      </c>
      <c r="AX92" s="214">
        <f t="shared" si="129"/>
        <v>8.4999999999999992E-2</v>
      </c>
      <c r="AY92" s="219">
        <f t="shared" si="145"/>
        <v>0.19442799999999999</v>
      </c>
      <c r="AZ92" s="218">
        <f t="shared" si="109"/>
        <v>0.18416666666666665</v>
      </c>
      <c r="BA92" s="214">
        <f t="shared" si="110"/>
        <v>6.5</v>
      </c>
      <c r="BB92" s="214">
        <f t="shared" si="146"/>
        <v>2.8333333333333328E-2</v>
      </c>
      <c r="BC92" s="61">
        <f t="shared" si="130"/>
        <v>2.8333333333333328E-2</v>
      </c>
      <c r="BD92" s="58">
        <v>0</v>
      </c>
      <c r="BE92" s="49">
        <f t="shared" si="131"/>
        <v>9.6333333333333298E-6</v>
      </c>
      <c r="BF92" s="61">
        <f t="shared" si="147"/>
        <v>9.6333333333333298E-6</v>
      </c>
      <c r="BG92" s="58">
        <f t="shared" si="132"/>
        <v>1.4700399999999999E-2</v>
      </c>
      <c r="BH92" s="49">
        <f t="shared" si="133"/>
        <v>8.4999999999999989E-3</v>
      </c>
      <c r="BI92" s="61">
        <f t="shared" si="134"/>
        <v>2.3200399999999996E-2</v>
      </c>
      <c r="BK92" s="218">
        <f t="shared" si="111"/>
        <v>0</v>
      </c>
      <c r="BL92" s="214">
        <f t="shared" si="112"/>
        <v>0</v>
      </c>
      <c r="BM92" s="214">
        <f t="shared" si="113"/>
        <v>0</v>
      </c>
      <c r="BN92" s="61">
        <f t="shared" si="150"/>
        <v>0</v>
      </c>
      <c r="BO92" s="58">
        <v>0</v>
      </c>
      <c r="BP92" s="49">
        <f t="shared" si="136"/>
        <v>0</v>
      </c>
      <c r="BQ92" s="61">
        <f t="shared" si="148"/>
        <v>0</v>
      </c>
      <c r="BR92" s="58">
        <f t="shared" si="137"/>
        <v>0</v>
      </c>
      <c r="BS92" s="49">
        <f t="shared" si="138"/>
        <v>0</v>
      </c>
      <c r="BT92" s="61">
        <f t="shared" si="149"/>
        <v>0</v>
      </c>
      <c r="BU92" s="58">
        <f t="shared" si="114"/>
        <v>6.1568879726572765E-3</v>
      </c>
      <c r="BV92" s="49">
        <f t="shared" si="115"/>
        <v>2.59875E-2</v>
      </c>
      <c r="BW92" s="61">
        <f t="shared" si="116"/>
        <v>5.4000000000000003E-3</v>
      </c>
      <c r="BX92" s="49">
        <f t="shared" si="139"/>
        <v>0.3680462862565258</v>
      </c>
      <c r="BY92" s="49">
        <f t="shared" si="140"/>
        <v>0.98888083504387247</v>
      </c>
      <c r="BZ92" s="49">
        <f t="shared" si="141"/>
        <v>93.306182526459949</v>
      </c>
    </row>
    <row r="93" spans="17:78" x14ac:dyDescent="0.35">
      <c r="Q93" s="49">
        <v>86</v>
      </c>
      <c r="R93" s="218">
        <f t="shared" si="94"/>
        <v>13.946333333333333</v>
      </c>
      <c r="S93" s="214">
        <f t="shared" si="95"/>
        <v>12</v>
      </c>
      <c r="T93" s="219">
        <f t="shared" si="96"/>
        <v>1.1621944444444445</v>
      </c>
      <c r="U93" s="218">
        <f t="shared" si="97"/>
        <v>2</v>
      </c>
      <c r="V93" s="214">
        <f t="shared" si="98"/>
        <v>0.4825090470446321</v>
      </c>
      <c r="W93" s="214">
        <f t="shared" si="99"/>
        <v>0.51749095295536796</v>
      </c>
      <c r="X93" s="214">
        <f t="shared" si="117"/>
        <v>0</v>
      </c>
      <c r="Y93" s="218">
        <f t="shared" si="118"/>
        <v>2.4086479861111112</v>
      </c>
      <c r="Z93" s="214">
        <f t="shared" si="100"/>
        <v>2.924297254815952</v>
      </c>
      <c r="AA93" s="214">
        <f t="shared" si="119"/>
        <v>3.8707966135190874</v>
      </c>
      <c r="AB93" s="219">
        <f t="shared" si="101"/>
        <v>1.7728975994483871</v>
      </c>
      <c r="AC93" s="218">
        <v>0</v>
      </c>
      <c r="AD93" s="214">
        <f t="shared" si="102"/>
        <v>9.4294976943895617E-2</v>
      </c>
      <c r="AE93" s="219">
        <f t="shared" si="120"/>
        <v>9.4294976943895617E-2</v>
      </c>
      <c r="AF93" s="58">
        <f t="shared" si="103"/>
        <v>0.27892666666666666</v>
      </c>
      <c r="AG93" s="61">
        <f t="shared" si="104"/>
        <v>0.27892666666666666</v>
      </c>
      <c r="AH93" s="58">
        <f t="shared" si="105"/>
        <v>2.7345543313729726E-2</v>
      </c>
      <c r="AI93" s="49">
        <f t="shared" si="106"/>
        <v>6.2964780072457413E-2</v>
      </c>
      <c r="AJ93" s="61">
        <f t="shared" si="121"/>
        <v>9.0310323386187136E-2</v>
      </c>
      <c r="AK93" s="218">
        <f t="shared" si="107"/>
        <v>13.76</v>
      </c>
      <c r="AL93" s="214">
        <f t="shared" si="108"/>
        <v>48</v>
      </c>
      <c r="AM93" s="219">
        <f t="shared" si="122"/>
        <v>0.28666666666666668</v>
      </c>
      <c r="AN93" s="218">
        <f t="shared" si="123"/>
        <v>2</v>
      </c>
      <c r="AO93" s="214">
        <f t="shared" si="124"/>
        <v>0.51749095295536796</v>
      </c>
      <c r="AP93" s="214">
        <f t="shared" si="125"/>
        <v>0.55395493395493389</v>
      </c>
      <c r="AQ93" s="214">
        <f t="shared" si="126"/>
        <v>0.6816543717519703</v>
      </c>
      <c r="AR93" s="214">
        <f t="shared" si="142"/>
        <v>0.89478211983091904</v>
      </c>
      <c r="AS93" s="219">
        <f t="shared" si="143"/>
        <v>0.42289267080824344</v>
      </c>
      <c r="AT93" s="218"/>
      <c r="AU93" s="214">
        <f t="shared" si="127"/>
        <v>9.8613333333333331E-4</v>
      </c>
      <c r="AV93" s="219">
        <f t="shared" si="144"/>
        <v>9.8613333333333331E-4</v>
      </c>
      <c r="AW93" s="218">
        <f t="shared" si="128"/>
        <v>0.109428</v>
      </c>
      <c r="AX93" s="214">
        <f t="shared" si="129"/>
        <v>8.6000000000000007E-2</v>
      </c>
      <c r="AY93" s="219">
        <f t="shared" si="145"/>
        <v>0.19542799999999999</v>
      </c>
      <c r="AZ93" s="218">
        <f t="shared" si="109"/>
        <v>0.18633333333333332</v>
      </c>
      <c r="BA93" s="214">
        <f t="shared" si="110"/>
        <v>6.5</v>
      </c>
      <c r="BB93" s="214">
        <f t="shared" si="146"/>
        <v>2.8666666666666667E-2</v>
      </c>
      <c r="BC93" s="61">
        <f t="shared" si="130"/>
        <v>2.8666666666666667E-2</v>
      </c>
      <c r="BD93" s="58">
        <v>0</v>
      </c>
      <c r="BE93" s="49">
        <f t="shared" si="131"/>
        <v>9.8613333333333333E-6</v>
      </c>
      <c r="BF93" s="61">
        <f t="shared" si="147"/>
        <v>9.8613333333333333E-6</v>
      </c>
      <c r="BG93" s="58">
        <f t="shared" si="132"/>
        <v>1.4700399999999999E-2</v>
      </c>
      <c r="BH93" s="49">
        <f t="shared" si="133"/>
        <v>8.6E-3</v>
      </c>
      <c r="BI93" s="61">
        <f t="shared" si="134"/>
        <v>2.3300399999999999E-2</v>
      </c>
      <c r="BK93" s="218">
        <f t="shared" si="111"/>
        <v>0</v>
      </c>
      <c r="BL93" s="214">
        <f t="shared" si="112"/>
        <v>0</v>
      </c>
      <c r="BM93" s="214">
        <f t="shared" si="113"/>
        <v>0</v>
      </c>
      <c r="BN93" s="61">
        <f t="shared" si="150"/>
        <v>0</v>
      </c>
      <c r="BO93" s="58">
        <v>0</v>
      </c>
      <c r="BP93" s="49">
        <f t="shared" si="136"/>
        <v>0</v>
      </c>
      <c r="BQ93" s="61">
        <f t="shared" si="148"/>
        <v>0</v>
      </c>
      <c r="BR93" s="58">
        <f t="shared" si="137"/>
        <v>0</v>
      </c>
      <c r="BS93" s="49">
        <f t="shared" si="138"/>
        <v>0</v>
      </c>
      <c r="BT93" s="61">
        <f t="shared" si="149"/>
        <v>0</v>
      </c>
      <c r="BU93" s="58">
        <f t="shared" si="114"/>
        <v>6.2863317962597075E-3</v>
      </c>
      <c r="BV93" s="49">
        <f t="shared" si="115"/>
        <v>2.59875E-2</v>
      </c>
      <c r="BW93" s="61">
        <f t="shared" si="116"/>
        <v>5.4000000000000003E-3</v>
      </c>
      <c r="BX93" s="49">
        <f t="shared" si="139"/>
        <v>0.37323150494389562</v>
      </c>
      <c r="BY93" s="49">
        <f t="shared" si="140"/>
        <v>0.99985686012634245</v>
      </c>
      <c r="BZ93" s="49">
        <f t="shared" si="141"/>
        <v>93.310289463840277</v>
      </c>
    </row>
    <row r="94" spans="17:78" x14ac:dyDescent="0.35">
      <c r="Q94" s="49">
        <v>87</v>
      </c>
      <c r="R94" s="218">
        <f t="shared" si="94"/>
        <v>14.108499999999999</v>
      </c>
      <c r="S94" s="214">
        <f t="shared" si="95"/>
        <v>12</v>
      </c>
      <c r="T94" s="219">
        <f t="shared" si="96"/>
        <v>1.1757083333333334</v>
      </c>
      <c r="U94" s="218">
        <f t="shared" si="97"/>
        <v>2</v>
      </c>
      <c r="V94" s="214">
        <f t="shared" si="98"/>
        <v>0.4825090470446321</v>
      </c>
      <c r="W94" s="214">
        <f t="shared" si="99"/>
        <v>0.51749095295536796</v>
      </c>
      <c r="X94" s="214">
        <f t="shared" si="117"/>
        <v>0</v>
      </c>
      <c r="Y94" s="218">
        <f t="shared" si="118"/>
        <v>2.4366555208333329</v>
      </c>
      <c r="Z94" s="214">
        <f t="shared" si="100"/>
        <v>2.924297254815952</v>
      </c>
      <c r="AA94" s="214">
        <f t="shared" si="119"/>
        <v>3.8988041482413092</v>
      </c>
      <c r="AB94" s="219">
        <f t="shared" si="101"/>
        <v>1.7912690449387114</v>
      </c>
      <c r="AC94" s="218">
        <v>0</v>
      </c>
      <c r="AD94" s="214">
        <f t="shared" si="102"/>
        <v>9.6259343740669301E-2</v>
      </c>
      <c r="AE94" s="219">
        <f t="shared" si="120"/>
        <v>9.6259343740669301E-2</v>
      </c>
      <c r="AF94" s="58">
        <f t="shared" si="103"/>
        <v>0.28216999999999998</v>
      </c>
      <c r="AG94" s="61">
        <f t="shared" si="104"/>
        <v>0.28216999999999998</v>
      </c>
      <c r="AH94" s="58">
        <f t="shared" si="105"/>
        <v>2.7915209684794096E-2</v>
      </c>
      <c r="AI94" s="49">
        <f t="shared" si="106"/>
        <v>6.3696928677951098E-2</v>
      </c>
      <c r="AJ94" s="61">
        <f t="shared" si="121"/>
        <v>9.1612138362745191E-2</v>
      </c>
      <c r="AK94" s="218">
        <f t="shared" si="107"/>
        <v>13.92</v>
      </c>
      <c r="AL94" s="214">
        <f t="shared" si="108"/>
        <v>48</v>
      </c>
      <c r="AM94" s="219">
        <f t="shared" si="122"/>
        <v>0.28999999999999998</v>
      </c>
      <c r="AN94" s="218">
        <f t="shared" si="123"/>
        <v>2</v>
      </c>
      <c r="AO94" s="214">
        <f t="shared" si="124"/>
        <v>0.51749095295536796</v>
      </c>
      <c r="AP94" s="214">
        <f t="shared" si="125"/>
        <v>0.56039627039627027</v>
      </c>
      <c r="AQ94" s="214">
        <f t="shared" si="126"/>
        <v>0.6816543717519703</v>
      </c>
      <c r="AR94" s="214">
        <f t="shared" si="142"/>
        <v>0.90122345627225542</v>
      </c>
      <c r="AS94" s="219">
        <f t="shared" si="143"/>
        <v>0.42726188109616486</v>
      </c>
      <c r="AT94" s="218"/>
      <c r="AU94" s="214">
        <f t="shared" si="127"/>
        <v>1.0092E-3</v>
      </c>
      <c r="AV94" s="219">
        <f t="shared" si="144"/>
        <v>1.0092E-3</v>
      </c>
      <c r="AW94" s="218">
        <f t="shared" si="128"/>
        <v>0.109428</v>
      </c>
      <c r="AX94" s="214">
        <f t="shared" si="129"/>
        <v>8.6999999999999994E-2</v>
      </c>
      <c r="AY94" s="219">
        <f t="shared" si="145"/>
        <v>0.19642799999999999</v>
      </c>
      <c r="AZ94" s="218">
        <f t="shared" si="109"/>
        <v>0.1885</v>
      </c>
      <c r="BA94" s="214">
        <f t="shared" si="110"/>
        <v>6.5</v>
      </c>
      <c r="BB94" s="214">
        <f t="shared" si="146"/>
        <v>2.9000000000000001E-2</v>
      </c>
      <c r="BC94" s="61">
        <f t="shared" si="130"/>
        <v>2.9000000000000001E-2</v>
      </c>
      <c r="BD94" s="58">
        <v>0</v>
      </c>
      <c r="BE94" s="49">
        <f t="shared" si="131"/>
        <v>1.0092000000000001E-5</v>
      </c>
      <c r="BF94" s="61">
        <f t="shared" si="147"/>
        <v>1.0092000000000001E-5</v>
      </c>
      <c r="BG94" s="58">
        <f t="shared" si="132"/>
        <v>1.4700399999999999E-2</v>
      </c>
      <c r="BH94" s="49">
        <f t="shared" si="133"/>
        <v>8.6999999999999994E-3</v>
      </c>
      <c r="BI94" s="61">
        <f t="shared" si="134"/>
        <v>2.3400399999999998E-2</v>
      </c>
      <c r="BK94" s="218">
        <f t="shared" si="111"/>
        <v>0</v>
      </c>
      <c r="BL94" s="214">
        <f t="shared" si="112"/>
        <v>0</v>
      </c>
      <c r="BM94" s="214">
        <f t="shared" si="113"/>
        <v>0</v>
      </c>
      <c r="BN94" s="61">
        <f t="shared" si="150"/>
        <v>0</v>
      </c>
      <c r="BO94" s="58">
        <v>0</v>
      </c>
      <c r="BP94" s="49">
        <f t="shared" si="136"/>
        <v>0</v>
      </c>
      <c r="BQ94" s="61">
        <f t="shared" si="148"/>
        <v>0</v>
      </c>
      <c r="BR94" s="58">
        <f t="shared" si="137"/>
        <v>0</v>
      </c>
      <c r="BS94" s="49">
        <f t="shared" si="138"/>
        <v>0</v>
      </c>
      <c r="BT94" s="61">
        <f t="shared" si="149"/>
        <v>0</v>
      </c>
      <c r="BU94" s="58">
        <f t="shared" si="114"/>
        <v>6.4172895827112868E-3</v>
      </c>
      <c r="BV94" s="49">
        <f t="shared" si="115"/>
        <v>2.59875E-2</v>
      </c>
      <c r="BW94" s="61">
        <f t="shared" si="116"/>
        <v>5.4000000000000003E-3</v>
      </c>
      <c r="BX94" s="49">
        <f t="shared" si="139"/>
        <v>0.37843943574066929</v>
      </c>
      <c r="BY94" s="49">
        <f t="shared" si="140"/>
        <v>1.0108639636861259</v>
      </c>
      <c r="BZ94" s="49">
        <f t="shared" si="141"/>
        <v>93.314110526646289</v>
      </c>
    </row>
    <row r="95" spans="17:78" x14ac:dyDescent="0.35">
      <c r="Q95" s="49">
        <v>88</v>
      </c>
      <c r="R95" s="218">
        <f t="shared" si="94"/>
        <v>14.270666666666667</v>
      </c>
      <c r="S95" s="214">
        <f t="shared" si="95"/>
        <v>12</v>
      </c>
      <c r="T95" s="219">
        <f t="shared" si="96"/>
        <v>1.1892222222222222</v>
      </c>
      <c r="U95" s="218">
        <f t="shared" si="97"/>
        <v>2</v>
      </c>
      <c r="V95" s="214">
        <f t="shared" si="98"/>
        <v>0.4825090470446321</v>
      </c>
      <c r="W95" s="214">
        <f t="shared" si="99"/>
        <v>0.51749095295536796</v>
      </c>
      <c r="X95" s="214">
        <f t="shared" si="117"/>
        <v>0</v>
      </c>
      <c r="Y95" s="218">
        <f t="shared" si="118"/>
        <v>2.4646630555555555</v>
      </c>
      <c r="Z95" s="214">
        <f t="shared" si="100"/>
        <v>2.924297254815952</v>
      </c>
      <c r="AA95" s="214">
        <f t="shared" si="119"/>
        <v>3.9268116829635318</v>
      </c>
      <c r="AB95" s="219">
        <f t="shared" si="101"/>
        <v>1.8096631360576505</v>
      </c>
      <c r="AC95" s="218">
        <v>0</v>
      </c>
      <c r="AD95" s="214">
        <f t="shared" si="102"/>
        <v>9.8246419980180313E-2</v>
      </c>
      <c r="AE95" s="219">
        <f t="shared" si="120"/>
        <v>9.8246419980180313E-2</v>
      </c>
      <c r="AF95" s="58">
        <f t="shared" si="103"/>
        <v>0.28541333333333335</v>
      </c>
      <c r="AG95" s="61">
        <f t="shared" si="104"/>
        <v>0.28541333333333335</v>
      </c>
      <c r="AH95" s="58">
        <f t="shared" si="105"/>
        <v>2.8491461794252288E-2</v>
      </c>
      <c r="AI95" s="49">
        <f t="shared" si="106"/>
        <v>6.4429077283444797E-2</v>
      </c>
      <c r="AJ95" s="61">
        <f t="shared" si="121"/>
        <v>9.2920539077697081E-2</v>
      </c>
      <c r="AK95" s="218">
        <f t="shared" si="107"/>
        <v>14.08</v>
      </c>
      <c r="AL95" s="214">
        <f t="shared" si="108"/>
        <v>48</v>
      </c>
      <c r="AM95" s="219">
        <f t="shared" si="122"/>
        <v>0.29333333333333333</v>
      </c>
      <c r="AN95" s="218">
        <f t="shared" si="123"/>
        <v>2</v>
      </c>
      <c r="AO95" s="214">
        <f t="shared" si="124"/>
        <v>0.51749095295536796</v>
      </c>
      <c r="AP95" s="214">
        <f t="shared" si="125"/>
        <v>0.56683760683760676</v>
      </c>
      <c r="AQ95" s="214">
        <f t="shared" si="126"/>
        <v>0.6816543717519703</v>
      </c>
      <c r="AR95" s="214">
        <f t="shared" si="142"/>
        <v>0.90766479271359191</v>
      </c>
      <c r="AS95" s="219">
        <f t="shared" si="143"/>
        <v>0.43163660791837344</v>
      </c>
      <c r="AT95" s="218"/>
      <c r="AU95" s="214">
        <f t="shared" si="127"/>
        <v>1.0325333333333333E-3</v>
      </c>
      <c r="AV95" s="219">
        <f t="shared" si="144"/>
        <v>1.0325333333333333E-3</v>
      </c>
      <c r="AW95" s="218">
        <f t="shared" si="128"/>
        <v>0.109428</v>
      </c>
      <c r="AX95" s="214">
        <f t="shared" si="129"/>
        <v>8.7999999999999995E-2</v>
      </c>
      <c r="AY95" s="219">
        <f t="shared" si="145"/>
        <v>0.19742799999999999</v>
      </c>
      <c r="AZ95" s="218">
        <f t="shared" si="109"/>
        <v>0.19066666666666665</v>
      </c>
      <c r="BA95" s="214">
        <f t="shared" si="110"/>
        <v>6.5</v>
      </c>
      <c r="BB95" s="214">
        <f t="shared" si="146"/>
        <v>2.9333333333333329E-2</v>
      </c>
      <c r="BC95" s="61">
        <f t="shared" si="130"/>
        <v>2.9333333333333329E-2</v>
      </c>
      <c r="BD95" s="58">
        <v>0</v>
      </c>
      <c r="BE95" s="49">
        <f t="shared" si="131"/>
        <v>1.0325333333333331E-5</v>
      </c>
      <c r="BF95" s="61">
        <f t="shared" si="147"/>
        <v>1.0325333333333331E-5</v>
      </c>
      <c r="BG95" s="58">
        <f t="shared" si="132"/>
        <v>1.4700399999999999E-2</v>
      </c>
      <c r="BH95" s="49">
        <f t="shared" si="133"/>
        <v>8.7999999999999988E-3</v>
      </c>
      <c r="BI95" s="61">
        <f t="shared" si="134"/>
        <v>2.3500399999999998E-2</v>
      </c>
      <c r="BK95" s="218">
        <f t="shared" si="111"/>
        <v>0</v>
      </c>
      <c r="BL95" s="214">
        <f t="shared" si="112"/>
        <v>0</v>
      </c>
      <c r="BM95" s="214">
        <f t="shared" si="113"/>
        <v>0</v>
      </c>
      <c r="BN95" s="61">
        <f t="shared" si="150"/>
        <v>0</v>
      </c>
      <c r="BO95" s="58">
        <v>0</v>
      </c>
      <c r="BP95" s="49">
        <f t="shared" si="136"/>
        <v>0</v>
      </c>
      <c r="BQ95" s="61">
        <f t="shared" si="148"/>
        <v>0</v>
      </c>
      <c r="BR95" s="58">
        <f t="shared" si="137"/>
        <v>0</v>
      </c>
      <c r="BS95" s="49">
        <f t="shared" si="138"/>
        <v>0</v>
      </c>
      <c r="BT95" s="61">
        <f t="shared" si="149"/>
        <v>0</v>
      </c>
      <c r="BU95" s="58">
        <f t="shared" si="114"/>
        <v>6.5497613320120206E-3</v>
      </c>
      <c r="BV95" s="49">
        <f t="shared" si="115"/>
        <v>2.59875E-2</v>
      </c>
      <c r="BW95" s="61">
        <f t="shared" si="116"/>
        <v>5.4000000000000003E-3</v>
      </c>
      <c r="BX95" s="49">
        <f t="shared" si="139"/>
        <v>0.38367007864684699</v>
      </c>
      <c r="BY95" s="49">
        <f t="shared" si="140"/>
        <v>1.0219021457232229</v>
      </c>
      <c r="BZ95" s="49">
        <f t="shared" si="141"/>
        <v>93.317655403353257</v>
      </c>
    </row>
    <row r="96" spans="17:78" x14ac:dyDescent="0.35">
      <c r="Q96" s="49">
        <v>89</v>
      </c>
      <c r="R96" s="218">
        <f t="shared" si="94"/>
        <v>14.432833333333333</v>
      </c>
      <c r="S96" s="214">
        <f t="shared" si="95"/>
        <v>12</v>
      </c>
      <c r="T96" s="219">
        <f t="shared" si="96"/>
        <v>1.202736111111111</v>
      </c>
      <c r="U96" s="218">
        <f t="shared" si="97"/>
        <v>2</v>
      </c>
      <c r="V96" s="214">
        <f t="shared" si="98"/>
        <v>0.4825090470446321</v>
      </c>
      <c r="W96" s="214">
        <f t="shared" si="99"/>
        <v>0.51749095295536796</v>
      </c>
      <c r="X96" s="214">
        <f t="shared" si="117"/>
        <v>0</v>
      </c>
      <c r="Y96" s="218">
        <f t="shared" si="118"/>
        <v>2.4926705902777777</v>
      </c>
      <c r="Z96" s="214">
        <f t="shared" si="100"/>
        <v>2.924297254815952</v>
      </c>
      <c r="AA96" s="214">
        <f t="shared" si="119"/>
        <v>3.9548192176857535</v>
      </c>
      <c r="AB96" s="219">
        <f t="shared" si="101"/>
        <v>1.8280791892259349</v>
      </c>
      <c r="AC96" s="218">
        <v>0</v>
      </c>
      <c r="AD96" s="214">
        <f t="shared" si="102"/>
        <v>0.10025620566242854</v>
      </c>
      <c r="AE96" s="219">
        <f t="shared" si="120"/>
        <v>0.10025620566242854</v>
      </c>
      <c r="AF96" s="58">
        <f t="shared" si="103"/>
        <v>0.28865666666666667</v>
      </c>
      <c r="AG96" s="61">
        <f t="shared" si="104"/>
        <v>0.28865666666666667</v>
      </c>
      <c r="AH96" s="58">
        <f t="shared" si="105"/>
        <v>2.9074299642104277E-2</v>
      </c>
      <c r="AI96" s="49">
        <f t="shared" si="106"/>
        <v>6.5161225888938495E-2</v>
      </c>
      <c r="AJ96" s="61">
        <f t="shared" si="121"/>
        <v>9.423552553104278E-2</v>
      </c>
      <c r="AK96" s="218">
        <f t="shared" si="107"/>
        <v>14.24</v>
      </c>
      <c r="AL96" s="214">
        <f t="shared" si="108"/>
        <v>48</v>
      </c>
      <c r="AM96" s="219">
        <f t="shared" si="122"/>
        <v>0.29666666666666669</v>
      </c>
      <c r="AN96" s="218">
        <f t="shared" si="123"/>
        <v>2</v>
      </c>
      <c r="AO96" s="214">
        <f t="shared" si="124"/>
        <v>0.51749095295536796</v>
      </c>
      <c r="AP96" s="214">
        <f t="shared" si="125"/>
        <v>0.57327894327894324</v>
      </c>
      <c r="AQ96" s="214">
        <f t="shared" si="126"/>
        <v>0.6816543717519703</v>
      </c>
      <c r="AR96" s="214">
        <f t="shared" si="142"/>
        <v>0.91410612915492839</v>
      </c>
      <c r="AS96" s="219">
        <f t="shared" si="143"/>
        <v>0.43601668522622861</v>
      </c>
      <c r="AT96" s="218"/>
      <c r="AU96" s="214">
        <f t="shared" si="127"/>
        <v>1.0561333333333335E-3</v>
      </c>
      <c r="AV96" s="219">
        <f t="shared" si="144"/>
        <v>1.0561333333333335E-3</v>
      </c>
      <c r="AW96" s="218">
        <f t="shared" si="128"/>
        <v>0.109428</v>
      </c>
      <c r="AX96" s="214">
        <f t="shared" si="129"/>
        <v>8.900000000000001E-2</v>
      </c>
      <c r="AY96" s="219">
        <f t="shared" si="145"/>
        <v>0.19842799999999999</v>
      </c>
      <c r="AZ96" s="218">
        <f t="shared" si="109"/>
        <v>0.19283333333333333</v>
      </c>
      <c r="BA96" s="214">
        <f t="shared" si="110"/>
        <v>6.5</v>
      </c>
      <c r="BB96" s="214">
        <f t="shared" si="146"/>
        <v>2.9666666666666668E-2</v>
      </c>
      <c r="BC96" s="61">
        <f t="shared" si="130"/>
        <v>2.9666666666666668E-2</v>
      </c>
      <c r="BD96" s="58">
        <v>0</v>
      </c>
      <c r="BE96" s="49">
        <f t="shared" si="131"/>
        <v>1.0561333333333333E-5</v>
      </c>
      <c r="BF96" s="61">
        <f t="shared" si="147"/>
        <v>1.0561333333333333E-5</v>
      </c>
      <c r="BG96" s="58">
        <f t="shared" si="132"/>
        <v>1.4700399999999999E-2</v>
      </c>
      <c r="BH96" s="49">
        <f t="shared" si="133"/>
        <v>8.8999999999999999E-3</v>
      </c>
      <c r="BI96" s="61">
        <f t="shared" si="134"/>
        <v>2.3600400000000001E-2</v>
      </c>
      <c r="BK96" s="218">
        <f t="shared" si="111"/>
        <v>0</v>
      </c>
      <c r="BL96" s="214">
        <f t="shared" si="112"/>
        <v>0</v>
      </c>
      <c r="BM96" s="214">
        <f t="shared" si="113"/>
        <v>0</v>
      </c>
      <c r="BN96" s="61">
        <f t="shared" si="150"/>
        <v>0</v>
      </c>
      <c r="BO96" s="58">
        <v>0</v>
      </c>
      <c r="BP96" s="49">
        <f t="shared" si="136"/>
        <v>0</v>
      </c>
      <c r="BQ96" s="61">
        <f t="shared" si="148"/>
        <v>0</v>
      </c>
      <c r="BR96" s="58">
        <f t="shared" si="137"/>
        <v>0</v>
      </c>
      <c r="BS96" s="49">
        <f t="shared" si="138"/>
        <v>0</v>
      </c>
      <c r="BT96" s="61">
        <f t="shared" si="149"/>
        <v>0</v>
      </c>
      <c r="BU96" s="58">
        <f t="shared" si="114"/>
        <v>6.6837470441619027E-3</v>
      </c>
      <c r="BV96" s="49">
        <f t="shared" si="115"/>
        <v>2.59875E-2</v>
      </c>
      <c r="BW96" s="61">
        <f t="shared" si="116"/>
        <v>5.4000000000000003E-3</v>
      </c>
      <c r="BX96" s="49">
        <f t="shared" si="139"/>
        <v>0.38892343366242854</v>
      </c>
      <c r="BY96" s="49">
        <f t="shared" si="140"/>
        <v>1.0329714062376332</v>
      </c>
      <c r="BZ96" s="49">
        <f t="shared" si="141"/>
        <v>93.320933351792149</v>
      </c>
    </row>
    <row r="97" spans="17:78" x14ac:dyDescent="0.35">
      <c r="Q97" s="49">
        <v>90</v>
      </c>
      <c r="R97" s="218">
        <f t="shared" si="94"/>
        <v>14.595000000000001</v>
      </c>
      <c r="S97" s="214">
        <f t="shared" si="95"/>
        <v>12</v>
      </c>
      <c r="T97" s="219">
        <f t="shared" si="96"/>
        <v>1.2162500000000001</v>
      </c>
      <c r="U97" s="218">
        <f t="shared" si="97"/>
        <v>2</v>
      </c>
      <c r="V97" s="214">
        <f t="shared" si="98"/>
        <v>0.4825090470446321</v>
      </c>
      <c r="W97" s="214">
        <f t="shared" si="99"/>
        <v>0.51749095295536796</v>
      </c>
      <c r="X97" s="214">
        <f t="shared" si="117"/>
        <v>0</v>
      </c>
      <c r="Y97" s="218">
        <f t="shared" si="118"/>
        <v>2.5206781249999999</v>
      </c>
      <c r="Z97" s="214">
        <f t="shared" si="100"/>
        <v>2.924297254815952</v>
      </c>
      <c r="AA97" s="214">
        <f t="shared" si="119"/>
        <v>3.9828267524079761</v>
      </c>
      <c r="AB97" s="219">
        <f t="shared" si="101"/>
        <v>1.8465165473345944</v>
      </c>
      <c r="AC97" s="218">
        <v>0</v>
      </c>
      <c r="AD97" s="214">
        <f t="shared" si="102"/>
        <v>0.10228870078741414</v>
      </c>
      <c r="AE97" s="219">
        <f t="shared" si="120"/>
        <v>0.10228870078741414</v>
      </c>
      <c r="AF97" s="58">
        <f t="shared" si="103"/>
        <v>0.29189999999999999</v>
      </c>
      <c r="AG97" s="61">
        <f t="shared" si="104"/>
        <v>0.29189999999999999</v>
      </c>
      <c r="AH97" s="58">
        <f t="shared" si="105"/>
        <v>2.9663723228350099E-2</v>
      </c>
      <c r="AI97" s="49">
        <f t="shared" si="106"/>
        <v>6.589337449443218E-2</v>
      </c>
      <c r="AJ97" s="61">
        <f t="shared" si="121"/>
        <v>9.5557097722782286E-2</v>
      </c>
      <c r="AK97" s="218">
        <f t="shared" si="107"/>
        <v>14.4</v>
      </c>
      <c r="AL97" s="214">
        <f t="shared" si="108"/>
        <v>48</v>
      </c>
      <c r="AM97" s="219">
        <f t="shared" si="122"/>
        <v>0.3</v>
      </c>
      <c r="AN97" s="218">
        <f t="shared" si="123"/>
        <v>2</v>
      </c>
      <c r="AO97" s="214">
        <f t="shared" si="124"/>
        <v>0.51749095295536796</v>
      </c>
      <c r="AP97" s="214">
        <f t="shared" si="125"/>
        <v>0.57972027972027962</v>
      </c>
      <c r="AQ97" s="214">
        <f t="shared" si="126"/>
        <v>0.6816543717519703</v>
      </c>
      <c r="AR97" s="214">
        <f t="shared" si="142"/>
        <v>0.92054746559626477</v>
      </c>
      <c r="AS97" s="219">
        <f t="shared" si="143"/>
        <v>0.44040195337781918</v>
      </c>
      <c r="AT97" s="218"/>
      <c r="AU97" s="214">
        <f t="shared" si="127"/>
        <v>1.08E-3</v>
      </c>
      <c r="AV97" s="219">
        <f t="shared" si="144"/>
        <v>1.08E-3</v>
      </c>
      <c r="AW97" s="218">
        <f t="shared" si="128"/>
        <v>0.109428</v>
      </c>
      <c r="AX97" s="214">
        <f t="shared" si="129"/>
        <v>0.09</v>
      </c>
      <c r="AY97" s="219">
        <f t="shared" si="145"/>
        <v>0.19942799999999999</v>
      </c>
      <c r="AZ97" s="218">
        <f t="shared" si="109"/>
        <v>0.19499999999999998</v>
      </c>
      <c r="BA97" s="214">
        <f t="shared" si="110"/>
        <v>6.5</v>
      </c>
      <c r="BB97" s="214">
        <f t="shared" si="146"/>
        <v>2.9999999999999995E-2</v>
      </c>
      <c r="BC97" s="61">
        <f t="shared" si="130"/>
        <v>2.9999999999999995E-2</v>
      </c>
      <c r="BD97" s="58">
        <v>0</v>
      </c>
      <c r="BE97" s="49">
        <f t="shared" si="131"/>
        <v>1.0799999999999997E-5</v>
      </c>
      <c r="BF97" s="61">
        <f t="shared" si="147"/>
        <v>1.0799999999999997E-5</v>
      </c>
      <c r="BG97" s="58">
        <f t="shared" si="132"/>
        <v>1.4700399999999999E-2</v>
      </c>
      <c r="BH97" s="49">
        <f t="shared" si="133"/>
        <v>8.9999999999999976E-3</v>
      </c>
      <c r="BI97" s="61">
        <f t="shared" si="134"/>
        <v>2.3700399999999996E-2</v>
      </c>
      <c r="BK97" s="218">
        <f t="shared" si="111"/>
        <v>0</v>
      </c>
      <c r="BL97" s="214">
        <f t="shared" si="112"/>
        <v>0</v>
      </c>
      <c r="BM97" s="214">
        <f t="shared" si="113"/>
        <v>0</v>
      </c>
      <c r="BN97" s="61">
        <f t="shared" si="150"/>
        <v>0</v>
      </c>
      <c r="BO97" s="58">
        <v>0</v>
      </c>
      <c r="BP97" s="49">
        <f t="shared" si="136"/>
        <v>0</v>
      </c>
      <c r="BQ97" s="61">
        <f t="shared" si="148"/>
        <v>0</v>
      </c>
      <c r="BR97" s="58">
        <f t="shared" si="137"/>
        <v>0</v>
      </c>
      <c r="BS97" s="49">
        <f t="shared" si="138"/>
        <v>0</v>
      </c>
      <c r="BT97" s="61">
        <f t="shared" si="149"/>
        <v>0</v>
      </c>
      <c r="BU97" s="58">
        <f t="shared" si="114"/>
        <v>6.8192467191609428E-3</v>
      </c>
      <c r="BV97" s="49">
        <f t="shared" si="115"/>
        <v>2.59875E-2</v>
      </c>
      <c r="BW97" s="61">
        <f t="shared" si="116"/>
        <v>5.4000000000000003E-3</v>
      </c>
      <c r="BX97" s="49">
        <f t="shared" si="139"/>
        <v>0.39419950078741417</v>
      </c>
      <c r="BY97" s="49">
        <f t="shared" si="140"/>
        <v>1.0440717452293573</v>
      </c>
      <c r="BZ97" s="49">
        <f t="shared" si="141"/>
        <v>93.323953222812932</v>
      </c>
    </row>
    <row r="98" spans="17:78" x14ac:dyDescent="0.35">
      <c r="Q98" s="49">
        <v>91</v>
      </c>
      <c r="R98" s="218">
        <f t="shared" si="94"/>
        <v>14.757166666666667</v>
      </c>
      <c r="S98" s="214">
        <f t="shared" si="95"/>
        <v>12</v>
      </c>
      <c r="T98" s="219">
        <f t="shared" si="96"/>
        <v>1.2297638888888889</v>
      </c>
      <c r="U98" s="218">
        <f t="shared" si="97"/>
        <v>2</v>
      </c>
      <c r="V98" s="214">
        <f t="shared" si="98"/>
        <v>0.4825090470446321</v>
      </c>
      <c r="W98" s="214">
        <f t="shared" si="99"/>
        <v>0.51749095295536796</v>
      </c>
      <c r="X98" s="214">
        <f t="shared" si="117"/>
        <v>0</v>
      </c>
      <c r="Y98" s="218">
        <f t="shared" si="118"/>
        <v>2.5486856597222221</v>
      </c>
      <c r="Z98" s="214">
        <f t="shared" si="100"/>
        <v>2.924297254815952</v>
      </c>
      <c r="AA98" s="214">
        <f t="shared" si="119"/>
        <v>4.0108342871301979</v>
      </c>
      <c r="AB98" s="219">
        <f t="shared" si="101"/>
        <v>1.8649745785142928</v>
      </c>
      <c r="AC98" s="218">
        <v>0</v>
      </c>
      <c r="AD98" s="214">
        <f t="shared" si="102"/>
        <v>0.10434390535513692</v>
      </c>
      <c r="AE98" s="219">
        <f t="shared" si="120"/>
        <v>0.10434390535513692</v>
      </c>
      <c r="AF98" s="58">
        <f t="shared" si="103"/>
        <v>0.29514333333333331</v>
      </c>
      <c r="AG98" s="61">
        <f t="shared" si="104"/>
        <v>0.29514333333333331</v>
      </c>
      <c r="AH98" s="58">
        <f t="shared" si="105"/>
        <v>3.0259732552989707E-2</v>
      </c>
      <c r="AI98" s="49">
        <f t="shared" si="106"/>
        <v>6.6625523099925865E-2</v>
      </c>
      <c r="AJ98" s="61">
        <f t="shared" si="121"/>
        <v>9.6885255652915572E-2</v>
      </c>
      <c r="AK98" s="218">
        <f t="shared" si="107"/>
        <v>14.56</v>
      </c>
      <c r="AL98" s="214">
        <f t="shared" si="108"/>
        <v>48</v>
      </c>
      <c r="AM98" s="219">
        <f t="shared" si="122"/>
        <v>0.30333333333333334</v>
      </c>
      <c r="AN98" s="218">
        <f t="shared" si="123"/>
        <v>2</v>
      </c>
      <c r="AO98" s="214">
        <f t="shared" si="124"/>
        <v>0.51749095295536784</v>
      </c>
      <c r="AP98" s="214">
        <f t="shared" si="125"/>
        <v>0.58616161616161622</v>
      </c>
      <c r="AQ98" s="214">
        <f t="shared" si="126"/>
        <v>0.68165437175197008</v>
      </c>
      <c r="AR98" s="214">
        <f t="shared" si="142"/>
        <v>0.92698880203760126</v>
      </c>
      <c r="AS98" s="219">
        <f t="shared" si="143"/>
        <v>0.44479225884144147</v>
      </c>
      <c r="AT98" s="218"/>
      <c r="AU98" s="214">
        <f t="shared" si="127"/>
        <v>1.1041333333333334E-3</v>
      </c>
      <c r="AV98" s="219">
        <f t="shared" si="144"/>
        <v>1.1041333333333334E-3</v>
      </c>
      <c r="AW98" s="218">
        <f t="shared" si="128"/>
        <v>0.109428</v>
      </c>
      <c r="AX98" s="214">
        <f t="shared" si="129"/>
        <v>9.0999999999999998E-2</v>
      </c>
      <c r="AY98" s="219">
        <f t="shared" si="145"/>
        <v>0.200428</v>
      </c>
      <c r="AZ98" s="218">
        <f t="shared" si="109"/>
        <v>0.19716666666666666</v>
      </c>
      <c r="BA98" s="214">
        <f t="shared" si="110"/>
        <v>6.5</v>
      </c>
      <c r="BB98" s="214">
        <f>IF(EN_OUT_2=1,AZ98/BA98,0)</f>
        <v>3.033333333333333E-2</v>
      </c>
      <c r="BC98" s="61">
        <f t="shared" si="130"/>
        <v>3.033333333333333E-2</v>
      </c>
      <c r="BD98" s="58">
        <v>0</v>
      </c>
      <c r="BE98" s="49">
        <f t="shared" si="131"/>
        <v>1.1041333333333331E-5</v>
      </c>
      <c r="BF98" s="61">
        <f t="shared" si="147"/>
        <v>1.1041333333333331E-5</v>
      </c>
      <c r="BG98" s="58">
        <f t="shared" si="132"/>
        <v>1.4700399999999999E-2</v>
      </c>
      <c r="BH98" s="49">
        <f t="shared" si="133"/>
        <v>9.0999999999999987E-3</v>
      </c>
      <c r="BI98" s="61">
        <f t="shared" si="134"/>
        <v>2.3800399999999999E-2</v>
      </c>
      <c r="BK98" s="218">
        <f t="shared" si="111"/>
        <v>0</v>
      </c>
      <c r="BL98" s="214">
        <f t="shared" si="112"/>
        <v>0</v>
      </c>
      <c r="BM98" s="214">
        <f t="shared" si="113"/>
        <v>0</v>
      </c>
      <c r="BN98" s="61">
        <f t="shared" si="150"/>
        <v>0</v>
      </c>
      <c r="BO98" s="58">
        <v>0</v>
      </c>
      <c r="BP98" s="49">
        <f t="shared" si="136"/>
        <v>0</v>
      </c>
      <c r="BQ98" s="61">
        <f t="shared" si="148"/>
        <v>0</v>
      </c>
      <c r="BR98" s="58">
        <f t="shared" si="137"/>
        <v>0</v>
      </c>
      <c r="BS98" s="49">
        <f t="shared" si="138"/>
        <v>0</v>
      </c>
      <c r="BT98" s="61">
        <f t="shared" si="149"/>
        <v>0</v>
      </c>
      <c r="BU98" s="58">
        <f t="shared" si="114"/>
        <v>6.9562603570091286E-3</v>
      </c>
      <c r="BV98" s="49">
        <f t="shared" si="115"/>
        <v>2.59875E-2</v>
      </c>
      <c r="BW98" s="61">
        <f t="shared" si="116"/>
        <v>5.4000000000000003E-3</v>
      </c>
      <c r="BX98" s="49">
        <f t="shared" si="139"/>
        <v>0.39949828002180354</v>
      </c>
      <c r="BY98" s="49">
        <f t="shared" si="140"/>
        <v>1.0552031626983949</v>
      </c>
      <c r="BZ98" s="49">
        <f t="shared" si="141"/>
        <v>93.326723482404375</v>
      </c>
    </row>
    <row r="99" spans="17:78" x14ac:dyDescent="0.35">
      <c r="Q99" s="49">
        <v>92</v>
      </c>
      <c r="R99" s="218">
        <f t="shared" si="94"/>
        <v>14.919333333333334</v>
      </c>
      <c r="S99" s="214">
        <f t="shared" si="95"/>
        <v>12</v>
      </c>
      <c r="T99" s="219">
        <f t="shared" si="96"/>
        <v>1.2432777777777779</v>
      </c>
      <c r="U99" s="218">
        <f t="shared" si="97"/>
        <v>2</v>
      </c>
      <c r="V99" s="214">
        <f t="shared" si="98"/>
        <v>0.4825090470446321</v>
      </c>
      <c r="W99" s="214">
        <f t="shared" si="99"/>
        <v>0.51749095295536796</v>
      </c>
      <c r="X99" s="214">
        <f t="shared" si="117"/>
        <v>0</v>
      </c>
      <c r="Y99" s="218">
        <f t="shared" si="118"/>
        <v>2.5766931944444442</v>
      </c>
      <c r="Z99" s="214">
        <f t="shared" si="100"/>
        <v>2.924297254815952</v>
      </c>
      <c r="AA99" s="214">
        <f t="shared" si="119"/>
        <v>4.0388418218524205</v>
      </c>
      <c r="AB99" s="219">
        <f t="shared" si="101"/>
        <v>1.8834526749704208</v>
      </c>
      <c r="AC99" s="218">
        <v>0</v>
      </c>
      <c r="AD99" s="214">
        <f t="shared" si="102"/>
        <v>0.106421819365597</v>
      </c>
      <c r="AE99" s="219">
        <f t="shared" si="120"/>
        <v>0.106421819365597</v>
      </c>
      <c r="AF99" s="58">
        <f t="shared" si="103"/>
        <v>0.29838666666666669</v>
      </c>
      <c r="AG99" s="61">
        <f t="shared" si="104"/>
        <v>0.29838666666666669</v>
      </c>
      <c r="AH99" s="58">
        <f t="shared" si="105"/>
        <v>3.086232761602313E-2</v>
      </c>
      <c r="AI99" s="49">
        <f t="shared" si="106"/>
        <v>6.7357671705419564E-2</v>
      </c>
      <c r="AJ99" s="61">
        <f t="shared" si="121"/>
        <v>9.8219999321442694E-2</v>
      </c>
      <c r="AK99" s="218">
        <f t="shared" si="107"/>
        <v>14.72</v>
      </c>
      <c r="AL99" s="214">
        <f t="shared" si="108"/>
        <v>48</v>
      </c>
      <c r="AM99" s="219">
        <f t="shared" si="122"/>
        <v>0.3066666666666667</v>
      </c>
      <c r="AN99" s="218">
        <f t="shared" si="123"/>
        <v>2</v>
      </c>
      <c r="AO99" s="214">
        <f t="shared" si="124"/>
        <v>0.51749095295536796</v>
      </c>
      <c r="AP99" s="214">
        <f t="shared" si="125"/>
        <v>0.59260295260295259</v>
      </c>
      <c r="AQ99" s="214">
        <f t="shared" si="126"/>
        <v>0.6816543717519703</v>
      </c>
      <c r="AR99" s="214">
        <f t="shared" si="142"/>
        <v>0.93343013847893774</v>
      </c>
      <c r="AS99" s="219">
        <f t="shared" si="143"/>
        <v>0.44918745391482945</v>
      </c>
      <c r="AT99" s="218"/>
      <c r="AU99" s="214">
        <f t="shared" si="127"/>
        <v>1.1285333333333335E-3</v>
      </c>
      <c r="AV99" s="219">
        <f t="shared" si="144"/>
        <v>1.1285333333333335E-3</v>
      </c>
      <c r="AW99" s="218">
        <f t="shared" si="128"/>
        <v>0.109428</v>
      </c>
      <c r="AX99" s="214">
        <f t="shared" si="129"/>
        <v>9.2000000000000012E-2</v>
      </c>
      <c r="AY99" s="219">
        <f t="shared" si="145"/>
        <v>0.201428</v>
      </c>
      <c r="AZ99" s="218">
        <f t="shared" si="109"/>
        <v>0.19933333333333333</v>
      </c>
      <c r="BA99" s="214">
        <f t="shared" si="110"/>
        <v>6.5</v>
      </c>
      <c r="BB99" s="214">
        <f t="shared" si="146"/>
        <v>3.0666666666666668E-2</v>
      </c>
      <c r="BC99" s="61">
        <f t="shared" si="130"/>
        <v>3.0666666666666668E-2</v>
      </c>
      <c r="BD99" s="58">
        <v>0</v>
      </c>
      <c r="BE99" s="49">
        <f t="shared" si="131"/>
        <v>1.1285333333333335E-5</v>
      </c>
      <c r="BF99" s="61">
        <f t="shared" si="147"/>
        <v>1.1285333333333335E-5</v>
      </c>
      <c r="BG99" s="58">
        <f t="shared" si="132"/>
        <v>1.4700399999999999E-2</v>
      </c>
      <c r="BH99" s="49">
        <f t="shared" si="133"/>
        <v>9.1999999999999998E-3</v>
      </c>
      <c r="BI99" s="61">
        <f t="shared" si="134"/>
        <v>2.3900399999999999E-2</v>
      </c>
      <c r="BK99" s="218">
        <f t="shared" si="111"/>
        <v>0</v>
      </c>
      <c r="BL99" s="214">
        <f t="shared" si="112"/>
        <v>0</v>
      </c>
      <c r="BM99" s="214">
        <f t="shared" si="113"/>
        <v>0</v>
      </c>
      <c r="BN99" s="61">
        <f t="shared" si="150"/>
        <v>0</v>
      </c>
      <c r="BO99" s="58">
        <v>0</v>
      </c>
      <c r="BP99" s="49">
        <f t="shared" si="136"/>
        <v>0</v>
      </c>
      <c r="BQ99" s="61">
        <f t="shared" si="148"/>
        <v>0</v>
      </c>
      <c r="BR99" s="58">
        <f t="shared" si="137"/>
        <v>0</v>
      </c>
      <c r="BS99" s="49">
        <f t="shared" si="138"/>
        <v>0</v>
      </c>
      <c r="BT99" s="61">
        <f t="shared" si="149"/>
        <v>0</v>
      </c>
      <c r="BU99" s="58">
        <f t="shared" si="114"/>
        <v>7.0947879577064671E-3</v>
      </c>
      <c r="BV99" s="49">
        <f t="shared" si="115"/>
        <v>2.59875E-2</v>
      </c>
      <c r="BW99" s="61">
        <f t="shared" si="116"/>
        <v>5.4000000000000003E-3</v>
      </c>
      <c r="BX99" s="49">
        <f t="shared" si="139"/>
        <v>0.40481977136559699</v>
      </c>
      <c r="BY99" s="49">
        <f t="shared" si="140"/>
        <v>1.0663656586447461</v>
      </c>
      <c r="BZ99" s="49">
        <f t="shared" si="141"/>
        <v>93.329252232386793</v>
      </c>
    </row>
    <row r="100" spans="17:78" x14ac:dyDescent="0.35">
      <c r="Q100" s="49">
        <v>93</v>
      </c>
      <c r="R100" s="218">
        <f t="shared" si="94"/>
        <v>15.0815</v>
      </c>
      <c r="S100" s="214">
        <f t="shared" si="95"/>
        <v>12</v>
      </c>
      <c r="T100" s="219">
        <f t="shared" si="96"/>
        <v>1.2567916666666668</v>
      </c>
      <c r="U100" s="218">
        <f t="shared" si="97"/>
        <v>2</v>
      </c>
      <c r="V100" s="214">
        <f t="shared" si="98"/>
        <v>0.4825090470446321</v>
      </c>
      <c r="W100" s="214">
        <f t="shared" si="99"/>
        <v>0.51749095295536796</v>
      </c>
      <c r="X100" s="214">
        <f t="shared" si="117"/>
        <v>0</v>
      </c>
      <c r="Y100" s="218">
        <f t="shared" si="118"/>
        <v>2.6047007291666664</v>
      </c>
      <c r="Z100" s="214">
        <f t="shared" si="100"/>
        <v>2.924297254815952</v>
      </c>
      <c r="AA100" s="214">
        <f t="shared" si="119"/>
        <v>4.0668493565746422</v>
      </c>
      <c r="AB100" s="219">
        <f t="shared" si="101"/>
        <v>1.9019502518800215</v>
      </c>
      <c r="AC100" s="218">
        <v>0</v>
      </c>
      <c r="AD100" s="214">
        <f t="shared" si="102"/>
        <v>0.10852244281879432</v>
      </c>
      <c r="AE100" s="219">
        <f t="shared" si="120"/>
        <v>0.10852244281879432</v>
      </c>
      <c r="AF100" s="58">
        <f t="shared" si="103"/>
        <v>0.30163000000000001</v>
      </c>
      <c r="AG100" s="61">
        <f t="shared" si="104"/>
        <v>0.30163000000000001</v>
      </c>
      <c r="AH100" s="58">
        <f t="shared" si="105"/>
        <v>3.1471508417450354E-2</v>
      </c>
      <c r="AI100" s="49">
        <f t="shared" si="106"/>
        <v>6.8089820310913249E-2</v>
      </c>
      <c r="AJ100" s="61">
        <f t="shared" si="121"/>
        <v>9.9561328728363596E-2</v>
      </c>
      <c r="AK100" s="218">
        <f t="shared" si="107"/>
        <v>14.88</v>
      </c>
      <c r="AL100" s="214">
        <f t="shared" si="108"/>
        <v>48</v>
      </c>
      <c r="AM100" s="219">
        <f t="shared" si="122"/>
        <v>0.31</v>
      </c>
      <c r="AN100" s="218">
        <f t="shared" si="123"/>
        <v>2</v>
      </c>
      <c r="AO100" s="214">
        <f t="shared" si="124"/>
        <v>0.51749095295536796</v>
      </c>
      <c r="AP100" s="214">
        <f t="shared" si="125"/>
        <v>0.59904428904428897</v>
      </c>
      <c r="AQ100" s="214">
        <f t="shared" si="126"/>
        <v>0.6816543717519703</v>
      </c>
      <c r="AR100" s="214">
        <f t="shared" si="142"/>
        <v>0.93987147492027412</v>
      </c>
      <c r="AS100" s="219">
        <f t="shared" si="143"/>
        <v>0.45358739645920992</v>
      </c>
      <c r="AT100" s="218"/>
      <c r="AU100" s="214">
        <f t="shared" si="127"/>
        <v>1.1532000000000001E-3</v>
      </c>
      <c r="AV100" s="219">
        <f t="shared" si="144"/>
        <v>1.1532000000000001E-3</v>
      </c>
      <c r="AW100" s="218">
        <f t="shared" si="128"/>
        <v>0.109428</v>
      </c>
      <c r="AX100" s="214">
        <f t="shared" si="129"/>
        <v>9.2999999999999999E-2</v>
      </c>
      <c r="AY100" s="219">
        <f t="shared" si="145"/>
        <v>0.202428</v>
      </c>
      <c r="AZ100" s="218">
        <f t="shared" si="109"/>
        <v>0.20149999999999998</v>
      </c>
      <c r="BA100" s="214">
        <f t="shared" si="110"/>
        <v>6.5</v>
      </c>
      <c r="BB100" s="214">
        <f t="shared" si="146"/>
        <v>3.0999999999999996E-2</v>
      </c>
      <c r="BC100" s="61">
        <f t="shared" si="130"/>
        <v>3.0999999999999996E-2</v>
      </c>
      <c r="BD100" s="58">
        <v>0</v>
      </c>
      <c r="BE100" s="49">
        <f t="shared" si="131"/>
        <v>1.1531999999999997E-5</v>
      </c>
      <c r="BF100" s="61">
        <f t="shared" si="147"/>
        <v>1.1531999999999997E-5</v>
      </c>
      <c r="BG100" s="58">
        <f t="shared" si="132"/>
        <v>1.4700399999999999E-2</v>
      </c>
      <c r="BH100" s="49">
        <f t="shared" si="133"/>
        <v>9.2999999999999992E-3</v>
      </c>
      <c r="BI100" s="61">
        <f t="shared" si="134"/>
        <v>2.4000399999999998E-2</v>
      </c>
      <c r="BK100" s="218">
        <f t="shared" si="111"/>
        <v>0</v>
      </c>
      <c r="BL100" s="214">
        <f t="shared" si="112"/>
        <v>0</v>
      </c>
      <c r="BM100" s="214">
        <f t="shared" si="113"/>
        <v>0</v>
      </c>
      <c r="BN100" s="61">
        <f t="shared" si="150"/>
        <v>0</v>
      </c>
      <c r="BO100" s="58">
        <v>0</v>
      </c>
      <c r="BP100" s="49">
        <f t="shared" si="136"/>
        <v>0</v>
      </c>
      <c r="BQ100" s="61">
        <f t="shared" si="148"/>
        <v>0</v>
      </c>
      <c r="BR100" s="58">
        <f t="shared" si="137"/>
        <v>0</v>
      </c>
      <c r="BS100" s="49">
        <f t="shared" si="138"/>
        <v>0</v>
      </c>
      <c r="BT100" s="61">
        <f t="shared" si="149"/>
        <v>0</v>
      </c>
      <c r="BU100" s="58">
        <f t="shared" si="114"/>
        <v>7.2348295212529548E-3</v>
      </c>
      <c r="BV100" s="49">
        <f t="shared" si="115"/>
        <v>2.59875E-2</v>
      </c>
      <c r="BW100" s="61">
        <f t="shared" si="116"/>
        <v>5.4000000000000003E-3</v>
      </c>
      <c r="BX100" s="49">
        <f t="shared" si="139"/>
        <v>0.4101639748187943</v>
      </c>
      <c r="BY100" s="49">
        <f t="shared" si="140"/>
        <v>1.0775592330684109</v>
      </c>
      <c r="BZ100" s="49">
        <f t="shared" si="141"/>
        <v>93.331547229783894</v>
      </c>
    </row>
    <row r="101" spans="17:78" x14ac:dyDescent="0.35">
      <c r="Q101" s="49">
        <v>94</v>
      </c>
      <c r="R101" s="218">
        <f t="shared" si="94"/>
        <v>15.243666666666668</v>
      </c>
      <c r="S101" s="214">
        <f t="shared" si="95"/>
        <v>12</v>
      </c>
      <c r="T101" s="219">
        <f t="shared" si="96"/>
        <v>1.2703055555555556</v>
      </c>
      <c r="U101" s="218">
        <f t="shared" si="97"/>
        <v>2</v>
      </c>
      <c r="V101" s="214">
        <f t="shared" si="98"/>
        <v>0.4825090470446321</v>
      </c>
      <c r="W101" s="214">
        <f t="shared" si="99"/>
        <v>0.51749095295536796</v>
      </c>
      <c r="X101" s="214">
        <f t="shared" si="117"/>
        <v>0</v>
      </c>
      <c r="Y101" s="218">
        <f t="shared" si="118"/>
        <v>2.632708263888889</v>
      </c>
      <c r="Z101" s="214">
        <f t="shared" si="100"/>
        <v>2.924297254815952</v>
      </c>
      <c r="AA101" s="214">
        <f t="shared" si="119"/>
        <v>4.0948568912968648</v>
      </c>
      <c r="AB101" s="219">
        <f t="shared" si="101"/>
        <v>1.9204667463469129</v>
      </c>
      <c r="AC101" s="218">
        <v>0</v>
      </c>
      <c r="AD101" s="214">
        <f t="shared" si="102"/>
        <v>0.11064577571472894</v>
      </c>
      <c r="AE101" s="219">
        <f t="shared" si="120"/>
        <v>0.11064577571472894</v>
      </c>
      <c r="AF101" s="58">
        <f t="shared" si="103"/>
        <v>0.30487333333333339</v>
      </c>
      <c r="AG101" s="61">
        <f t="shared" si="104"/>
        <v>0.30487333333333339</v>
      </c>
      <c r="AH101" s="58">
        <f t="shared" si="105"/>
        <v>3.2087274957271393E-2</v>
      </c>
      <c r="AI101" s="49">
        <f t="shared" si="106"/>
        <v>6.8821968916406934E-2</v>
      </c>
      <c r="AJ101" s="61">
        <f t="shared" si="121"/>
        <v>0.10090924387367833</v>
      </c>
      <c r="AK101" s="218">
        <f t="shared" si="107"/>
        <v>15.040000000000001</v>
      </c>
      <c r="AL101" s="214">
        <f t="shared" si="108"/>
        <v>48</v>
      </c>
      <c r="AM101" s="219">
        <f t="shared" si="122"/>
        <v>0.31333333333333335</v>
      </c>
      <c r="AN101" s="218">
        <f t="shared" si="123"/>
        <v>2</v>
      </c>
      <c r="AO101" s="214">
        <f t="shared" si="124"/>
        <v>0.51749095295536784</v>
      </c>
      <c r="AP101" s="214">
        <f t="shared" si="125"/>
        <v>0.60548562548562557</v>
      </c>
      <c r="AQ101" s="214">
        <f t="shared" si="126"/>
        <v>0.68165437175197008</v>
      </c>
      <c r="AR101" s="214">
        <f t="shared" si="142"/>
        <v>0.94631281136161061</v>
      </c>
      <c r="AS101" s="219">
        <f t="shared" si="143"/>
        <v>0.4579919496473101</v>
      </c>
      <c r="AT101" s="218"/>
      <c r="AU101" s="214">
        <f t="shared" si="127"/>
        <v>1.1781333333333336E-3</v>
      </c>
      <c r="AV101" s="219">
        <f t="shared" si="144"/>
        <v>1.1781333333333336E-3</v>
      </c>
      <c r="AW101" s="218">
        <f t="shared" si="128"/>
        <v>0.109428</v>
      </c>
      <c r="AX101" s="214">
        <f t="shared" si="129"/>
        <v>9.4E-2</v>
      </c>
      <c r="AY101" s="219">
        <f t="shared" si="145"/>
        <v>0.203428</v>
      </c>
      <c r="AZ101" s="218">
        <f t="shared" si="109"/>
        <v>0.20366666666666666</v>
      </c>
      <c r="BA101" s="214">
        <f t="shared" si="110"/>
        <v>6.5</v>
      </c>
      <c r="BB101" s="214">
        <f t="shared" si="146"/>
        <v>3.1333333333333331E-2</v>
      </c>
      <c r="BC101" s="61">
        <f t="shared" si="130"/>
        <v>3.1333333333333331E-2</v>
      </c>
      <c r="BD101" s="58">
        <v>0</v>
      </c>
      <c r="BE101" s="49">
        <f t="shared" si="131"/>
        <v>1.1781333333333332E-5</v>
      </c>
      <c r="BF101" s="61">
        <f t="shared" si="147"/>
        <v>1.1781333333333332E-5</v>
      </c>
      <c r="BG101" s="58">
        <f t="shared" si="132"/>
        <v>1.4700399999999999E-2</v>
      </c>
      <c r="BH101" s="49">
        <f t="shared" si="133"/>
        <v>9.3999999999999986E-3</v>
      </c>
      <c r="BI101" s="61">
        <f t="shared" si="134"/>
        <v>2.4100399999999998E-2</v>
      </c>
      <c r="BK101" s="218">
        <f t="shared" si="111"/>
        <v>0</v>
      </c>
      <c r="BL101" s="214">
        <f t="shared" si="112"/>
        <v>0</v>
      </c>
      <c r="BM101" s="214">
        <f t="shared" si="113"/>
        <v>0</v>
      </c>
      <c r="BN101" s="61">
        <f t="shared" si="150"/>
        <v>0</v>
      </c>
      <c r="BO101" s="58">
        <v>0</v>
      </c>
      <c r="BP101" s="49">
        <f t="shared" si="136"/>
        <v>0</v>
      </c>
      <c r="BQ101" s="61">
        <f t="shared" si="148"/>
        <v>0</v>
      </c>
      <c r="BR101" s="58">
        <f t="shared" si="137"/>
        <v>0</v>
      </c>
      <c r="BS101" s="49">
        <f t="shared" si="138"/>
        <v>0</v>
      </c>
      <c r="BT101" s="61">
        <f t="shared" si="149"/>
        <v>0</v>
      </c>
      <c r="BU101" s="58">
        <f t="shared" si="114"/>
        <v>7.3763850476485961E-3</v>
      </c>
      <c r="BV101" s="49">
        <f t="shared" si="115"/>
        <v>2.59875E-2</v>
      </c>
      <c r="BW101" s="61">
        <f t="shared" si="116"/>
        <v>5.4000000000000003E-3</v>
      </c>
      <c r="BX101" s="49">
        <f t="shared" si="139"/>
        <v>0.41553089038139568</v>
      </c>
      <c r="BY101" s="49">
        <f t="shared" si="140"/>
        <v>1.0887838859693892</v>
      </c>
      <c r="BZ101" s="49">
        <f t="shared" si="141"/>
        <v>93.333615904971097</v>
      </c>
    </row>
    <row r="102" spans="17:78" x14ac:dyDescent="0.35">
      <c r="Q102" s="49">
        <v>95</v>
      </c>
      <c r="R102" s="218">
        <f t="shared" si="94"/>
        <v>15.405833333333334</v>
      </c>
      <c r="S102" s="214">
        <f t="shared" si="95"/>
        <v>12</v>
      </c>
      <c r="T102" s="219">
        <f t="shared" si="96"/>
        <v>1.2838194444444444</v>
      </c>
      <c r="U102" s="218">
        <f t="shared" si="97"/>
        <v>2</v>
      </c>
      <c r="V102" s="214">
        <f t="shared" si="98"/>
        <v>0.4825090470446321</v>
      </c>
      <c r="W102" s="214">
        <f t="shared" si="99"/>
        <v>0.51749095295536796</v>
      </c>
      <c r="X102" s="214">
        <f t="shared" si="117"/>
        <v>0</v>
      </c>
      <c r="Y102" s="218">
        <f t="shared" si="118"/>
        <v>2.6607157986111112</v>
      </c>
      <c r="Z102" s="214">
        <f t="shared" si="100"/>
        <v>2.924297254815952</v>
      </c>
      <c r="AA102" s="214">
        <f t="shared" si="119"/>
        <v>4.1228644260190874</v>
      </c>
      <c r="AB102" s="219">
        <f t="shared" si="101"/>
        <v>1.9390016164115735</v>
      </c>
      <c r="AC102" s="218">
        <v>0</v>
      </c>
      <c r="AD102" s="214">
        <f t="shared" si="102"/>
        <v>0.11279181805340084</v>
      </c>
      <c r="AE102" s="219">
        <f t="shared" si="120"/>
        <v>0.11279181805340084</v>
      </c>
      <c r="AF102" s="58">
        <f t="shared" si="103"/>
        <v>0.30811666666666671</v>
      </c>
      <c r="AG102" s="61">
        <f t="shared" si="104"/>
        <v>0.30811666666666671</v>
      </c>
      <c r="AH102" s="58">
        <f t="shared" si="105"/>
        <v>3.2709627235486247E-2</v>
      </c>
      <c r="AI102" s="49">
        <f t="shared" si="106"/>
        <v>6.9554117521900632E-2</v>
      </c>
      <c r="AJ102" s="61">
        <f t="shared" si="121"/>
        <v>0.10226374475738688</v>
      </c>
      <c r="AK102" s="218">
        <f t="shared" si="107"/>
        <v>15.200000000000001</v>
      </c>
      <c r="AL102" s="214">
        <f t="shared" si="108"/>
        <v>48</v>
      </c>
      <c r="AM102" s="219">
        <f t="shared" si="122"/>
        <v>0.31666666666666671</v>
      </c>
      <c r="AN102" s="218">
        <f t="shared" si="123"/>
        <v>2</v>
      </c>
      <c r="AO102" s="214">
        <f t="shared" si="124"/>
        <v>0.51749095295536784</v>
      </c>
      <c r="AP102" s="214">
        <f t="shared" si="125"/>
        <v>0.61192696192696205</v>
      </c>
      <c r="AQ102" s="214">
        <f t="shared" si="126"/>
        <v>0.68165437175197008</v>
      </c>
      <c r="AR102" s="214">
        <f t="shared" si="142"/>
        <v>0.95275414780294709</v>
      </c>
      <c r="AS102" s="219">
        <f t="shared" si="143"/>
        <v>0.46240098172450517</v>
      </c>
      <c r="AT102" s="218"/>
      <c r="AU102" s="214">
        <f t="shared" si="127"/>
        <v>1.2033333333333336E-3</v>
      </c>
      <c r="AV102" s="219">
        <f t="shared" si="144"/>
        <v>1.2033333333333336E-3</v>
      </c>
      <c r="AW102" s="218">
        <f t="shared" si="128"/>
        <v>0.109428</v>
      </c>
      <c r="AX102" s="214">
        <f t="shared" si="129"/>
        <v>9.5000000000000015E-2</v>
      </c>
      <c r="AY102" s="219">
        <f t="shared" si="145"/>
        <v>0.204428</v>
      </c>
      <c r="AZ102" s="218">
        <f t="shared" si="109"/>
        <v>0.20583333333333331</v>
      </c>
      <c r="BA102" s="214">
        <f t="shared" si="110"/>
        <v>6.5</v>
      </c>
      <c r="BB102" s="214">
        <f t="shared" si="146"/>
        <v>3.1666666666666662E-2</v>
      </c>
      <c r="BC102" s="61">
        <f t="shared" si="130"/>
        <v>3.1666666666666662E-2</v>
      </c>
      <c r="BD102" s="58">
        <v>0</v>
      </c>
      <c r="BE102" s="49">
        <f t="shared" si="131"/>
        <v>1.203333333333333E-5</v>
      </c>
      <c r="BF102" s="61">
        <f t="shared" si="147"/>
        <v>1.203333333333333E-5</v>
      </c>
      <c r="BG102" s="58">
        <f t="shared" si="132"/>
        <v>1.4700399999999999E-2</v>
      </c>
      <c r="BH102" s="49">
        <f t="shared" si="133"/>
        <v>9.499999999999998E-3</v>
      </c>
      <c r="BI102" s="61">
        <f t="shared" si="134"/>
        <v>2.4200399999999997E-2</v>
      </c>
      <c r="BK102" s="218">
        <f t="shared" si="111"/>
        <v>0</v>
      </c>
      <c r="BL102" s="214">
        <f t="shared" si="112"/>
        <v>0</v>
      </c>
      <c r="BM102" s="214">
        <f t="shared" si="113"/>
        <v>0</v>
      </c>
      <c r="BN102" s="61">
        <f t="shared" si="150"/>
        <v>0</v>
      </c>
      <c r="BO102" s="58">
        <v>0</v>
      </c>
      <c r="BP102" s="49">
        <f t="shared" si="136"/>
        <v>0</v>
      </c>
      <c r="BQ102" s="61">
        <f t="shared" si="148"/>
        <v>0</v>
      </c>
      <c r="BR102" s="58">
        <f t="shared" si="137"/>
        <v>0</v>
      </c>
      <c r="BS102" s="49">
        <f t="shared" si="138"/>
        <v>0</v>
      </c>
      <c r="BT102" s="61">
        <f t="shared" si="149"/>
        <v>0</v>
      </c>
      <c r="BU102" s="58">
        <f t="shared" si="114"/>
        <v>7.5194545368933901E-3</v>
      </c>
      <c r="BV102" s="49">
        <f t="shared" si="115"/>
        <v>2.59875E-2</v>
      </c>
      <c r="BW102" s="61">
        <f t="shared" si="116"/>
        <v>5.4000000000000003E-3</v>
      </c>
      <c r="BX102" s="49">
        <f t="shared" si="139"/>
        <v>0.42092051805340086</v>
      </c>
      <c r="BY102" s="49">
        <f t="shared" si="140"/>
        <v>1.1000396173476812</v>
      </c>
      <c r="BZ102" s="49">
        <f t="shared" si="141"/>
        <v>93.335465378689364</v>
      </c>
    </row>
    <row r="103" spans="17:78" x14ac:dyDescent="0.35">
      <c r="Q103" s="49">
        <v>96</v>
      </c>
      <c r="R103" s="218">
        <f t="shared" ref="R103:R134" si="151">AK103+AZ103+BK103</f>
        <v>15.568</v>
      </c>
      <c r="S103" s="214">
        <f t="shared" si="95"/>
        <v>12</v>
      </c>
      <c r="T103" s="219">
        <f t="shared" ref="T103:T134" si="152">(R103)/(S103*EFF_est)</f>
        <v>1.2973333333333332</v>
      </c>
      <c r="U103" s="218">
        <f t="shared" ref="U103:U134" si="153">IF(R103&lt;((((Np/NS1_)*(AL103)/((S103+((Np/NS1_)*(AL103)))))^2)*(S103^2))/(2*Lm*Fsw),1,2)</f>
        <v>2</v>
      </c>
      <c r="V103" s="214">
        <f t="shared" ref="V103:V134" si="154">CHOOSE(U103,SQRT((2*Lm*R103*Fsw)/((S103^2)*EFF_est)),(((Np/NS1_)*(AL103))/(S103+((Np/NS1_)*(AL103)))))</f>
        <v>0.4825090470446321</v>
      </c>
      <c r="W103" s="214">
        <f t="shared" ref="W103:W134" si="155">CHOOSE(U103,(NS1_*S103*V103)/(Np*AL103),1-V103)</f>
        <v>0.51749095295536796</v>
      </c>
      <c r="X103" s="214">
        <f t="shared" si="117"/>
        <v>0</v>
      </c>
      <c r="Y103" s="218">
        <f t="shared" si="118"/>
        <v>2.6887233333333329</v>
      </c>
      <c r="Z103" s="214">
        <f t="shared" ref="Z103:Z134" si="156">(S103*V103)/(Lm*Fsw)</f>
        <v>2.924297254815952</v>
      </c>
      <c r="AA103" s="214">
        <f t="shared" si="119"/>
        <v>4.1508719607413092</v>
      </c>
      <c r="AB103" s="219">
        <f t="shared" ref="AB103:AB134" si="157">CHOOSE(U103,AA103*SQRT(V103/3),SQRT(V103*((AA103^2)+((Z103^2)/(3))-(AA103*Z103))))</f>
        <v>1.957554340112597</v>
      </c>
      <c r="AC103" s="218">
        <v>0</v>
      </c>
      <c r="AD103" s="214">
        <f t="shared" ref="AD103:AD134" si="158">(AB103^2)*Rdcr</f>
        <v>0.11496056983480994</v>
      </c>
      <c r="AE103" s="219">
        <f t="shared" si="120"/>
        <v>0.11496056983480994</v>
      </c>
      <c r="AF103" s="58">
        <f t="shared" ref="AF103:AF134" si="159">R103*0.02</f>
        <v>0.31136000000000003</v>
      </c>
      <c r="AG103" s="61">
        <f t="shared" ref="AG103:AG134" si="160">R103*0.02</f>
        <v>0.31136000000000003</v>
      </c>
      <c r="AH103" s="58">
        <f t="shared" ref="AH103:AH134" si="161">(AB103^2)*RDS_on</f>
        <v>3.333856525209488E-2</v>
      </c>
      <c r="AI103" s="49">
        <f t="shared" ref="AI103:AI134" si="162">((Y103*(S103+((Np/NS1_)*VOUT1)))/2)*Fsw*(tr_sw+tf_sw)</f>
        <v>7.0286266127394317E-2</v>
      </c>
      <c r="AJ103" s="61">
        <f t="shared" si="121"/>
        <v>0.10362483137948919</v>
      </c>
      <c r="AK103" s="218">
        <f t="shared" ref="AK103:AK134" si="163">Q103*$B$11</f>
        <v>15.36</v>
      </c>
      <c r="AL103" s="214">
        <f t="shared" si="108"/>
        <v>48</v>
      </c>
      <c r="AM103" s="219">
        <f t="shared" si="122"/>
        <v>0.32</v>
      </c>
      <c r="AN103" s="218">
        <f t="shared" si="123"/>
        <v>2</v>
      </c>
      <c r="AO103" s="214">
        <f t="shared" si="124"/>
        <v>0.51749095295536807</v>
      </c>
      <c r="AP103" s="214">
        <f t="shared" si="125"/>
        <v>0.61836829836829821</v>
      </c>
      <c r="AQ103" s="214">
        <f t="shared" si="126"/>
        <v>0.68165437175197041</v>
      </c>
      <c r="AR103" s="214">
        <f t="shared" si="142"/>
        <v>0.95919548424428336</v>
      </c>
      <c r="AS103" s="219">
        <f t="shared" si="143"/>
        <v>0.46681436578234226</v>
      </c>
      <c r="AT103" s="218"/>
      <c r="AU103" s="214">
        <f t="shared" si="127"/>
        <v>1.2288000000000002E-3</v>
      </c>
      <c r="AV103" s="219">
        <f t="shared" si="144"/>
        <v>1.2288000000000002E-3</v>
      </c>
      <c r="AW103" s="218">
        <f t="shared" si="128"/>
        <v>0.109428</v>
      </c>
      <c r="AX103" s="214">
        <f t="shared" si="129"/>
        <v>9.6000000000000002E-2</v>
      </c>
      <c r="AY103" s="219">
        <f t="shared" si="145"/>
        <v>0.205428</v>
      </c>
      <c r="AZ103" s="218">
        <f t="shared" ref="AZ103:AZ134" si="164">IF(EN_OUT_2=1,Q103*$B$15,0)</f>
        <v>0.20799999999999999</v>
      </c>
      <c r="BA103" s="214">
        <f t="shared" ref="BA103:BA134" si="165">IF(EN_OUT_2=1,VOUT2,0)</f>
        <v>6.5</v>
      </c>
      <c r="BB103" s="214">
        <f t="shared" si="146"/>
        <v>3.2000000000000001E-2</v>
      </c>
      <c r="BC103" s="61">
        <f t="shared" si="130"/>
        <v>3.2000000000000001E-2</v>
      </c>
      <c r="BD103" s="58">
        <v>0</v>
      </c>
      <c r="BE103" s="49">
        <f t="shared" si="131"/>
        <v>1.2288E-5</v>
      </c>
      <c r="BF103" s="61">
        <f t="shared" si="147"/>
        <v>1.2288E-5</v>
      </c>
      <c r="BG103" s="58">
        <f t="shared" si="132"/>
        <v>1.4700399999999999E-2</v>
      </c>
      <c r="BH103" s="49">
        <f t="shared" si="133"/>
        <v>9.5999999999999992E-3</v>
      </c>
      <c r="BI103" s="61">
        <f t="shared" si="134"/>
        <v>2.43004E-2</v>
      </c>
      <c r="BK103" s="218">
        <f t="shared" ref="BK103:BK134" si="166">IF(EN_OUT_3=1,Q103*$B$19,0)</f>
        <v>0</v>
      </c>
      <c r="BL103" s="214">
        <f t="shared" si="112"/>
        <v>0</v>
      </c>
      <c r="BM103" s="214">
        <f t="shared" ref="BM103:BM134" si="167">IF(EN_OUT_3=1,BK103/BL103,0)</f>
        <v>0</v>
      </c>
      <c r="BN103" s="61">
        <f t="shared" si="150"/>
        <v>0</v>
      </c>
      <c r="BO103" s="58">
        <v>0</v>
      </c>
      <c r="BP103" s="49">
        <f t="shared" si="136"/>
        <v>0</v>
      </c>
      <c r="BQ103" s="61">
        <f t="shared" si="148"/>
        <v>0</v>
      </c>
      <c r="BR103" s="58">
        <f t="shared" si="137"/>
        <v>0</v>
      </c>
      <c r="BS103" s="49">
        <f t="shared" si="138"/>
        <v>0</v>
      </c>
      <c r="BT103" s="61">
        <f t="shared" si="149"/>
        <v>0</v>
      </c>
      <c r="BU103" s="58">
        <f t="shared" ref="BU103:BU134" si="168">(AB103^2)*R_cs</f>
        <v>7.6640379889873298E-3</v>
      </c>
      <c r="BV103" s="49">
        <f t="shared" si="115"/>
        <v>2.59875E-2</v>
      </c>
      <c r="BW103" s="61">
        <f t="shared" ref="BW103:BW134" si="169">IQ*S103</f>
        <v>5.4000000000000003E-3</v>
      </c>
      <c r="BX103" s="49">
        <f t="shared" si="139"/>
        <v>0.42633285783480995</v>
      </c>
      <c r="BY103" s="49">
        <f t="shared" si="140"/>
        <v>1.1113264272032866</v>
      </c>
      <c r="BZ103" s="49">
        <f t="shared" si="141"/>
        <v>93.337102478006798</v>
      </c>
    </row>
    <row r="104" spans="17:78" x14ac:dyDescent="0.35">
      <c r="Q104" s="49">
        <v>97</v>
      </c>
      <c r="R104" s="218">
        <f t="shared" si="151"/>
        <v>15.730166666666666</v>
      </c>
      <c r="S104" s="214">
        <f t="shared" si="95"/>
        <v>12</v>
      </c>
      <c r="T104" s="219">
        <f t="shared" si="152"/>
        <v>1.3108472222222221</v>
      </c>
      <c r="U104" s="218">
        <f t="shared" si="153"/>
        <v>2</v>
      </c>
      <c r="V104" s="214">
        <f t="shared" si="154"/>
        <v>0.4825090470446321</v>
      </c>
      <c r="W104" s="214">
        <f t="shared" si="155"/>
        <v>0.51749095295536796</v>
      </c>
      <c r="X104" s="214">
        <f t="shared" si="117"/>
        <v>0</v>
      </c>
      <c r="Y104" s="218">
        <f t="shared" ref="Y104:Y135" si="170">R104/(S104*EFF_est*V104)</f>
        <v>2.7167308680555551</v>
      </c>
      <c r="Z104" s="214">
        <f t="shared" si="156"/>
        <v>2.924297254815952</v>
      </c>
      <c r="AA104" s="214">
        <f t="shared" si="119"/>
        <v>4.1788794954635309</v>
      </c>
      <c r="AB104" s="219">
        <f t="shared" si="157"/>
        <v>1.976124414596715</v>
      </c>
      <c r="AC104" s="218">
        <v>0</v>
      </c>
      <c r="AD104" s="214">
        <f t="shared" si="158"/>
        <v>0.11715203105895627</v>
      </c>
      <c r="AE104" s="219">
        <f t="shared" si="120"/>
        <v>0.11715203105895627</v>
      </c>
      <c r="AF104" s="58">
        <f t="shared" si="159"/>
        <v>0.31460333333333329</v>
      </c>
      <c r="AG104" s="61">
        <f t="shared" si="160"/>
        <v>0.31460333333333329</v>
      </c>
      <c r="AH104" s="58">
        <f t="shared" si="161"/>
        <v>3.3974089007097322E-2</v>
      </c>
      <c r="AI104" s="49">
        <f t="shared" si="162"/>
        <v>7.1018414732888002E-2</v>
      </c>
      <c r="AJ104" s="61">
        <f t="shared" si="121"/>
        <v>0.10499250373998532</v>
      </c>
      <c r="AK104" s="218">
        <f t="shared" si="163"/>
        <v>15.52</v>
      </c>
      <c r="AL104" s="214">
        <f t="shared" si="108"/>
        <v>48</v>
      </c>
      <c r="AM104" s="219">
        <f t="shared" ref="AM104:AM135" si="171">AK104/AL104</f>
        <v>0.32333333333333331</v>
      </c>
      <c r="AN104" s="218">
        <f t="shared" ref="AN104:AN135" si="172">IF(((AL104*AO104)/(Fsw*$AO$2))/2&gt;AP104,1,2)</f>
        <v>2</v>
      </c>
      <c r="AO104" s="214">
        <f t="shared" ref="AO104:AO135" si="173">AM104/AP104</f>
        <v>0.51749095295536784</v>
      </c>
      <c r="AP104" s="214">
        <f t="shared" ref="AP104:AP135" si="174">Np*$Y104*AK104/(R104*NS1_)</f>
        <v>0.62480963480963481</v>
      </c>
      <c r="AQ104" s="214">
        <f t="shared" ref="AQ104:AQ135" si="175">(AL104*AO104)/(Fsw*$AO$2)</f>
        <v>0.68165437175197008</v>
      </c>
      <c r="AR104" s="214">
        <f t="shared" si="142"/>
        <v>0.96563682068561985</v>
      </c>
      <c r="AS104" s="219">
        <f t="shared" si="143"/>
        <v>0.47123197954372409</v>
      </c>
      <c r="AT104" s="218"/>
      <c r="AU104" s="214">
        <f t="shared" ref="AU104:AU135" si="176">(AM104^2)*Rdcr1</f>
        <v>1.2545333333333331E-3</v>
      </c>
      <c r="AV104" s="219">
        <f t="shared" si="144"/>
        <v>1.2545333333333331E-3</v>
      </c>
      <c r="AW104" s="218">
        <f t="shared" ref="AW104:AW135" si="177">(VOUT1+((NS1_/Np)*S104))*QRR1_*Fsw</f>
        <v>0.109428</v>
      </c>
      <c r="AX104" s="214">
        <f t="shared" ref="AX104:AX135" si="178">AM104*VD1_</f>
        <v>9.6999999999999989E-2</v>
      </c>
      <c r="AY104" s="219">
        <f t="shared" si="145"/>
        <v>0.206428</v>
      </c>
      <c r="AZ104" s="218">
        <f t="shared" si="164"/>
        <v>0.21016666666666667</v>
      </c>
      <c r="BA104" s="214">
        <f t="shared" si="165"/>
        <v>6.5</v>
      </c>
      <c r="BB104" s="214">
        <f t="shared" si="146"/>
        <v>3.2333333333333332E-2</v>
      </c>
      <c r="BC104" s="61">
        <f t="shared" ref="BC104:BC135" si="179">IF(EN_OUT_2=1,AZ104/BA104,0)</f>
        <v>3.2333333333333332E-2</v>
      </c>
      <c r="BD104" s="58">
        <v>0</v>
      </c>
      <c r="BE104" s="49">
        <f t="shared" ref="BE104:BE135" si="180">(BB104^2)*Rdcr2</f>
        <v>1.2545333333333332E-5</v>
      </c>
      <c r="BF104" s="61">
        <f t="shared" si="147"/>
        <v>1.2545333333333332E-5</v>
      </c>
      <c r="BG104" s="58">
        <f t="shared" ref="BG104:BG135" si="181">(VOUT2+((NS2_/Np)*S104))*QRR2_*Fsw</f>
        <v>1.4700399999999999E-2</v>
      </c>
      <c r="BH104" s="49">
        <f t="shared" ref="BH104:BH135" si="182">BB104*VD2_</f>
        <v>9.6999999999999986E-3</v>
      </c>
      <c r="BI104" s="61">
        <f t="shared" ref="BI104:BI135" si="183">BH104+BG104</f>
        <v>2.4400399999999996E-2</v>
      </c>
      <c r="BK104" s="218">
        <f t="shared" si="166"/>
        <v>0</v>
      </c>
      <c r="BL104" s="214">
        <f t="shared" si="112"/>
        <v>0</v>
      </c>
      <c r="BM104" s="214">
        <f t="shared" si="167"/>
        <v>0</v>
      </c>
      <c r="BN104" s="61">
        <f t="shared" si="150"/>
        <v>0</v>
      </c>
      <c r="BO104" s="58">
        <v>0</v>
      </c>
      <c r="BP104" s="49">
        <f t="shared" ref="BP104:BP135" si="184">(BM104^2)*Rdcr3</f>
        <v>0</v>
      </c>
      <c r="BQ104" s="61">
        <f t="shared" si="148"/>
        <v>0</v>
      </c>
      <c r="BR104" s="58">
        <f t="shared" ref="BR104:BR135" si="185">(VOUT3+((NS3_/Np)*S104))*QRR3_*Fsw</f>
        <v>0</v>
      </c>
      <c r="BS104" s="49">
        <f t="shared" ref="BS104:BS135" si="186">BM104*VD3_</f>
        <v>0</v>
      </c>
      <c r="BT104" s="61">
        <f t="shared" si="149"/>
        <v>0</v>
      </c>
      <c r="BU104" s="58">
        <f t="shared" si="168"/>
        <v>7.8101354039304188E-3</v>
      </c>
      <c r="BV104" s="49">
        <f t="shared" si="115"/>
        <v>2.59875E-2</v>
      </c>
      <c r="BW104" s="61">
        <f t="shared" si="169"/>
        <v>5.4000000000000003E-3</v>
      </c>
      <c r="BX104" s="49">
        <f t="shared" si="139"/>
        <v>0.4317679097256229</v>
      </c>
      <c r="BY104" s="49">
        <f t="shared" si="140"/>
        <v>1.1226443155362051</v>
      </c>
      <c r="BZ104" s="49">
        <f t="shared" ref="BZ104:BZ135" si="187">(R104/(R104+BY104))*100</f>
        <v>93.338533751302649</v>
      </c>
    </row>
    <row r="105" spans="17:78" x14ac:dyDescent="0.35">
      <c r="Q105" s="49">
        <v>98</v>
      </c>
      <c r="R105" s="218">
        <f t="shared" si="151"/>
        <v>15.892333333333333</v>
      </c>
      <c r="S105" s="214">
        <f t="shared" si="95"/>
        <v>12</v>
      </c>
      <c r="T105" s="219">
        <f t="shared" si="152"/>
        <v>1.3243611111111111</v>
      </c>
      <c r="U105" s="218">
        <f t="shared" si="153"/>
        <v>2</v>
      </c>
      <c r="V105" s="214">
        <f t="shared" si="154"/>
        <v>0.4825090470446321</v>
      </c>
      <c r="W105" s="214">
        <f t="shared" si="155"/>
        <v>0.51749095295536796</v>
      </c>
      <c r="X105" s="214">
        <f t="shared" si="117"/>
        <v>0</v>
      </c>
      <c r="Y105" s="218">
        <f t="shared" si="170"/>
        <v>2.7447384027777777</v>
      </c>
      <c r="Z105" s="214">
        <f t="shared" si="156"/>
        <v>2.924297254815952</v>
      </c>
      <c r="AA105" s="214">
        <f t="shared" si="119"/>
        <v>4.2068870301857535</v>
      </c>
      <c r="AB105" s="219">
        <f t="shared" si="157"/>
        <v>1.9947113552745759</v>
      </c>
      <c r="AC105" s="218">
        <v>0</v>
      </c>
      <c r="AD105" s="214">
        <f t="shared" si="158"/>
        <v>0.11936620172584006</v>
      </c>
      <c r="AE105" s="219">
        <f t="shared" si="120"/>
        <v>0.11936620172584006</v>
      </c>
      <c r="AF105" s="58">
        <f t="shared" si="159"/>
        <v>0.31784666666666667</v>
      </c>
      <c r="AG105" s="61">
        <f t="shared" si="160"/>
        <v>0.31784666666666667</v>
      </c>
      <c r="AH105" s="58">
        <f t="shared" si="161"/>
        <v>3.4616198500493613E-2</v>
      </c>
      <c r="AI105" s="49">
        <f t="shared" si="162"/>
        <v>7.1750563338381701E-2</v>
      </c>
      <c r="AJ105" s="61">
        <f t="shared" si="121"/>
        <v>0.10636676183887531</v>
      </c>
      <c r="AK105" s="218">
        <f t="shared" si="163"/>
        <v>15.68</v>
      </c>
      <c r="AL105" s="214">
        <f t="shared" si="108"/>
        <v>48</v>
      </c>
      <c r="AM105" s="219">
        <f t="shared" si="171"/>
        <v>0.32666666666666666</v>
      </c>
      <c r="AN105" s="218">
        <f t="shared" si="172"/>
        <v>2</v>
      </c>
      <c r="AO105" s="214">
        <f t="shared" si="173"/>
        <v>0.51749095295536796</v>
      </c>
      <c r="AP105" s="214">
        <f t="shared" si="174"/>
        <v>0.63125097125097118</v>
      </c>
      <c r="AQ105" s="214">
        <f t="shared" si="175"/>
        <v>0.6816543717519703</v>
      </c>
      <c r="AR105" s="214">
        <f t="shared" si="142"/>
        <v>0.97207815712695633</v>
      </c>
      <c r="AS105" s="219">
        <f t="shared" si="143"/>
        <v>0.47565370515908478</v>
      </c>
      <c r="AT105" s="218"/>
      <c r="AU105" s="214">
        <f t="shared" si="176"/>
        <v>1.2805333333333333E-3</v>
      </c>
      <c r="AV105" s="219">
        <f t="shared" si="144"/>
        <v>1.2805333333333333E-3</v>
      </c>
      <c r="AW105" s="218">
        <f t="shared" si="177"/>
        <v>0.109428</v>
      </c>
      <c r="AX105" s="214">
        <f t="shared" si="178"/>
        <v>9.799999999999999E-2</v>
      </c>
      <c r="AY105" s="219">
        <f t="shared" si="145"/>
        <v>0.207428</v>
      </c>
      <c r="AZ105" s="218">
        <f t="shared" si="164"/>
        <v>0.21233333333333332</v>
      </c>
      <c r="BA105" s="214">
        <f t="shared" si="165"/>
        <v>6.5</v>
      </c>
      <c r="BB105" s="214">
        <f t="shared" si="146"/>
        <v>3.2666666666666663E-2</v>
      </c>
      <c r="BC105" s="61">
        <f t="shared" si="179"/>
        <v>3.2666666666666663E-2</v>
      </c>
      <c r="BD105" s="58">
        <v>0</v>
      </c>
      <c r="BE105" s="49">
        <f t="shared" si="180"/>
        <v>1.2805333333333331E-5</v>
      </c>
      <c r="BF105" s="61">
        <f t="shared" si="147"/>
        <v>1.2805333333333331E-5</v>
      </c>
      <c r="BG105" s="58">
        <f t="shared" si="181"/>
        <v>1.4700399999999999E-2</v>
      </c>
      <c r="BH105" s="49">
        <f t="shared" si="182"/>
        <v>9.7999999999999979E-3</v>
      </c>
      <c r="BI105" s="61">
        <f t="shared" si="183"/>
        <v>2.4500399999999999E-2</v>
      </c>
      <c r="BK105" s="218">
        <f t="shared" si="166"/>
        <v>0</v>
      </c>
      <c r="BL105" s="214">
        <f t="shared" si="112"/>
        <v>0</v>
      </c>
      <c r="BM105" s="214">
        <f t="shared" si="167"/>
        <v>0</v>
      </c>
      <c r="BN105" s="61">
        <f t="shared" si="150"/>
        <v>0</v>
      </c>
      <c r="BO105" s="58">
        <v>0</v>
      </c>
      <c r="BP105" s="49">
        <f t="shared" si="184"/>
        <v>0</v>
      </c>
      <c r="BQ105" s="61">
        <f t="shared" si="148"/>
        <v>0</v>
      </c>
      <c r="BR105" s="58">
        <f t="shared" si="185"/>
        <v>0</v>
      </c>
      <c r="BS105" s="49">
        <f t="shared" si="186"/>
        <v>0</v>
      </c>
      <c r="BT105" s="61">
        <f t="shared" si="149"/>
        <v>0</v>
      </c>
      <c r="BU105" s="58">
        <f t="shared" si="168"/>
        <v>7.9577467817226709E-3</v>
      </c>
      <c r="BV105" s="49">
        <f t="shared" si="115"/>
        <v>2.59875E-2</v>
      </c>
      <c r="BW105" s="61">
        <f t="shared" si="169"/>
        <v>5.4000000000000003E-3</v>
      </c>
      <c r="BX105" s="49">
        <f t="shared" si="139"/>
        <v>0.43722567372584009</v>
      </c>
      <c r="BY105" s="49">
        <f t="shared" si="140"/>
        <v>1.133993282346438</v>
      </c>
      <c r="BZ105" s="49">
        <f t="shared" si="187"/>
        <v>93.339765482343509</v>
      </c>
    </row>
    <row r="106" spans="17:78" x14ac:dyDescent="0.35">
      <c r="Q106" s="49">
        <v>99</v>
      </c>
      <c r="R106" s="218">
        <f t="shared" si="151"/>
        <v>16.054500000000001</v>
      </c>
      <c r="S106" s="214">
        <f t="shared" si="95"/>
        <v>12</v>
      </c>
      <c r="T106" s="219">
        <f t="shared" si="152"/>
        <v>1.3378750000000001</v>
      </c>
      <c r="U106" s="218">
        <f t="shared" si="153"/>
        <v>2</v>
      </c>
      <c r="V106" s="214">
        <f t="shared" si="154"/>
        <v>0.4825090470446321</v>
      </c>
      <c r="W106" s="214">
        <f t="shared" si="155"/>
        <v>0.51749095295536796</v>
      </c>
      <c r="X106" s="214">
        <f t="shared" si="117"/>
        <v>0</v>
      </c>
      <c r="Y106" s="218">
        <f t="shared" si="170"/>
        <v>2.7727459374999999</v>
      </c>
      <c r="Z106" s="214">
        <f t="shared" si="156"/>
        <v>2.924297254815952</v>
      </c>
      <c r="AA106" s="214">
        <f t="shared" si="119"/>
        <v>4.2348945649079761</v>
      </c>
      <c r="AB106" s="219">
        <f t="shared" si="157"/>
        <v>2.0133146950196417</v>
      </c>
      <c r="AC106" s="218">
        <v>0</v>
      </c>
      <c r="AD106" s="214">
        <f t="shared" si="158"/>
        <v>0.12160308183546097</v>
      </c>
      <c r="AE106" s="219">
        <f t="shared" si="120"/>
        <v>0.12160308183546097</v>
      </c>
      <c r="AF106" s="58">
        <f t="shared" si="159"/>
        <v>0.32109000000000004</v>
      </c>
      <c r="AG106" s="61">
        <f t="shared" si="160"/>
        <v>0.32109000000000004</v>
      </c>
      <c r="AH106" s="58">
        <f t="shared" si="161"/>
        <v>3.5264893732283677E-2</v>
      </c>
      <c r="AI106" s="49">
        <f t="shared" si="162"/>
        <v>7.2482711943875386E-2</v>
      </c>
      <c r="AJ106" s="61">
        <f t="shared" si="121"/>
        <v>0.10774760567615907</v>
      </c>
      <c r="AK106" s="218">
        <f t="shared" si="163"/>
        <v>15.84</v>
      </c>
      <c r="AL106" s="214">
        <f t="shared" si="108"/>
        <v>48</v>
      </c>
      <c r="AM106" s="219">
        <f t="shared" si="171"/>
        <v>0.33</v>
      </c>
      <c r="AN106" s="218">
        <f t="shared" si="172"/>
        <v>2</v>
      </c>
      <c r="AO106" s="214">
        <f t="shared" si="173"/>
        <v>0.51749095295536796</v>
      </c>
      <c r="AP106" s="214">
        <f t="shared" si="174"/>
        <v>0.63769230769230767</v>
      </c>
      <c r="AQ106" s="214">
        <f t="shared" si="175"/>
        <v>0.6816543717519703</v>
      </c>
      <c r="AR106" s="214">
        <f t="shared" si="142"/>
        <v>0.97851949356829282</v>
      </c>
      <c r="AS106" s="219">
        <f t="shared" si="143"/>
        <v>0.48007942901292538</v>
      </c>
      <c r="AT106" s="218"/>
      <c r="AU106" s="214">
        <f t="shared" si="176"/>
        <v>1.3068000000000001E-3</v>
      </c>
      <c r="AV106" s="219">
        <f t="shared" si="144"/>
        <v>1.3068000000000001E-3</v>
      </c>
      <c r="AW106" s="218">
        <f t="shared" si="177"/>
        <v>0.109428</v>
      </c>
      <c r="AX106" s="214">
        <f t="shared" si="178"/>
        <v>9.9000000000000005E-2</v>
      </c>
      <c r="AY106" s="219">
        <f t="shared" si="145"/>
        <v>0.208428</v>
      </c>
      <c r="AZ106" s="218">
        <f t="shared" si="164"/>
        <v>0.2145</v>
      </c>
      <c r="BA106" s="214">
        <f t="shared" si="165"/>
        <v>6.5</v>
      </c>
      <c r="BB106" s="214">
        <f t="shared" si="146"/>
        <v>3.3000000000000002E-2</v>
      </c>
      <c r="BC106" s="61">
        <f t="shared" si="179"/>
        <v>3.3000000000000002E-2</v>
      </c>
      <c r="BD106" s="58">
        <v>0</v>
      </c>
      <c r="BE106" s="49">
        <f t="shared" si="180"/>
        <v>1.3068000000000001E-5</v>
      </c>
      <c r="BF106" s="61">
        <f t="shared" si="147"/>
        <v>1.3068000000000001E-5</v>
      </c>
      <c r="BG106" s="58">
        <f t="shared" si="181"/>
        <v>1.4700399999999999E-2</v>
      </c>
      <c r="BH106" s="49">
        <f t="shared" si="182"/>
        <v>9.9000000000000008E-3</v>
      </c>
      <c r="BI106" s="61">
        <f t="shared" si="183"/>
        <v>2.4600400000000001E-2</v>
      </c>
      <c r="BK106" s="218">
        <f t="shared" si="166"/>
        <v>0</v>
      </c>
      <c r="BL106" s="214">
        <f t="shared" si="112"/>
        <v>0</v>
      </c>
      <c r="BM106" s="214">
        <f t="shared" si="167"/>
        <v>0</v>
      </c>
      <c r="BN106" s="61">
        <f t="shared" si="150"/>
        <v>0</v>
      </c>
      <c r="BO106" s="58">
        <v>0</v>
      </c>
      <c r="BP106" s="49">
        <f t="shared" si="184"/>
        <v>0</v>
      </c>
      <c r="BQ106" s="61">
        <f t="shared" si="148"/>
        <v>0</v>
      </c>
      <c r="BR106" s="58">
        <f t="shared" si="185"/>
        <v>0</v>
      </c>
      <c r="BS106" s="49">
        <f t="shared" si="186"/>
        <v>0</v>
      </c>
      <c r="BT106" s="61">
        <f t="shared" si="149"/>
        <v>0</v>
      </c>
      <c r="BU106" s="58">
        <f t="shared" si="168"/>
        <v>8.1068721223640644E-3</v>
      </c>
      <c r="BV106" s="49">
        <f t="shared" si="115"/>
        <v>2.59875E-2</v>
      </c>
      <c r="BW106" s="61">
        <f t="shared" si="169"/>
        <v>5.4000000000000003E-3</v>
      </c>
      <c r="BX106" s="49">
        <f t="shared" si="139"/>
        <v>0.44270614983546103</v>
      </c>
      <c r="BY106" s="49">
        <f t="shared" si="140"/>
        <v>1.1453733276339844</v>
      </c>
      <c r="BZ106" s="49">
        <f t="shared" si="187"/>
        <v>93.340803703514595</v>
      </c>
    </row>
    <row r="107" spans="17:78" x14ac:dyDescent="0.35">
      <c r="Q107" s="49">
        <v>100</v>
      </c>
      <c r="R107" s="218">
        <f t="shared" si="151"/>
        <v>16.216666666666665</v>
      </c>
      <c r="S107" s="214">
        <f t="shared" si="95"/>
        <v>12</v>
      </c>
      <c r="T107" s="219">
        <f t="shared" si="152"/>
        <v>1.3513888888888888</v>
      </c>
      <c r="U107" s="218">
        <f t="shared" si="153"/>
        <v>2</v>
      </c>
      <c r="V107" s="214">
        <f t="shared" si="154"/>
        <v>0.4825090470446321</v>
      </c>
      <c r="W107" s="214">
        <f t="shared" si="155"/>
        <v>0.51749095295536796</v>
      </c>
      <c r="X107" s="214">
        <f t="shared" si="117"/>
        <v>0</v>
      </c>
      <c r="Y107" s="218">
        <f t="shared" si="170"/>
        <v>2.8007534722222216</v>
      </c>
      <c r="Z107" s="214">
        <f t="shared" si="156"/>
        <v>2.924297254815952</v>
      </c>
      <c r="AA107" s="214">
        <f t="shared" si="119"/>
        <v>4.2629020996301978</v>
      </c>
      <c r="AB107" s="219">
        <f t="shared" si="157"/>
        <v>2.0319339834077548</v>
      </c>
      <c r="AC107" s="218">
        <v>0</v>
      </c>
      <c r="AD107" s="214">
        <f t="shared" si="158"/>
        <v>0.12386267138781916</v>
      </c>
      <c r="AE107" s="219">
        <f t="shared" si="120"/>
        <v>0.12386267138781916</v>
      </c>
      <c r="AF107" s="58">
        <f t="shared" si="159"/>
        <v>0.32433333333333331</v>
      </c>
      <c r="AG107" s="61">
        <f t="shared" si="160"/>
        <v>0.32433333333333331</v>
      </c>
      <c r="AH107" s="58">
        <f t="shared" si="161"/>
        <v>3.5920174702467556E-2</v>
      </c>
      <c r="AI107" s="49">
        <f t="shared" si="162"/>
        <v>7.3214860549369071E-2</v>
      </c>
      <c r="AJ107" s="61">
        <f t="shared" si="121"/>
        <v>0.10913503525183663</v>
      </c>
      <c r="AK107" s="218">
        <f t="shared" si="163"/>
        <v>16</v>
      </c>
      <c r="AL107" s="214">
        <f t="shared" si="108"/>
        <v>48</v>
      </c>
      <c r="AM107" s="219">
        <f t="shared" si="171"/>
        <v>0.33333333333333331</v>
      </c>
      <c r="AN107" s="218">
        <f t="shared" si="172"/>
        <v>2</v>
      </c>
      <c r="AO107" s="214">
        <f t="shared" si="173"/>
        <v>0.51749095295536796</v>
      </c>
      <c r="AP107" s="214">
        <f t="shared" si="174"/>
        <v>0.64413364413364405</v>
      </c>
      <c r="AQ107" s="214">
        <f t="shared" si="175"/>
        <v>0.6816543717519703</v>
      </c>
      <c r="AR107" s="214">
        <f t="shared" si="142"/>
        <v>0.9849608300096292</v>
      </c>
      <c r="AS107" s="219">
        <f t="shared" si="143"/>
        <v>0.48450904154012397</v>
      </c>
      <c r="AT107" s="218"/>
      <c r="AU107" s="214">
        <f t="shared" si="176"/>
        <v>1.3333333333333333E-3</v>
      </c>
      <c r="AV107" s="219">
        <f t="shared" si="144"/>
        <v>1.3333333333333333E-3</v>
      </c>
      <c r="AW107" s="218">
        <f t="shared" si="177"/>
        <v>0.109428</v>
      </c>
      <c r="AX107" s="214">
        <f t="shared" si="178"/>
        <v>9.9999999999999992E-2</v>
      </c>
      <c r="AY107" s="219">
        <f t="shared" si="145"/>
        <v>0.209428</v>
      </c>
      <c r="AZ107" s="218">
        <f t="shared" si="164"/>
        <v>0.21666666666666665</v>
      </c>
      <c r="BA107" s="214">
        <f t="shared" si="165"/>
        <v>6.5</v>
      </c>
      <c r="BB107" s="214">
        <f t="shared" si="146"/>
        <v>3.3333333333333333E-2</v>
      </c>
      <c r="BC107" s="61">
        <f t="shared" si="179"/>
        <v>3.3333333333333333E-2</v>
      </c>
      <c r="BD107" s="58">
        <v>0</v>
      </c>
      <c r="BE107" s="49">
        <f t="shared" si="180"/>
        <v>1.3333333333333333E-5</v>
      </c>
      <c r="BF107" s="61">
        <f t="shared" si="147"/>
        <v>1.3333333333333333E-5</v>
      </c>
      <c r="BG107" s="58">
        <f t="shared" si="181"/>
        <v>1.4700399999999999E-2</v>
      </c>
      <c r="BH107" s="49">
        <f t="shared" si="182"/>
        <v>0.01</v>
      </c>
      <c r="BI107" s="61">
        <f t="shared" si="183"/>
        <v>2.4700399999999997E-2</v>
      </c>
      <c r="BK107" s="218">
        <f t="shared" si="166"/>
        <v>0</v>
      </c>
      <c r="BL107" s="214">
        <f t="shared" si="112"/>
        <v>0</v>
      </c>
      <c r="BM107" s="214">
        <f t="shared" si="167"/>
        <v>0</v>
      </c>
      <c r="BN107" s="61">
        <f t="shared" si="150"/>
        <v>0</v>
      </c>
      <c r="BO107" s="58">
        <v>0</v>
      </c>
      <c r="BP107" s="49">
        <f t="shared" si="184"/>
        <v>0</v>
      </c>
      <c r="BQ107" s="61">
        <f t="shared" si="148"/>
        <v>0</v>
      </c>
      <c r="BR107" s="58">
        <f t="shared" si="185"/>
        <v>0</v>
      </c>
      <c r="BS107" s="49">
        <f t="shared" si="186"/>
        <v>0</v>
      </c>
      <c r="BT107" s="61">
        <f t="shared" si="149"/>
        <v>0</v>
      </c>
      <c r="BU107" s="58">
        <f t="shared" si="168"/>
        <v>8.2575114258546106E-3</v>
      </c>
      <c r="BV107" s="49">
        <f t="shared" si="115"/>
        <v>2.59875E-2</v>
      </c>
      <c r="BW107" s="61">
        <f t="shared" si="169"/>
        <v>5.4000000000000003E-3</v>
      </c>
      <c r="BX107" s="49">
        <f t="shared" si="139"/>
        <v>0.44820933805448582</v>
      </c>
      <c r="BY107" s="49">
        <f t="shared" si="140"/>
        <v>1.1567844513988437</v>
      </c>
      <c r="BZ107" s="49">
        <f t="shared" si="187"/>
        <v>93.341654208265041</v>
      </c>
    </row>
    <row r="108" spans="17:78" x14ac:dyDescent="0.35">
      <c r="Q108" s="49">
        <v>101</v>
      </c>
      <c r="R108" s="218">
        <f t="shared" si="151"/>
        <v>16.378833333333333</v>
      </c>
      <c r="S108" s="214">
        <f t="shared" si="95"/>
        <v>12</v>
      </c>
      <c r="T108" s="219">
        <f t="shared" si="152"/>
        <v>1.3649027777777778</v>
      </c>
      <c r="U108" s="218">
        <f t="shared" si="153"/>
        <v>2</v>
      </c>
      <c r="V108" s="214">
        <f t="shared" si="154"/>
        <v>0.4825090470446321</v>
      </c>
      <c r="W108" s="214">
        <f t="shared" si="155"/>
        <v>0.51749095295536796</v>
      </c>
      <c r="X108" s="214">
        <f t="shared" si="117"/>
        <v>0</v>
      </c>
      <c r="Y108" s="218">
        <f t="shared" si="170"/>
        <v>2.8287610069444442</v>
      </c>
      <c r="Z108" s="214">
        <f t="shared" si="156"/>
        <v>2.924297254815952</v>
      </c>
      <c r="AA108" s="214">
        <f t="shared" si="119"/>
        <v>4.2909096343524205</v>
      </c>
      <c r="AB108" s="219">
        <f t="shared" si="157"/>
        <v>2.0505687859950363</v>
      </c>
      <c r="AC108" s="218">
        <v>0</v>
      </c>
      <c r="AD108" s="214">
        <f t="shared" si="158"/>
        <v>0.1261449703829147</v>
      </c>
      <c r="AE108" s="219">
        <f t="shared" si="120"/>
        <v>0.1261449703829147</v>
      </c>
      <c r="AF108" s="58">
        <f t="shared" si="159"/>
        <v>0.32757666666666668</v>
      </c>
      <c r="AG108" s="61">
        <f t="shared" si="160"/>
        <v>0.32757666666666668</v>
      </c>
      <c r="AH108" s="58">
        <f t="shared" si="161"/>
        <v>3.6582041411045263E-2</v>
      </c>
      <c r="AI108" s="49">
        <f t="shared" si="162"/>
        <v>7.3947009154862769E-2</v>
      </c>
      <c r="AJ108" s="61">
        <f t="shared" si="121"/>
        <v>0.11052905056590803</v>
      </c>
      <c r="AK108" s="218">
        <f t="shared" si="163"/>
        <v>16.16</v>
      </c>
      <c r="AL108" s="214">
        <f t="shared" si="108"/>
        <v>48</v>
      </c>
      <c r="AM108" s="219">
        <f t="shared" si="171"/>
        <v>0.33666666666666667</v>
      </c>
      <c r="AN108" s="218">
        <f t="shared" si="172"/>
        <v>2</v>
      </c>
      <c r="AO108" s="214">
        <f t="shared" si="173"/>
        <v>0.51749095295536784</v>
      </c>
      <c r="AP108" s="214">
        <f t="shared" si="174"/>
        <v>0.65057498057498064</v>
      </c>
      <c r="AQ108" s="214">
        <f t="shared" si="175"/>
        <v>0.68165437175197008</v>
      </c>
      <c r="AR108" s="214">
        <f t="shared" si="142"/>
        <v>0.99140216645096568</v>
      </c>
      <c r="AS108" s="219">
        <f t="shared" si="143"/>
        <v>0.48894243705146417</v>
      </c>
      <c r="AT108" s="218"/>
      <c r="AU108" s="214">
        <f t="shared" si="176"/>
        <v>1.3601333333333333E-3</v>
      </c>
      <c r="AV108" s="219">
        <f t="shared" si="144"/>
        <v>1.3601333333333333E-3</v>
      </c>
      <c r="AW108" s="218">
        <f t="shared" si="177"/>
        <v>0.109428</v>
      </c>
      <c r="AX108" s="214">
        <f t="shared" si="178"/>
        <v>0.10099999999999999</v>
      </c>
      <c r="AY108" s="219">
        <f t="shared" si="145"/>
        <v>0.210428</v>
      </c>
      <c r="AZ108" s="218">
        <f t="shared" si="164"/>
        <v>0.21883333333333332</v>
      </c>
      <c r="BA108" s="214">
        <f t="shared" si="165"/>
        <v>6.5</v>
      </c>
      <c r="BB108" s="214">
        <f t="shared" si="146"/>
        <v>3.3666666666666664E-2</v>
      </c>
      <c r="BC108" s="61">
        <f t="shared" si="179"/>
        <v>3.3666666666666664E-2</v>
      </c>
      <c r="BD108" s="58">
        <v>0</v>
      </c>
      <c r="BE108" s="49">
        <f t="shared" si="180"/>
        <v>1.3601333333333331E-5</v>
      </c>
      <c r="BF108" s="61">
        <f t="shared" si="147"/>
        <v>1.3601333333333331E-5</v>
      </c>
      <c r="BG108" s="58">
        <f t="shared" si="181"/>
        <v>1.4700399999999999E-2</v>
      </c>
      <c r="BH108" s="49">
        <f t="shared" si="182"/>
        <v>1.01E-2</v>
      </c>
      <c r="BI108" s="61">
        <f t="shared" si="183"/>
        <v>2.48004E-2</v>
      </c>
      <c r="BK108" s="218">
        <f t="shared" si="166"/>
        <v>0</v>
      </c>
      <c r="BL108" s="214">
        <f t="shared" si="112"/>
        <v>0</v>
      </c>
      <c r="BM108" s="214">
        <f t="shared" si="167"/>
        <v>0</v>
      </c>
      <c r="BN108" s="61">
        <f t="shared" si="150"/>
        <v>0</v>
      </c>
      <c r="BO108" s="58">
        <v>0</v>
      </c>
      <c r="BP108" s="49">
        <f t="shared" si="184"/>
        <v>0</v>
      </c>
      <c r="BQ108" s="61">
        <f t="shared" si="148"/>
        <v>0</v>
      </c>
      <c r="BR108" s="58">
        <f t="shared" si="185"/>
        <v>0</v>
      </c>
      <c r="BS108" s="49">
        <f t="shared" si="186"/>
        <v>0</v>
      </c>
      <c r="BT108" s="61">
        <f t="shared" si="149"/>
        <v>0</v>
      </c>
      <c r="BU108" s="58">
        <f t="shared" si="168"/>
        <v>8.409664692194313E-3</v>
      </c>
      <c r="BV108" s="49">
        <f t="shared" si="115"/>
        <v>2.59875E-2</v>
      </c>
      <c r="BW108" s="61">
        <f t="shared" si="169"/>
        <v>5.4000000000000003E-3</v>
      </c>
      <c r="BX108" s="49">
        <f t="shared" si="139"/>
        <v>0.45373523838291474</v>
      </c>
      <c r="BY108" s="49">
        <f t="shared" si="140"/>
        <v>1.1682266536410171</v>
      </c>
      <c r="BZ108" s="49">
        <f t="shared" si="187"/>
        <v>93.342322562821224</v>
      </c>
    </row>
    <row r="109" spans="17:78" x14ac:dyDescent="0.35">
      <c r="Q109" s="49">
        <v>102</v>
      </c>
      <c r="R109" s="218">
        <f t="shared" si="151"/>
        <v>16.541</v>
      </c>
      <c r="S109" s="214">
        <f t="shared" si="95"/>
        <v>12</v>
      </c>
      <c r="T109" s="219">
        <f t="shared" si="152"/>
        <v>1.3784166666666666</v>
      </c>
      <c r="U109" s="218">
        <f t="shared" si="153"/>
        <v>2</v>
      </c>
      <c r="V109" s="214">
        <f t="shared" si="154"/>
        <v>0.4825090470446321</v>
      </c>
      <c r="W109" s="214">
        <f t="shared" si="155"/>
        <v>0.51749095295536796</v>
      </c>
      <c r="X109" s="214">
        <f t="shared" si="117"/>
        <v>0</v>
      </c>
      <c r="Y109" s="218">
        <f t="shared" si="170"/>
        <v>2.8567685416666664</v>
      </c>
      <c r="Z109" s="214">
        <f t="shared" si="156"/>
        <v>2.924297254815952</v>
      </c>
      <c r="AA109" s="214">
        <f t="shared" si="119"/>
        <v>4.3189171690746422</v>
      </c>
      <c r="AB109" s="219">
        <f t="shared" si="157"/>
        <v>2.0692186836319602</v>
      </c>
      <c r="AC109" s="218">
        <v>0</v>
      </c>
      <c r="AD109" s="214">
        <f t="shared" si="158"/>
        <v>0.12844997882074743</v>
      </c>
      <c r="AE109" s="219">
        <f t="shared" si="120"/>
        <v>0.12844997882074743</v>
      </c>
      <c r="AF109" s="58">
        <f t="shared" si="159"/>
        <v>0.33082</v>
      </c>
      <c r="AG109" s="61">
        <f t="shared" si="160"/>
        <v>0.33082</v>
      </c>
      <c r="AH109" s="58">
        <f t="shared" si="161"/>
        <v>3.7250493858016757E-2</v>
      </c>
      <c r="AI109" s="49">
        <f t="shared" si="162"/>
        <v>7.4679157760356468E-2</v>
      </c>
      <c r="AJ109" s="61">
        <f t="shared" si="121"/>
        <v>0.11192965161837323</v>
      </c>
      <c r="AK109" s="218">
        <f t="shared" si="163"/>
        <v>16.32</v>
      </c>
      <c r="AL109" s="214">
        <f t="shared" si="108"/>
        <v>48</v>
      </c>
      <c r="AM109" s="219">
        <f t="shared" si="171"/>
        <v>0.34</v>
      </c>
      <c r="AN109" s="218">
        <f t="shared" si="172"/>
        <v>2</v>
      </c>
      <c r="AO109" s="214">
        <f t="shared" si="173"/>
        <v>0.51749095295536807</v>
      </c>
      <c r="AP109" s="214">
        <f t="shared" si="174"/>
        <v>0.65701631701631691</v>
      </c>
      <c r="AQ109" s="214">
        <f t="shared" si="175"/>
        <v>0.68165437175197041</v>
      </c>
      <c r="AR109" s="214">
        <f t="shared" si="142"/>
        <v>0.99784350289230206</v>
      </c>
      <c r="AS109" s="219">
        <f t="shared" si="143"/>
        <v>0.49337951356786464</v>
      </c>
      <c r="AT109" s="218"/>
      <c r="AU109" s="214">
        <f t="shared" si="176"/>
        <v>1.3872000000000003E-3</v>
      </c>
      <c r="AV109" s="219">
        <f t="shared" si="144"/>
        <v>1.3872000000000003E-3</v>
      </c>
      <c r="AW109" s="218">
        <f t="shared" si="177"/>
        <v>0.109428</v>
      </c>
      <c r="AX109" s="214">
        <f t="shared" si="178"/>
        <v>0.10200000000000001</v>
      </c>
      <c r="AY109" s="219">
        <f t="shared" si="145"/>
        <v>0.211428</v>
      </c>
      <c r="AZ109" s="218">
        <f t="shared" si="164"/>
        <v>0.221</v>
      </c>
      <c r="BA109" s="214">
        <f t="shared" si="165"/>
        <v>6.5</v>
      </c>
      <c r="BB109" s="214">
        <f t="shared" si="146"/>
        <v>3.4000000000000002E-2</v>
      </c>
      <c r="BC109" s="61">
        <f t="shared" si="179"/>
        <v>3.4000000000000002E-2</v>
      </c>
      <c r="BD109" s="58">
        <v>0</v>
      </c>
      <c r="BE109" s="49">
        <f t="shared" si="180"/>
        <v>1.3872000000000002E-5</v>
      </c>
      <c r="BF109" s="61">
        <f t="shared" si="147"/>
        <v>1.3872000000000002E-5</v>
      </c>
      <c r="BG109" s="58">
        <f t="shared" si="181"/>
        <v>1.4700399999999999E-2</v>
      </c>
      <c r="BH109" s="49">
        <f t="shared" si="182"/>
        <v>1.0200000000000001E-2</v>
      </c>
      <c r="BI109" s="61">
        <f t="shared" si="183"/>
        <v>2.49004E-2</v>
      </c>
      <c r="BK109" s="218">
        <f t="shared" si="166"/>
        <v>0</v>
      </c>
      <c r="BL109" s="214">
        <f t="shared" si="112"/>
        <v>0</v>
      </c>
      <c r="BM109" s="214">
        <f t="shared" si="167"/>
        <v>0</v>
      </c>
      <c r="BN109" s="61">
        <f t="shared" si="150"/>
        <v>0</v>
      </c>
      <c r="BO109" s="58">
        <v>0</v>
      </c>
      <c r="BP109" s="49">
        <f t="shared" si="184"/>
        <v>0</v>
      </c>
      <c r="BQ109" s="61">
        <f t="shared" si="148"/>
        <v>0</v>
      </c>
      <c r="BR109" s="58">
        <f t="shared" si="185"/>
        <v>0</v>
      </c>
      <c r="BS109" s="49">
        <f t="shared" si="186"/>
        <v>0</v>
      </c>
      <c r="BT109" s="61">
        <f t="shared" si="149"/>
        <v>0</v>
      </c>
      <c r="BU109" s="58">
        <f t="shared" si="168"/>
        <v>8.5633319213831629E-3</v>
      </c>
      <c r="BV109" s="49">
        <f t="shared" si="115"/>
        <v>2.59875E-2</v>
      </c>
      <c r="BW109" s="61">
        <f t="shared" si="169"/>
        <v>5.4000000000000003E-3</v>
      </c>
      <c r="BX109" s="49">
        <f t="shared" si="139"/>
        <v>0.45928385082074741</v>
      </c>
      <c r="BY109" s="49">
        <f t="shared" si="140"/>
        <v>1.1796999343605039</v>
      </c>
      <c r="BZ109" s="49">
        <f t="shared" si="187"/>
        <v>93.342814117217458</v>
      </c>
    </row>
    <row r="110" spans="17:78" x14ac:dyDescent="0.35">
      <c r="Q110" s="49">
        <v>103</v>
      </c>
      <c r="R110" s="218">
        <f t="shared" si="151"/>
        <v>16.703166666666668</v>
      </c>
      <c r="S110" s="214">
        <f t="shared" si="95"/>
        <v>12</v>
      </c>
      <c r="T110" s="219">
        <f t="shared" si="152"/>
        <v>1.3919305555555557</v>
      </c>
      <c r="U110" s="218">
        <f t="shared" si="153"/>
        <v>2</v>
      </c>
      <c r="V110" s="214">
        <f t="shared" si="154"/>
        <v>0.4825090470446321</v>
      </c>
      <c r="W110" s="214">
        <f t="shared" si="155"/>
        <v>0.51749095295536796</v>
      </c>
      <c r="X110" s="214">
        <f t="shared" si="117"/>
        <v>0</v>
      </c>
      <c r="Y110" s="218">
        <f t="shared" si="170"/>
        <v>2.884776076388889</v>
      </c>
      <c r="Z110" s="214">
        <f t="shared" si="156"/>
        <v>2.924297254815952</v>
      </c>
      <c r="AA110" s="214">
        <f t="shared" si="119"/>
        <v>4.3469247037968648</v>
      </c>
      <c r="AB110" s="219">
        <f t="shared" si="157"/>
        <v>2.087883271811569</v>
      </c>
      <c r="AC110" s="218">
        <v>0</v>
      </c>
      <c r="AD110" s="214">
        <f t="shared" si="158"/>
        <v>0.13077769670131745</v>
      </c>
      <c r="AE110" s="219">
        <f t="shared" si="120"/>
        <v>0.13077769670131745</v>
      </c>
      <c r="AF110" s="58">
        <f t="shared" si="159"/>
        <v>0.33406333333333338</v>
      </c>
      <c r="AG110" s="61">
        <f t="shared" si="160"/>
        <v>0.33406333333333338</v>
      </c>
      <c r="AH110" s="58">
        <f t="shared" si="161"/>
        <v>3.792553204338206E-2</v>
      </c>
      <c r="AI110" s="49">
        <f t="shared" si="162"/>
        <v>7.5411306365850153E-2</v>
      </c>
      <c r="AJ110" s="61">
        <f t="shared" si="121"/>
        <v>0.11333683840923221</v>
      </c>
      <c r="AK110" s="218">
        <f t="shared" si="163"/>
        <v>16.48</v>
      </c>
      <c r="AL110" s="214">
        <f t="shared" si="108"/>
        <v>48</v>
      </c>
      <c r="AM110" s="219">
        <f t="shared" si="171"/>
        <v>0.34333333333333332</v>
      </c>
      <c r="AN110" s="218">
        <f t="shared" si="172"/>
        <v>2</v>
      </c>
      <c r="AO110" s="214">
        <f t="shared" si="173"/>
        <v>0.51749095295536796</v>
      </c>
      <c r="AP110" s="214">
        <f t="shared" si="174"/>
        <v>0.6634576534576534</v>
      </c>
      <c r="AQ110" s="214">
        <f t="shared" si="175"/>
        <v>0.6816543717519703</v>
      </c>
      <c r="AR110" s="214">
        <f t="shared" si="142"/>
        <v>1.0042848393336385</v>
      </c>
      <c r="AS110" s="219">
        <f t="shared" si="143"/>
        <v>0.49782017266282275</v>
      </c>
      <c r="AT110" s="218"/>
      <c r="AU110" s="214">
        <f t="shared" si="176"/>
        <v>1.4145333333333333E-3</v>
      </c>
      <c r="AV110" s="219">
        <f t="shared" si="144"/>
        <v>1.4145333333333333E-3</v>
      </c>
      <c r="AW110" s="218">
        <f t="shared" si="177"/>
        <v>0.109428</v>
      </c>
      <c r="AX110" s="214">
        <f t="shared" si="178"/>
        <v>0.10299999999999999</v>
      </c>
      <c r="AY110" s="219">
        <f t="shared" si="145"/>
        <v>0.21242800000000001</v>
      </c>
      <c r="AZ110" s="218">
        <f t="shared" si="164"/>
        <v>0.22316666666666665</v>
      </c>
      <c r="BA110" s="214">
        <f t="shared" si="165"/>
        <v>6.5</v>
      </c>
      <c r="BB110" s="214">
        <f t="shared" si="146"/>
        <v>3.4333333333333334E-2</v>
      </c>
      <c r="BC110" s="61">
        <f t="shared" si="179"/>
        <v>3.4333333333333334E-2</v>
      </c>
      <c r="BD110" s="58">
        <v>0</v>
      </c>
      <c r="BE110" s="49">
        <f t="shared" si="180"/>
        <v>1.4145333333333333E-5</v>
      </c>
      <c r="BF110" s="61">
        <f t="shared" si="147"/>
        <v>1.4145333333333333E-5</v>
      </c>
      <c r="BG110" s="58">
        <f t="shared" si="181"/>
        <v>1.4700399999999999E-2</v>
      </c>
      <c r="BH110" s="49">
        <f t="shared" si="182"/>
        <v>1.03E-2</v>
      </c>
      <c r="BI110" s="61">
        <f t="shared" si="183"/>
        <v>2.5000399999999999E-2</v>
      </c>
      <c r="BK110" s="218">
        <f t="shared" si="166"/>
        <v>0</v>
      </c>
      <c r="BL110" s="214">
        <f t="shared" si="112"/>
        <v>0</v>
      </c>
      <c r="BM110" s="214">
        <f t="shared" si="167"/>
        <v>0</v>
      </c>
      <c r="BN110" s="61">
        <f t="shared" si="150"/>
        <v>0</v>
      </c>
      <c r="BO110" s="58">
        <v>0</v>
      </c>
      <c r="BP110" s="49">
        <f t="shared" si="184"/>
        <v>0</v>
      </c>
      <c r="BQ110" s="61">
        <f t="shared" si="148"/>
        <v>0</v>
      </c>
      <c r="BR110" s="58">
        <f t="shared" si="185"/>
        <v>0</v>
      </c>
      <c r="BS110" s="49">
        <f t="shared" si="186"/>
        <v>0</v>
      </c>
      <c r="BT110" s="61">
        <f t="shared" si="149"/>
        <v>0</v>
      </c>
      <c r="BU110" s="58">
        <f t="shared" si="168"/>
        <v>8.7185131134211637E-3</v>
      </c>
      <c r="BV110" s="49">
        <f t="shared" si="115"/>
        <v>2.59875E-2</v>
      </c>
      <c r="BW110" s="61">
        <f t="shared" si="169"/>
        <v>5.4000000000000003E-3</v>
      </c>
      <c r="BX110" s="49">
        <f t="shared" si="139"/>
        <v>0.46485517536798415</v>
      </c>
      <c r="BY110" s="49">
        <f t="shared" si="140"/>
        <v>1.1912042935573042</v>
      </c>
      <c r="BZ110" s="49">
        <f t="shared" si="187"/>
        <v>93.343134015690509</v>
      </c>
    </row>
    <row r="111" spans="17:78" x14ac:dyDescent="0.35">
      <c r="Q111" s="49">
        <v>104</v>
      </c>
      <c r="R111" s="218">
        <f t="shared" si="151"/>
        <v>16.865333333333332</v>
      </c>
      <c r="S111" s="214">
        <f t="shared" si="95"/>
        <v>12</v>
      </c>
      <c r="T111" s="219">
        <f t="shared" si="152"/>
        <v>1.4054444444444443</v>
      </c>
      <c r="U111" s="218">
        <f t="shared" si="153"/>
        <v>2</v>
      </c>
      <c r="V111" s="214">
        <f t="shared" si="154"/>
        <v>0.4825090470446321</v>
      </c>
      <c r="W111" s="214">
        <f t="shared" si="155"/>
        <v>0.51749095295536796</v>
      </c>
      <c r="X111" s="214">
        <f t="shared" si="117"/>
        <v>0</v>
      </c>
      <c r="Y111" s="218">
        <f t="shared" si="170"/>
        <v>2.9127836111111107</v>
      </c>
      <c r="Z111" s="214">
        <f t="shared" si="156"/>
        <v>2.924297254815952</v>
      </c>
      <c r="AA111" s="214">
        <f t="shared" si="119"/>
        <v>4.3749322385190865</v>
      </c>
      <c r="AB111" s="219">
        <f t="shared" si="157"/>
        <v>2.1065621600499136</v>
      </c>
      <c r="AC111" s="218">
        <v>0</v>
      </c>
      <c r="AD111" s="214">
        <f t="shared" si="158"/>
        <v>0.13312812402462471</v>
      </c>
      <c r="AE111" s="219">
        <f t="shared" si="120"/>
        <v>0.13312812402462471</v>
      </c>
      <c r="AF111" s="58">
        <f t="shared" si="159"/>
        <v>0.33730666666666664</v>
      </c>
      <c r="AG111" s="61">
        <f t="shared" si="160"/>
        <v>0.33730666666666664</v>
      </c>
      <c r="AH111" s="58">
        <f t="shared" si="161"/>
        <v>3.860715596714117E-2</v>
      </c>
      <c r="AI111" s="49">
        <f t="shared" si="162"/>
        <v>7.6143454971343852E-2</v>
      </c>
      <c r="AJ111" s="61">
        <f t="shared" si="121"/>
        <v>0.11475061093848501</v>
      </c>
      <c r="AK111" s="218">
        <f t="shared" si="163"/>
        <v>16.64</v>
      </c>
      <c r="AL111" s="214">
        <f t="shared" si="108"/>
        <v>48</v>
      </c>
      <c r="AM111" s="219">
        <f t="shared" si="171"/>
        <v>0.34666666666666668</v>
      </c>
      <c r="AN111" s="218">
        <f t="shared" si="172"/>
        <v>2</v>
      </c>
      <c r="AO111" s="214">
        <f t="shared" si="173"/>
        <v>0.51749095295536796</v>
      </c>
      <c r="AP111" s="214">
        <f t="shared" si="174"/>
        <v>0.66989898989898988</v>
      </c>
      <c r="AQ111" s="214">
        <f t="shared" si="175"/>
        <v>0.6816543717519703</v>
      </c>
      <c r="AR111" s="214">
        <f t="shared" si="142"/>
        <v>1.010726175774975</v>
      </c>
      <c r="AS111" s="219">
        <f t="shared" si="143"/>
        <v>0.50226431931261517</v>
      </c>
      <c r="AT111" s="218"/>
      <c r="AU111" s="214">
        <f t="shared" si="176"/>
        <v>1.4421333333333335E-3</v>
      </c>
      <c r="AV111" s="219">
        <f t="shared" si="144"/>
        <v>1.4421333333333335E-3</v>
      </c>
      <c r="AW111" s="218">
        <f t="shared" si="177"/>
        <v>0.109428</v>
      </c>
      <c r="AX111" s="214">
        <f t="shared" si="178"/>
        <v>0.104</v>
      </c>
      <c r="AY111" s="219">
        <f t="shared" si="145"/>
        <v>0.21342800000000001</v>
      </c>
      <c r="AZ111" s="218">
        <f t="shared" si="164"/>
        <v>0.22533333333333333</v>
      </c>
      <c r="BA111" s="214">
        <f t="shared" si="165"/>
        <v>6.5</v>
      </c>
      <c r="BB111" s="214">
        <f t="shared" si="146"/>
        <v>3.4666666666666665E-2</v>
      </c>
      <c r="BC111" s="61">
        <f t="shared" si="179"/>
        <v>3.4666666666666665E-2</v>
      </c>
      <c r="BD111" s="58">
        <v>0</v>
      </c>
      <c r="BE111" s="49">
        <f t="shared" si="180"/>
        <v>1.4421333333333334E-5</v>
      </c>
      <c r="BF111" s="61">
        <f t="shared" si="147"/>
        <v>1.4421333333333334E-5</v>
      </c>
      <c r="BG111" s="58">
        <f t="shared" si="181"/>
        <v>1.4700399999999999E-2</v>
      </c>
      <c r="BH111" s="49">
        <f t="shared" si="182"/>
        <v>1.04E-2</v>
      </c>
      <c r="BI111" s="61">
        <f t="shared" si="183"/>
        <v>2.5100399999999998E-2</v>
      </c>
      <c r="BK111" s="218">
        <f t="shared" si="166"/>
        <v>0</v>
      </c>
      <c r="BL111" s="214">
        <f t="shared" si="112"/>
        <v>0</v>
      </c>
      <c r="BM111" s="214">
        <f t="shared" si="167"/>
        <v>0</v>
      </c>
      <c r="BN111" s="61">
        <f t="shared" si="150"/>
        <v>0</v>
      </c>
      <c r="BO111" s="58">
        <v>0</v>
      </c>
      <c r="BP111" s="49">
        <f t="shared" si="184"/>
        <v>0</v>
      </c>
      <c r="BQ111" s="61">
        <f t="shared" si="148"/>
        <v>0</v>
      </c>
      <c r="BR111" s="58">
        <f t="shared" si="185"/>
        <v>0</v>
      </c>
      <c r="BS111" s="49">
        <f t="shared" si="186"/>
        <v>0</v>
      </c>
      <c r="BT111" s="61">
        <f t="shared" si="149"/>
        <v>0</v>
      </c>
      <c r="BU111" s="58">
        <f t="shared" si="168"/>
        <v>8.8752082683083156E-3</v>
      </c>
      <c r="BV111" s="49">
        <f t="shared" si="115"/>
        <v>2.59875E-2</v>
      </c>
      <c r="BW111" s="61">
        <f t="shared" si="169"/>
        <v>5.4000000000000003E-3</v>
      </c>
      <c r="BX111" s="49">
        <f t="shared" si="139"/>
        <v>0.47044921202462464</v>
      </c>
      <c r="BY111" s="49">
        <f t="shared" si="140"/>
        <v>1.2027397312314179</v>
      </c>
      <c r="BZ111" s="49">
        <f t="shared" si="187"/>
        <v>93.343287206480028</v>
      </c>
    </row>
    <row r="112" spans="17:78" x14ac:dyDescent="0.35">
      <c r="Q112" s="49">
        <v>105</v>
      </c>
      <c r="R112" s="218">
        <f t="shared" si="151"/>
        <v>17.0275</v>
      </c>
      <c r="S112" s="214">
        <f t="shared" si="95"/>
        <v>12</v>
      </c>
      <c r="T112" s="219">
        <f t="shared" si="152"/>
        <v>1.4189583333333333</v>
      </c>
      <c r="U112" s="218">
        <f t="shared" si="153"/>
        <v>2</v>
      </c>
      <c r="V112" s="214">
        <f t="shared" si="154"/>
        <v>0.4825090470446321</v>
      </c>
      <c r="W112" s="214">
        <f t="shared" si="155"/>
        <v>0.51749095295536796</v>
      </c>
      <c r="X112" s="214">
        <f t="shared" si="117"/>
        <v>0</v>
      </c>
      <c r="Y112" s="218">
        <f t="shared" si="170"/>
        <v>2.9407911458333329</v>
      </c>
      <c r="Z112" s="214">
        <f t="shared" si="156"/>
        <v>2.924297254815952</v>
      </c>
      <c r="AA112" s="214">
        <f t="shared" si="119"/>
        <v>4.4029397732413091</v>
      </c>
      <c r="AB112" s="219">
        <f t="shared" si="157"/>
        <v>2.1252549712969295</v>
      </c>
      <c r="AC112" s="218">
        <v>0</v>
      </c>
      <c r="AD112" s="214">
        <f t="shared" si="158"/>
        <v>0.13550126079066938</v>
      </c>
      <c r="AE112" s="219">
        <f t="shared" si="120"/>
        <v>0.13550126079066938</v>
      </c>
      <c r="AF112" s="58">
        <f t="shared" si="159"/>
        <v>0.34055000000000002</v>
      </c>
      <c r="AG112" s="61">
        <f t="shared" si="160"/>
        <v>0.34055000000000002</v>
      </c>
      <c r="AH112" s="58">
        <f t="shared" si="161"/>
        <v>3.9295365629294116E-2</v>
      </c>
      <c r="AI112" s="49">
        <f t="shared" si="162"/>
        <v>7.6875603576837537E-2</v>
      </c>
      <c r="AJ112" s="61">
        <f t="shared" si="121"/>
        <v>0.11617096920613165</v>
      </c>
      <c r="AK112" s="218">
        <f t="shared" si="163"/>
        <v>16.8</v>
      </c>
      <c r="AL112" s="214">
        <f t="shared" si="108"/>
        <v>48</v>
      </c>
      <c r="AM112" s="219">
        <f t="shared" si="171"/>
        <v>0.35000000000000003</v>
      </c>
      <c r="AN112" s="218">
        <f t="shared" si="172"/>
        <v>2</v>
      </c>
      <c r="AO112" s="214">
        <f t="shared" si="173"/>
        <v>0.51749095295536796</v>
      </c>
      <c r="AP112" s="214">
        <f t="shared" si="174"/>
        <v>0.67634032634032637</v>
      </c>
      <c r="AQ112" s="214">
        <f t="shared" si="175"/>
        <v>0.6816543717519703</v>
      </c>
      <c r="AR112" s="214">
        <f t="shared" si="142"/>
        <v>1.0171675122163115</v>
      </c>
      <c r="AS112" s="219">
        <f t="shared" si="143"/>
        <v>0.50671186175382665</v>
      </c>
      <c r="AT112" s="218"/>
      <c r="AU112" s="214">
        <f t="shared" si="176"/>
        <v>1.4700000000000004E-3</v>
      </c>
      <c r="AV112" s="219">
        <f t="shared" si="144"/>
        <v>1.4700000000000004E-3</v>
      </c>
      <c r="AW112" s="218">
        <f t="shared" si="177"/>
        <v>0.109428</v>
      </c>
      <c r="AX112" s="214">
        <f t="shared" si="178"/>
        <v>0.10500000000000001</v>
      </c>
      <c r="AY112" s="219">
        <f t="shared" si="145"/>
        <v>0.21442800000000001</v>
      </c>
      <c r="AZ112" s="218">
        <f t="shared" si="164"/>
        <v>0.22749999999999998</v>
      </c>
      <c r="BA112" s="214">
        <f t="shared" si="165"/>
        <v>6.5</v>
      </c>
      <c r="BB112" s="214">
        <f t="shared" si="146"/>
        <v>3.4999999999999996E-2</v>
      </c>
      <c r="BC112" s="61">
        <f t="shared" si="179"/>
        <v>3.4999999999999996E-2</v>
      </c>
      <c r="BD112" s="58">
        <v>0</v>
      </c>
      <c r="BE112" s="49">
        <f t="shared" si="180"/>
        <v>1.4699999999999996E-5</v>
      </c>
      <c r="BF112" s="61">
        <f t="shared" si="147"/>
        <v>1.4699999999999996E-5</v>
      </c>
      <c r="BG112" s="58">
        <f t="shared" si="181"/>
        <v>1.4700399999999999E-2</v>
      </c>
      <c r="BH112" s="49">
        <f t="shared" si="182"/>
        <v>1.0499999999999999E-2</v>
      </c>
      <c r="BI112" s="61">
        <f t="shared" si="183"/>
        <v>2.5200399999999998E-2</v>
      </c>
      <c r="BK112" s="218">
        <f t="shared" si="166"/>
        <v>0</v>
      </c>
      <c r="BL112" s="214">
        <f t="shared" si="112"/>
        <v>0</v>
      </c>
      <c r="BM112" s="214">
        <f t="shared" si="167"/>
        <v>0</v>
      </c>
      <c r="BN112" s="61">
        <f t="shared" ref="BN112:BN143" si="188">IF(EN_OUT_3=1,BK112/BL112,0)</f>
        <v>0</v>
      </c>
      <c r="BO112" s="58">
        <v>0</v>
      </c>
      <c r="BP112" s="49">
        <f t="shared" si="184"/>
        <v>0</v>
      </c>
      <c r="BQ112" s="61">
        <f t="shared" si="148"/>
        <v>0</v>
      </c>
      <c r="BR112" s="58">
        <f t="shared" si="185"/>
        <v>0</v>
      </c>
      <c r="BS112" s="49">
        <f t="shared" si="186"/>
        <v>0</v>
      </c>
      <c r="BT112" s="61">
        <f t="shared" si="149"/>
        <v>0</v>
      </c>
      <c r="BU112" s="58">
        <f t="shared" si="168"/>
        <v>9.0334173860446253E-3</v>
      </c>
      <c r="BV112" s="49">
        <f t="shared" si="115"/>
        <v>2.59875E-2</v>
      </c>
      <c r="BW112" s="61">
        <f t="shared" si="169"/>
        <v>5.4000000000000003E-3</v>
      </c>
      <c r="BX112" s="49">
        <f t="shared" si="139"/>
        <v>0.47606596079066943</v>
      </c>
      <c r="BY112" s="49">
        <f t="shared" si="140"/>
        <v>1.2143062473828459</v>
      </c>
      <c r="BZ112" s="49">
        <f t="shared" si="187"/>
        <v>93.343278451074085</v>
      </c>
    </row>
    <row r="113" spans="17:78" x14ac:dyDescent="0.35">
      <c r="Q113" s="49">
        <v>106</v>
      </c>
      <c r="R113" s="218">
        <f t="shared" si="151"/>
        <v>17.189666666666668</v>
      </c>
      <c r="S113" s="214">
        <f t="shared" si="95"/>
        <v>12</v>
      </c>
      <c r="T113" s="219">
        <f t="shared" si="152"/>
        <v>1.4324722222222224</v>
      </c>
      <c r="U113" s="218">
        <f t="shared" si="153"/>
        <v>2</v>
      </c>
      <c r="V113" s="214">
        <f t="shared" si="154"/>
        <v>0.4825090470446321</v>
      </c>
      <c r="W113" s="214">
        <f t="shared" si="155"/>
        <v>0.51749095295536796</v>
      </c>
      <c r="X113" s="214">
        <f t="shared" si="117"/>
        <v>0</v>
      </c>
      <c r="Y113" s="218">
        <f t="shared" si="170"/>
        <v>2.9687986805555555</v>
      </c>
      <c r="Z113" s="214">
        <f t="shared" si="156"/>
        <v>2.924297254815952</v>
      </c>
      <c r="AA113" s="214">
        <f t="shared" si="119"/>
        <v>4.4309473079635318</v>
      </c>
      <c r="AB113" s="219">
        <f t="shared" si="157"/>
        <v>2.1439613413760612</v>
      </c>
      <c r="AC113" s="218">
        <v>0</v>
      </c>
      <c r="AD113" s="214">
        <f t="shared" si="158"/>
        <v>0.13789710699945121</v>
      </c>
      <c r="AE113" s="219">
        <f t="shared" si="120"/>
        <v>0.13789710699945121</v>
      </c>
      <c r="AF113" s="58">
        <f t="shared" si="159"/>
        <v>0.34379333333333334</v>
      </c>
      <c r="AG113" s="61">
        <f t="shared" si="160"/>
        <v>0.34379333333333334</v>
      </c>
      <c r="AH113" s="58">
        <f t="shared" si="161"/>
        <v>3.9990161029840848E-2</v>
      </c>
      <c r="AI113" s="49">
        <f t="shared" si="162"/>
        <v>7.7607752182331236E-2</v>
      </c>
      <c r="AJ113" s="61">
        <f t="shared" si="121"/>
        <v>0.11759791321217208</v>
      </c>
      <c r="AK113" s="218">
        <f t="shared" si="163"/>
        <v>16.96</v>
      </c>
      <c r="AL113" s="214">
        <f t="shared" si="108"/>
        <v>48</v>
      </c>
      <c r="AM113" s="219">
        <f t="shared" si="171"/>
        <v>0.35333333333333333</v>
      </c>
      <c r="AN113" s="218">
        <f t="shared" si="172"/>
        <v>2</v>
      </c>
      <c r="AO113" s="214">
        <f t="shared" si="173"/>
        <v>0.51749095295536796</v>
      </c>
      <c r="AP113" s="214">
        <f t="shared" si="174"/>
        <v>0.68278166278166275</v>
      </c>
      <c r="AQ113" s="214">
        <f t="shared" si="175"/>
        <v>0.6816543717519703</v>
      </c>
      <c r="AR113" s="214">
        <f t="shared" si="142"/>
        <v>1.023608848657648</v>
      </c>
      <c r="AS113" s="219">
        <f t="shared" si="143"/>
        <v>0.51116271134780145</v>
      </c>
      <c r="AT113" s="218"/>
      <c r="AU113" s="214">
        <f t="shared" si="176"/>
        <v>1.4981333333333334E-3</v>
      </c>
      <c r="AV113" s="219">
        <f t="shared" si="144"/>
        <v>1.4981333333333334E-3</v>
      </c>
      <c r="AW113" s="218">
        <f t="shared" si="177"/>
        <v>0.109428</v>
      </c>
      <c r="AX113" s="214">
        <f t="shared" si="178"/>
        <v>0.106</v>
      </c>
      <c r="AY113" s="219">
        <f t="shared" si="145"/>
        <v>0.21542800000000001</v>
      </c>
      <c r="AZ113" s="218">
        <f t="shared" si="164"/>
        <v>0.22966666666666666</v>
      </c>
      <c r="BA113" s="214">
        <f t="shared" si="165"/>
        <v>6.5</v>
      </c>
      <c r="BB113" s="214">
        <f t="shared" si="146"/>
        <v>3.5333333333333335E-2</v>
      </c>
      <c r="BC113" s="61">
        <f t="shared" si="179"/>
        <v>3.5333333333333335E-2</v>
      </c>
      <c r="BD113" s="58">
        <v>0</v>
      </c>
      <c r="BE113" s="49">
        <f t="shared" si="180"/>
        <v>1.4981333333333335E-5</v>
      </c>
      <c r="BF113" s="61">
        <f t="shared" si="147"/>
        <v>1.4981333333333335E-5</v>
      </c>
      <c r="BG113" s="58">
        <f t="shared" si="181"/>
        <v>1.4700399999999999E-2</v>
      </c>
      <c r="BH113" s="49">
        <f t="shared" si="182"/>
        <v>1.06E-2</v>
      </c>
      <c r="BI113" s="61">
        <f t="shared" si="183"/>
        <v>2.5300400000000001E-2</v>
      </c>
      <c r="BK113" s="218">
        <f t="shared" si="166"/>
        <v>0</v>
      </c>
      <c r="BL113" s="214">
        <f t="shared" si="112"/>
        <v>0</v>
      </c>
      <c r="BM113" s="214">
        <f t="shared" si="167"/>
        <v>0</v>
      </c>
      <c r="BN113" s="61">
        <f t="shared" si="188"/>
        <v>0</v>
      </c>
      <c r="BO113" s="58">
        <v>0</v>
      </c>
      <c r="BP113" s="49">
        <f t="shared" si="184"/>
        <v>0</v>
      </c>
      <c r="BQ113" s="61">
        <f t="shared" si="148"/>
        <v>0</v>
      </c>
      <c r="BR113" s="58">
        <f t="shared" si="185"/>
        <v>0</v>
      </c>
      <c r="BS113" s="49">
        <f t="shared" si="186"/>
        <v>0</v>
      </c>
      <c r="BT113" s="61">
        <f t="shared" si="149"/>
        <v>0</v>
      </c>
      <c r="BU113" s="58">
        <f t="shared" si="168"/>
        <v>9.1931404666300807E-3</v>
      </c>
      <c r="BV113" s="49">
        <f t="shared" si="115"/>
        <v>2.59875E-2</v>
      </c>
      <c r="BW113" s="61">
        <f t="shared" si="169"/>
        <v>5.4000000000000003E-3</v>
      </c>
      <c r="BX113" s="49">
        <f t="shared" si="139"/>
        <v>0.48170542166611785</v>
      </c>
      <c r="BY113" s="49">
        <f t="shared" si="140"/>
        <v>1.2259038420115869</v>
      </c>
      <c r="BZ113" s="49">
        <f t="shared" si="187"/>
        <v>93.343112332936499</v>
      </c>
    </row>
    <row r="114" spans="17:78" x14ac:dyDescent="0.35">
      <c r="Q114" s="49">
        <v>107</v>
      </c>
      <c r="R114" s="218">
        <f t="shared" si="151"/>
        <v>17.351833333333335</v>
      </c>
      <c r="S114" s="214">
        <f t="shared" si="95"/>
        <v>12</v>
      </c>
      <c r="T114" s="219">
        <f t="shared" si="152"/>
        <v>1.4459861111111112</v>
      </c>
      <c r="U114" s="218">
        <f t="shared" si="153"/>
        <v>2</v>
      </c>
      <c r="V114" s="214">
        <f t="shared" si="154"/>
        <v>0.4825090470446321</v>
      </c>
      <c r="W114" s="214">
        <f t="shared" si="155"/>
        <v>0.51749095295536796</v>
      </c>
      <c r="X114" s="214">
        <f t="shared" si="117"/>
        <v>0</v>
      </c>
      <c r="Y114" s="218">
        <f t="shared" si="170"/>
        <v>2.9968062152777777</v>
      </c>
      <c r="Z114" s="214">
        <f t="shared" si="156"/>
        <v>2.924297254815952</v>
      </c>
      <c r="AA114" s="214">
        <f t="shared" si="119"/>
        <v>4.4589548426857535</v>
      </c>
      <c r="AB114" s="219">
        <f t="shared" si="157"/>
        <v>2.1626809184510649</v>
      </c>
      <c r="AC114" s="218">
        <v>0</v>
      </c>
      <c r="AD114" s="214">
        <f t="shared" si="158"/>
        <v>0.14031566265097026</v>
      </c>
      <c r="AE114" s="219">
        <f t="shared" si="120"/>
        <v>0.14031566265097026</v>
      </c>
      <c r="AF114" s="58">
        <f t="shared" si="159"/>
        <v>0.34703666666666672</v>
      </c>
      <c r="AG114" s="61">
        <f t="shared" si="160"/>
        <v>0.34703666666666672</v>
      </c>
      <c r="AH114" s="58">
        <f t="shared" si="161"/>
        <v>4.0691542168781368E-2</v>
      </c>
      <c r="AI114" s="49">
        <f t="shared" si="162"/>
        <v>7.833990078782492E-2</v>
      </c>
      <c r="AJ114" s="61">
        <f t="shared" si="121"/>
        <v>0.11903144295660628</v>
      </c>
      <c r="AK114" s="218">
        <f t="shared" si="163"/>
        <v>17.12</v>
      </c>
      <c r="AL114" s="214">
        <f t="shared" si="108"/>
        <v>48</v>
      </c>
      <c r="AM114" s="219">
        <f t="shared" si="171"/>
        <v>0.35666666666666669</v>
      </c>
      <c r="AN114" s="218">
        <f t="shared" si="172"/>
        <v>2</v>
      </c>
      <c r="AO114" s="214">
        <f t="shared" si="173"/>
        <v>0.51749095295536807</v>
      </c>
      <c r="AP114" s="214">
        <f t="shared" si="174"/>
        <v>0.68922299922299912</v>
      </c>
      <c r="AQ114" s="214">
        <f t="shared" si="175"/>
        <v>0.68165437175197041</v>
      </c>
      <c r="AR114" s="214">
        <f t="shared" si="142"/>
        <v>1.0300501850989843</v>
      </c>
      <c r="AS114" s="219">
        <f t="shared" si="143"/>
        <v>0.51561678245164277</v>
      </c>
      <c r="AT114" s="218"/>
      <c r="AU114" s="214">
        <f t="shared" si="176"/>
        <v>1.5265333333333336E-3</v>
      </c>
      <c r="AV114" s="219">
        <f t="shared" si="144"/>
        <v>1.5265333333333336E-3</v>
      </c>
      <c r="AW114" s="218">
        <f t="shared" si="177"/>
        <v>0.109428</v>
      </c>
      <c r="AX114" s="214">
        <f t="shared" si="178"/>
        <v>0.107</v>
      </c>
      <c r="AY114" s="219">
        <f t="shared" si="145"/>
        <v>0.21642800000000001</v>
      </c>
      <c r="AZ114" s="218">
        <f t="shared" si="164"/>
        <v>0.23183333333333334</v>
      </c>
      <c r="BA114" s="214">
        <f t="shared" si="165"/>
        <v>6.5</v>
      </c>
      <c r="BB114" s="214">
        <f t="shared" si="146"/>
        <v>3.5666666666666666E-2</v>
      </c>
      <c r="BC114" s="61">
        <f t="shared" si="179"/>
        <v>3.5666666666666666E-2</v>
      </c>
      <c r="BD114" s="58">
        <v>0</v>
      </c>
      <c r="BE114" s="49">
        <f t="shared" si="180"/>
        <v>1.5265333333333331E-5</v>
      </c>
      <c r="BF114" s="61">
        <f t="shared" si="147"/>
        <v>1.5265333333333331E-5</v>
      </c>
      <c r="BG114" s="58">
        <f t="shared" si="181"/>
        <v>1.4700399999999999E-2</v>
      </c>
      <c r="BH114" s="49">
        <f t="shared" si="182"/>
        <v>1.0699999999999999E-2</v>
      </c>
      <c r="BI114" s="61">
        <f t="shared" si="183"/>
        <v>2.5400399999999997E-2</v>
      </c>
      <c r="BK114" s="218">
        <f t="shared" si="166"/>
        <v>0</v>
      </c>
      <c r="BL114" s="214">
        <f t="shared" si="112"/>
        <v>0</v>
      </c>
      <c r="BM114" s="214">
        <f t="shared" si="167"/>
        <v>0</v>
      </c>
      <c r="BN114" s="61">
        <f t="shared" si="188"/>
        <v>0</v>
      </c>
      <c r="BO114" s="58">
        <v>0</v>
      </c>
      <c r="BP114" s="49">
        <f t="shared" si="184"/>
        <v>0</v>
      </c>
      <c r="BQ114" s="61">
        <f t="shared" si="148"/>
        <v>0</v>
      </c>
      <c r="BR114" s="58">
        <f t="shared" si="185"/>
        <v>0</v>
      </c>
      <c r="BS114" s="49">
        <f t="shared" si="186"/>
        <v>0</v>
      </c>
      <c r="BT114" s="61">
        <f t="shared" si="149"/>
        <v>0</v>
      </c>
      <c r="BU114" s="58">
        <f t="shared" si="168"/>
        <v>9.3543775100646837E-3</v>
      </c>
      <c r="BV114" s="49">
        <f t="shared" si="115"/>
        <v>2.59875E-2</v>
      </c>
      <c r="BW114" s="61">
        <f t="shared" si="169"/>
        <v>5.4000000000000003E-3</v>
      </c>
      <c r="BX114" s="49">
        <f t="shared" si="139"/>
        <v>0.48736759465097029</v>
      </c>
      <c r="BY114" s="49">
        <f t="shared" si="140"/>
        <v>1.2375325151176413</v>
      </c>
      <c r="BZ114" s="49">
        <f t="shared" si="187"/>
        <v>93.342793265748952</v>
      </c>
    </row>
    <row r="115" spans="17:78" x14ac:dyDescent="0.35">
      <c r="Q115" s="49">
        <v>108</v>
      </c>
      <c r="R115" s="218">
        <f t="shared" si="151"/>
        <v>17.514000000000003</v>
      </c>
      <c r="S115" s="214">
        <f t="shared" si="95"/>
        <v>12</v>
      </c>
      <c r="T115" s="219">
        <f t="shared" si="152"/>
        <v>1.4595000000000002</v>
      </c>
      <c r="U115" s="218">
        <f t="shared" si="153"/>
        <v>2</v>
      </c>
      <c r="V115" s="214">
        <f t="shared" si="154"/>
        <v>0.4825090470446321</v>
      </c>
      <c r="W115" s="214">
        <f t="shared" si="155"/>
        <v>0.51749095295536796</v>
      </c>
      <c r="X115" s="214">
        <f t="shared" si="117"/>
        <v>0</v>
      </c>
      <c r="Y115" s="218">
        <f t="shared" si="170"/>
        <v>3.0248137500000003</v>
      </c>
      <c r="Z115" s="214">
        <f t="shared" si="156"/>
        <v>2.924297254815952</v>
      </c>
      <c r="AA115" s="214">
        <f t="shared" si="119"/>
        <v>4.4869623774079761</v>
      </c>
      <c r="AB115" s="219">
        <f t="shared" si="157"/>
        <v>2.1814133625184895</v>
      </c>
      <c r="AC115" s="218">
        <v>0</v>
      </c>
      <c r="AD115" s="214">
        <f t="shared" si="158"/>
        <v>0.14275692774522669</v>
      </c>
      <c r="AE115" s="219">
        <f t="shared" si="120"/>
        <v>0.14275692774522669</v>
      </c>
      <c r="AF115" s="58">
        <f t="shared" si="159"/>
        <v>0.35028000000000009</v>
      </c>
      <c r="AG115" s="61">
        <f t="shared" si="160"/>
        <v>0.35028000000000009</v>
      </c>
      <c r="AH115" s="58">
        <f t="shared" si="161"/>
        <v>4.1399509046115737E-2</v>
      </c>
      <c r="AI115" s="49">
        <f t="shared" si="162"/>
        <v>7.9072049393318619E-2</v>
      </c>
      <c r="AJ115" s="61">
        <f t="shared" si="121"/>
        <v>0.12047155843943436</v>
      </c>
      <c r="AK115" s="218">
        <f t="shared" si="163"/>
        <v>17.28</v>
      </c>
      <c r="AL115" s="214">
        <f t="shared" si="108"/>
        <v>48</v>
      </c>
      <c r="AM115" s="219">
        <f t="shared" si="171"/>
        <v>0.36000000000000004</v>
      </c>
      <c r="AN115" s="218">
        <f t="shared" si="172"/>
        <v>2</v>
      </c>
      <c r="AO115" s="214">
        <f t="shared" si="173"/>
        <v>0.51749095295536796</v>
      </c>
      <c r="AP115" s="214">
        <f t="shared" si="174"/>
        <v>0.69566433566433572</v>
      </c>
      <c r="AQ115" s="214">
        <f t="shared" si="175"/>
        <v>0.6816543717519703</v>
      </c>
      <c r="AR115" s="214">
        <f t="shared" si="142"/>
        <v>1.036491521540321</v>
      </c>
      <c r="AS115" s="219">
        <f t="shared" si="143"/>
        <v>0.52007399229540008</v>
      </c>
      <c r="AT115" s="218"/>
      <c r="AU115" s="214">
        <f t="shared" si="176"/>
        <v>1.5552000000000003E-3</v>
      </c>
      <c r="AV115" s="219">
        <f t="shared" si="144"/>
        <v>1.5552000000000003E-3</v>
      </c>
      <c r="AW115" s="218">
        <f t="shared" si="177"/>
        <v>0.109428</v>
      </c>
      <c r="AX115" s="214">
        <f t="shared" si="178"/>
        <v>0.10800000000000001</v>
      </c>
      <c r="AY115" s="219">
        <f t="shared" si="145"/>
        <v>0.21742800000000001</v>
      </c>
      <c r="AZ115" s="218">
        <f t="shared" si="164"/>
        <v>0.23399999999999999</v>
      </c>
      <c r="BA115" s="214">
        <f t="shared" si="165"/>
        <v>6.5</v>
      </c>
      <c r="BB115" s="214">
        <f t="shared" si="146"/>
        <v>3.5999999999999997E-2</v>
      </c>
      <c r="BC115" s="61">
        <f t="shared" si="179"/>
        <v>3.5999999999999997E-2</v>
      </c>
      <c r="BD115" s="58">
        <v>0</v>
      </c>
      <c r="BE115" s="49">
        <f t="shared" si="180"/>
        <v>1.5551999999999999E-5</v>
      </c>
      <c r="BF115" s="61">
        <f t="shared" si="147"/>
        <v>1.5551999999999999E-5</v>
      </c>
      <c r="BG115" s="58">
        <f t="shared" si="181"/>
        <v>1.4700399999999999E-2</v>
      </c>
      <c r="BH115" s="49">
        <f t="shared" si="182"/>
        <v>1.0799999999999999E-2</v>
      </c>
      <c r="BI115" s="61">
        <f t="shared" si="183"/>
        <v>2.5500399999999999E-2</v>
      </c>
      <c r="BK115" s="218">
        <f t="shared" si="166"/>
        <v>0</v>
      </c>
      <c r="BL115" s="214">
        <f t="shared" si="112"/>
        <v>0</v>
      </c>
      <c r="BM115" s="214">
        <f t="shared" si="167"/>
        <v>0</v>
      </c>
      <c r="BN115" s="61">
        <f t="shared" si="188"/>
        <v>0</v>
      </c>
      <c r="BO115" s="58">
        <v>0</v>
      </c>
      <c r="BP115" s="49">
        <f t="shared" si="184"/>
        <v>0</v>
      </c>
      <c r="BQ115" s="61">
        <f t="shared" si="148"/>
        <v>0</v>
      </c>
      <c r="BR115" s="58">
        <f t="shared" si="185"/>
        <v>0</v>
      </c>
      <c r="BS115" s="49">
        <f t="shared" si="186"/>
        <v>0</v>
      </c>
      <c r="BT115" s="61">
        <f t="shared" si="149"/>
        <v>0</v>
      </c>
      <c r="BU115" s="58">
        <f t="shared" si="168"/>
        <v>9.5171285163484463E-3</v>
      </c>
      <c r="BV115" s="49">
        <f t="shared" si="115"/>
        <v>2.59875E-2</v>
      </c>
      <c r="BW115" s="61">
        <f t="shared" si="169"/>
        <v>5.4000000000000003E-3</v>
      </c>
      <c r="BX115" s="49">
        <f t="shared" si="139"/>
        <v>0.49305247974522681</v>
      </c>
      <c r="BY115" s="49">
        <f t="shared" si="140"/>
        <v>1.2491922667010098</v>
      </c>
      <c r="BZ115" s="49">
        <f t="shared" si="187"/>
        <v>93.342325501199781</v>
      </c>
    </row>
    <row r="116" spans="17:78" x14ac:dyDescent="0.35">
      <c r="Q116" s="49">
        <v>109</v>
      </c>
      <c r="R116" s="218">
        <f t="shared" si="151"/>
        <v>17.676166666666667</v>
      </c>
      <c r="S116" s="214">
        <f t="shared" si="95"/>
        <v>12</v>
      </c>
      <c r="T116" s="219">
        <f t="shared" si="152"/>
        <v>1.4730138888888888</v>
      </c>
      <c r="U116" s="218">
        <f t="shared" si="153"/>
        <v>2</v>
      </c>
      <c r="V116" s="214">
        <f t="shared" si="154"/>
        <v>0.4825090470446321</v>
      </c>
      <c r="W116" s="214">
        <f t="shared" si="155"/>
        <v>0.51749095295536796</v>
      </c>
      <c r="X116" s="214">
        <f t="shared" si="117"/>
        <v>0</v>
      </c>
      <c r="Y116" s="218">
        <f t="shared" si="170"/>
        <v>3.052821284722222</v>
      </c>
      <c r="Z116" s="214">
        <f t="shared" si="156"/>
        <v>2.924297254815952</v>
      </c>
      <c r="AA116" s="214">
        <f t="shared" si="119"/>
        <v>4.5149699121301978</v>
      </c>
      <c r="AB116" s="219">
        <f t="shared" si="157"/>
        <v>2.2001583449244455</v>
      </c>
      <c r="AC116" s="218">
        <v>0</v>
      </c>
      <c r="AD116" s="214">
        <f t="shared" si="158"/>
        <v>0.14522090228222026</v>
      </c>
      <c r="AE116" s="219">
        <f t="shared" si="120"/>
        <v>0.14522090228222026</v>
      </c>
      <c r="AF116" s="58">
        <f t="shared" si="159"/>
        <v>0.35352333333333336</v>
      </c>
      <c r="AG116" s="61">
        <f t="shared" si="160"/>
        <v>0.35352333333333336</v>
      </c>
      <c r="AH116" s="58">
        <f t="shared" si="161"/>
        <v>4.2114061661843873E-2</v>
      </c>
      <c r="AI116" s="49">
        <f t="shared" si="162"/>
        <v>7.9804197998812304E-2</v>
      </c>
      <c r="AJ116" s="61">
        <f t="shared" si="121"/>
        <v>0.12191825966065617</v>
      </c>
      <c r="AK116" s="218">
        <f t="shared" si="163"/>
        <v>17.440000000000001</v>
      </c>
      <c r="AL116" s="214">
        <f t="shared" si="108"/>
        <v>48</v>
      </c>
      <c r="AM116" s="219">
        <f t="shared" si="171"/>
        <v>0.36333333333333334</v>
      </c>
      <c r="AN116" s="218">
        <f t="shared" si="172"/>
        <v>2</v>
      </c>
      <c r="AO116" s="214">
        <f t="shared" si="173"/>
        <v>0.51749095295536784</v>
      </c>
      <c r="AP116" s="214">
        <f t="shared" si="174"/>
        <v>0.70210567210567221</v>
      </c>
      <c r="AQ116" s="214">
        <f t="shared" si="175"/>
        <v>0.68165437175197008</v>
      </c>
      <c r="AR116" s="214">
        <f t="shared" si="142"/>
        <v>1.0429328579816572</v>
      </c>
      <c r="AS116" s="219">
        <f t="shared" si="143"/>
        <v>0.52453426086511179</v>
      </c>
      <c r="AT116" s="218"/>
      <c r="AU116" s="214">
        <f t="shared" si="176"/>
        <v>1.5841333333333333E-3</v>
      </c>
      <c r="AV116" s="219">
        <f t="shared" si="144"/>
        <v>1.5841333333333333E-3</v>
      </c>
      <c r="AW116" s="218">
        <f t="shared" si="177"/>
        <v>0.109428</v>
      </c>
      <c r="AX116" s="214">
        <f t="shared" si="178"/>
        <v>0.109</v>
      </c>
      <c r="AY116" s="219">
        <f t="shared" si="145"/>
        <v>0.21842800000000001</v>
      </c>
      <c r="AZ116" s="218">
        <f t="shared" si="164"/>
        <v>0.23616666666666666</v>
      </c>
      <c r="BA116" s="214">
        <f t="shared" si="165"/>
        <v>6.5</v>
      </c>
      <c r="BB116" s="214">
        <f t="shared" si="146"/>
        <v>3.6333333333333336E-2</v>
      </c>
      <c r="BC116" s="61">
        <f t="shared" si="179"/>
        <v>3.6333333333333336E-2</v>
      </c>
      <c r="BD116" s="58">
        <v>0</v>
      </c>
      <c r="BE116" s="49">
        <f t="shared" si="180"/>
        <v>1.5841333333333337E-5</v>
      </c>
      <c r="BF116" s="61">
        <f t="shared" si="147"/>
        <v>1.5841333333333337E-5</v>
      </c>
      <c r="BG116" s="58">
        <f t="shared" si="181"/>
        <v>1.4700399999999999E-2</v>
      </c>
      <c r="BH116" s="49">
        <f t="shared" si="182"/>
        <v>1.09E-2</v>
      </c>
      <c r="BI116" s="61">
        <f t="shared" si="183"/>
        <v>2.5600399999999999E-2</v>
      </c>
      <c r="BK116" s="218">
        <f t="shared" si="166"/>
        <v>0</v>
      </c>
      <c r="BL116" s="214">
        <f t="shared" si="112"/>
        <v>0</v>
      </c>
      <c r="BM116" s="214">
        <f t="shared" si="167"/>
        <v>0</v>
      </c>
      <c r="BN116" s="61">
        <f t="shared" si="188"/>
        <v>0</v>
      </c>
      <c r="BO116" s="58">
        <v>0</v>
      </c>
      <c r="BP116" s="49">
        <f t="shared" si="184"/>
        <v>0</v>
      </c>
      <c r="BQ116" s="61">
        <f t="shared" si="148"/>
        <v>0</v>
      </c>
      <c r="BR116" s="58">
        <f t="shared" si="185"/>
        <v>0</v>
      </c>
      <c r="BS116" s="49">
        <f t="shared" si="186"/>
        <v>0</v>
      </c>
      <c r="BT116" s="61">
        <f t="shared" si="149"/>
        <v>0</v>
      </c>
      <c r="BU116" s="58">
        <f t="shared" si="168"/>
        <v>9.6813934854813512E-3</v>
      </c>
      <c r="BV116" s="49">
        <f t="shared" si="115"/>
        <v>2.59875E-2</v>
      </c>
      <c r="BW116" s="61">
        <f t="shared" si="169"/>
        <v>5.4000000000000003E-3</v>
      </c>
      <c r="BX116" s="49">
        <f t="shared" si="139"/>
        <v>0.49876007694888691</v>
      </c>
      <c r="BY116" s="49">
        <f t="shared" si="140"/>
        <v>1.2608830967616913</v>
      </c>
      <c r="BZ116" s="49">
        <f t="shared" si="187"/>
        <v>93.341713136347479</v>
      </c>
    </row>
    <row r="117" spans="17:78" x14ac:dyDescent="0.35">
      <c r="Q117" s="49">
        <v>110</v>
      </c>
      <c r="R117" s="218">
        <f t="shared" si="151"/>
        <v>17.838333333333335</v>
      </c>
      <c r="S117" s="214">
        <f t="shared" si="95"/>
        <v>12</v>
      </c>
      <c r="T117" s="219">
        <f t="shared" si="152"/>
        <v>1.4865277777777779</v>
      </c>
      <c r="U117" s="218">
        <f t="shared" si="153"/>
        <v>2</v>
      </c>
      <c r="V117" s="214">
        <f t="shared" si="154"/>
        <v>0.4825090470446321</v>
      </c>
      <c r="W117" s="214">
        <f t="shared" si="155"/>
        <v>0.51749095295536796</v>
      </c>
      <c r="X117" s="214">
        <f t="shared" si="117"/>
        <v>0</v>
      </c>
      <c r="Y117" s="218">
        <f t="shared" si="170"/>
        <v>3.0808288194444446</v>
      </c>
      <c r="Z117" s="214">
        <f t="shared" si="156"/>
        <v>2.924297254815952</v>
      </c>
      <c r="AA117" s="214">
        <f t="shared" si="119"/>
        <v>4.5429774468524204</v>
      </c>
      <c r="AB117" s="219">
        <f t="shared" si="157"/>
        <v>2.2189155479043601</v>
      </c>
      <c r="AC117" s="218">
        <v>0</v>
      </c>
      <c r="AD117" s="214">
        <f t="shared" si="158"/>
        <v>0.14770758626195121</v>
      </c>
      <c r="AE117" s="219">
        <f t="shared" si="120"/>
        <v>0.14770758626195121</v>
      </c>
      <c r="AF117" s="58">
        <f t="shared" si="159"/>
        <v>0.35676666666666668</v>
      </c>
      <c r="AG117" s="61">
        <f t="shared" si="160"/>
        <v>0.35676666666666668</v>
      </c>
      <c r="AH117" s="58">
        <f t="shared" si="161"/>
        <v>4.2835200015965844E-2</v>
      </c>
      <c r="AI117" s="49">
        <f t="shared" si="162"/>
        <v>8.0536346604306003E-2</v>
      </c>
      <c r="AJ117" s="61">
        <f t="shared" si="121"/>
        <v>0.12337154662027185</v>
      </c>
      <c r="AK117" s="218">
        <f t="shared" si="163"/>
        <v>17.600000000000001</v>
      </c>
      <c r="AL117" s="214">
        <f t="shared" si="108"/>
        <v>48</v>
      </c>
      <c r="AM117" s="219">
        <f t="shared" si="171"/>
        <v>0.3666666666666667</v>
      </c>
      <c r="AN117" s="218">
        <f t="shared" si="172"/>
        <v>2</v>
      </c>
      <c r="AO117" s="214">
        <f t="shared" si="173"/>
        <v>0.51749095295536796</v>
      </c>
      <c r="AP117" s="214">
        <f t="shared" si="174"/>
        <v>0.70854700854700858</v>
      </c>
      <c r="AQ117" s="214">
        <f t="shared" si="175"/>
        <v>0.6816543717519703</v>
      </c>
      <c r="AR117" s="214">
        <f t="shared" si="142"/>
        <v>1.0493741944229937</v>
      </c>
      <c r="AS117" s="219">
        <f t="shared" si="143"/>
        <v>0.52899751079138813</v>
      </c>
      <c r="AT117" s="218"/>
      <c r="AU117" s="214">
        <f t="shared" si="176"/>
        <v>1.6133333333333338E-3</v>
      </c>
      <c r="AV117" s="219">
        <f t="shared" si="144"/>
        <v>1.6133333333333338E-3</v>
      </c>
      <c r="AW117" s="218">
        <f t="shared" si="177"/>
        <v>0.109428</v>
      </c>
      <c r="AX117" s="214">
        <f t="shared" si="178"/>
        <v>0.11</v>
      </c>
      <c r="AY117" s="219">
        <f t="shared" si="145"/>
        <v>0.21942800000000001</v>
      </c>
      <c r="AZ117" s="218">
        <f t="shared" si="164"/>
        <v>0.23833333333333331</v>
      </c>
      <c r="BA117" s="214">
        <f t="shared" si="165"/>
        <v>6.5</v>
      </c>
      <c r="BB117" s="214">
        <f t="shared" si="146"/>
        <v>3.6666666666666667E-2</v>
      </c>
      <c r="BC117" s="61">
        <f t="shared" si="179"/>
        <v>3.6666666666666667E-2</v>
      </c>
      <c r="BD117" s="58">
        <v>0</v>
      </c>
      <c r="BE117" s="49">
        <f t="shared" si="180"/>
        <v>1.6133333333333334E-5</v>
      </c>
      <c r="BF117" s="61">
        <f t="shared" si="147"/>
        <v>1.6133333333333334E-5</v>
      </c>
      <c r="BG117" s="58">
        <f t="shared" si="181"/>
        <v>1.4700399999999999E-2</v>
      </c>
      <c r="BH117" s="49">
        <f t="shared" si="182"/>
        <v>1.0999999999999999E-2</v>
      </c>
      <c r="BI117" s="61">
        <f t="shared" si="183"/>
        <v>2.5700399999999998E-2</v>
      </c>
      <c r="BK117" s="218">
        <f t="shared" si="166"/>
        <v>0</v>
      </c>
      <c r="BL117" s="214">
        <f t="shared" si="112"/>
        <v>0</v>
      </c>
      <c r="BM117" s="214">
        <f t="shared" si="167"/>
        <v>0</v>
      </c>
      <c r="BN117" s="61">
        <f t="shared" si="188"/>
        <v>0</v>
      </c>
      <c r="BO117" s="58">
        <v>0</v>
      </c>
      <c r="BP117" s="49">
        <f t="shared" si="184"/>
        <v>0</v>
      </c>
      <c r="BQ117" s="61">
        <f t="shared" si="148"/>
        <v>0</v>
      </c>
      <c r="BR117" s="58">
        <f t="shared" si="185"/>
        <v>0</v>
      </c>
      <c r="BS117" s="49">
        <f t="shared" si="186"/>
        <v>0</v>
      </c>
      <c r="BT117" s="61">
        <f t="shared" si="149"/>
        <v>0</v>
      </c>
      <c r="BU117" s="58">
        <f t="shared" si="168"/>
        <v>9.8471724174634141E-3</v>
      </c>
      <c r="BV117" s="49">
        <f t="shared" si="115"/>
        <v>2.59875E-2</v>
      </c>
      <c r="BW117" s="61">
        <f t="shared" si="169"/>
        <v>5.4000000000000003E-3</v>
      </c>
      <c r="BX117" s="49">
        <f t="shared" si="139"/>
        <v>0.5044903862619512</v>
      </c>
      <c r="BY117" s="49">
        <f t="shared" si="140"/>
        <v>1.2726050052996865</v>
      </c>
      <c r="BZ117" s="49">
        <f t="shared" si="187"/>
        <v>93.340960120586558</v>
      </c>
    </row>
    <row r="118" spans="17:78" x14ac:dyDescent="0.35">
      <c r="Q118" s="49">
        <v>111</v>
      </c>
      <c r="R118" s="218">
        <f t="shared" si="151"/>
        <v>18.000500000000002</v>
      </c>
      <c r="S118" s="214">
        <f t="shared" si="95"/>
        <v>12</v>
      </c>
      <c r="T118" s="219">
        <f t="shared" si="152"/>
        <v>1.5000416666666669</v>
      </c>
      <c r="U118" s="218">
        <f t="shared" si="153"/>
        <v>2</v>
      </c>
      <c r="V118" s="214">
        <f t="shared" si="154"/>
        <v>0.4825090470446321</v>
      </c>
      <c r="W118" s="214">
        <f t="shared" si="155"/>
        <v>0.51749095295536796</v>
      </c>
      <c r="X118" s="214">
        <f t="shared" si="117"/>
        <v>0</v>
      </c>
      <c r="Y118" s="218">
        <f t="shared" si="170"/>
        <v>3.1088363541666668</v>
      </c>
      <c r="Z118" s="214">
        <f t="shared" si="156"/>
        <v>2.924297254815952</v>
      </c>
      <c r="AA118" s="214">
        <f t="shared" si="119"/>
        <v>4.5709849815746431</v>
      </c>
      <c r="AB118" s="219">
        <f t="shared" si="157"/>
        <v>2.2376846641444619</v>
      </c>
      <c r="AC118" s="218">
        <v>0</v>
      </c>
      <c r="AD118" s="214">
        <f t="shared" si="158"/>
        <v>0.15021697968441941</v>
      </c>
      <c r="AE118" s="219">
        <f t="shared" si="120"/>
        <v>0.15021697968441941</v>
      </c>
      <c r="AF118" s="58">
        <f t="shared" si="159"/>
        <v>0.36001000000000005</v>
      </c>
      <c r="AG118" s="61">
        <f t="shared" si="160"/>
        <v>0.36001000000000005</v>
      </c>
      <c r="AH118" s="58">
        <f t="shared" si="161"/>
        <v>4.3562924108481622E-2</v>
      </c>
      <c r="AI118" s="49">
        <f t="shared" si="162"/>
        <v>8.1268495209799702E-2</v>
      </c>
      <c r="AJ118" s="61">
        <f t="shared" si="121"/>
        <v>0.12483141931828132</v>
      </c>
      <c r="AK118" s="218">
        <f t="shared" si="163"/>
        <v>17.760000000000002</v>
      </c>
      <c r="AL118" s="214">
        <f t="shared" si="108"/>
        <v>48</v>
      </c>
      <c r="AM118" s="219">
        <f t="shared" si="171"/>
        <v>0.37000000000000005</v>
      </c>
      <c r="AN118" s="218">
        <f t="shared" si="172"/>
        <v>2</v>
      </c>
      <c r="AO118" s="214">
        <f t="shared" si="173"/>
        <v>0.51749095295536796</v>
      </c>
      <c r="AP118" s="214">
        <f t="shared" si="174"/>
        <v>0.71498834498834507</v>
      </c>
      <c r="AQ118" s="214">
        <f t="shared" si="175"/>
        <v>0.6816543717519703</v>
      </c>
      <c r="AR118" s="214">
        <f t="shared" si="142"/>
        <v>1.0558155308643302</v>
      </c>
      <c r="AS118" s="219">
        <f t="shared" si="143"/>
        <v>0.53346366724323657</v>
      </c>
      <c r="AT118" s="218"/>
      <c r="AU118" s="214">
        <f t="shared" si="176"/>
        <v>1.6428000000000007E-3</v>
      </c>
      <c r="AV118" s="219">
        <f t="shared" si="144"/>
        <v>1.6428000000000007E-3</v>
      </c>
      <c r="AW118" s="218">
        <f t="shared" si="177"/>
        <v>0.109428</v>
      </c>
      <c r="AX118" s="214">
        <f t="shared" si="178"/>
        <v>0.11100000000000002</v>
      </c>
      <c r="AY118" s="219">
        <f t="shared" si="145"/>
        <v>0.22042800000000001</v>
      </c>
      <c r="AZ118" s="218">
        <f t="shared" si="164"/>
        <v>0.24049999999999999</v>
      </c>
      <c r="BA118" s="214">
        <f t="shared" si="165"/>
        <v>6.5</v>
      </c>
      <c r="BB118" s="214">
        <f t="shared" si="146"/>
        <v>3.6999999999999998E-2</v>
      </c>
      <c r="BC118" s="61">
        <f t="shared" si="179"/>
        <v>3.6999999999999998E-2</v>
      </c>
      <c r="BD118" s="58">
        <v>0</v>
      </c>
      <c r="BE118" s="49">
        <f t="shared" si="180"/>
        <v>1.6427999999999999E-5</v>
      </c>
      <c r="BF118" s="61">
        <f t="shared" si="147"/>
        <v>1.6427999999999999E-5</v>
      </c>
      <c r="BG118" s="58">
        <f t="shared" si="181"/>
        <v>1.4700399999999999E-2</v>
      </c>
      <c r="BH118" s="49">
        <f t="shared" si="182"/>
        <v>1.1099999999999999E-2</v>
      </c>
      <c r="BI118" s="61">
        <f t="shared" si="183"/>
        <v>2.5800399999999998E-2</v>
      </c>
      <c r="BK118" s="218">
        <f t="shared" si="166"/>
        <v>0</v>
      </c>
      <c r="BL118" s="214">
        <f t="shared" si="112"/>
        <v>0</v>
      </c>
      <c r="BM118" s="214">
        <f t="shared" si="167"/>
        <v>0</v>
      </c>
      <c r="BN118" s="61">
        <f t="shared" si="188"/>
        <v>0</v>
      </c>
      <c r="BO118" s="58">
        <v>0</v>
      </c>
      <c r="BP118" s="49">
        <f t="shared" si="184"/>
        <v>0</v>
      </c>
      <c r="BQ118" s="61">
        <f t="shared" si="148"/>
        <v>0</v>
      </c>
      <c r="BR118" s="58">
        <f t="shared" si="185"/>
        <v>0</v>
      </c>
      <c r="BS118" s="49">
        <f t="shared" si="186"/>
        <v>0</v>
      </c>
      <c r="BT118" s="61">
        <f t="shared" si="149"/>
        <v>0</v>
      </c>
      <c r="BU118" s="58">
        <f t="shared" si="168"/>
        <v>1.0014465312294628E-2</v>
      </c>
      <c r="BV118" s="49">
        <f t="shared" si="115"/>
        <v>2.59875E-2</v>
      </c>
      <c r="BW118" s="61">
        <f t="shared" si="169"/>
        <v>5.4000000000000003E-3</v>
      </c>
      <c r="BX118" s="49">
        <f t="shared" si="139"/>
        <v>0.51024340768441945</v>
      </c>
      <c r="BY118" s="49">
        <f t="shared" si="140"/>
        <v>1.2843579923149955</v>
      </c>
      <c r="BZ118" s="49">
        <f t="shared" si="187"/>
        <v>93.340070262239877</v>
      </c>
    </row>
    <row r="119" spans="17:78" x14ac:dyDescent="0.35">
      <c r="Q119" s="49">
        <v>112</v>
      </c>
      <c r="R119" s="218">
        <f t="shared" si="151"/>
        <v>18.16266666666667</v>
      </c>
      <c r="S119" s="214">
        <f t="shared" si="95"/>
        <v>12</v>
      </c>
      <c r="T119" s="219">
        <f t="shared" si="152"/>
        <v>1.5135555555555558</v>
      </c>
      <c r="U119" s="218">
        <f t="shared" si="153"/>
        <v>2</v>
      </c>
      <c r="V119" s="214">
        <f t="shared" si="154"/>
        <v>0.4825090470446321</v>
      </c>
      <c r="W119" s="214">
        <f t="shared" si="155"/>
        <v>0.51749095295536796</v>
      </c>
      <c r="X119" s="214">
        <f t="shared" si="117"/>
        <v>0</v>
      </c>
      <c r="Y119" s="218">
        <f t="shared" si="170"/>
        <v>3.1368438888888894</v>
      </c>
      <c r="Z119" s="214">
        <f t="shared" si="156"/>
        <v>2.924297254815952</v>
      </c>
      <c r="AA119" s="214">
        <f t="shared" si="119"/>
        <v>4.5989925162968657</v>
      </c>
      <c r="AB119" s="219">
        <f t="shared" si="157"/>
        <v>2.2564653963638563</v>
      </c>
      <c r="AC119" s="218">
        <v>0</v>
      </c>
      <c r="AD119" s="214">
        <f t="shared" si="158"/>
        <v>0.15274908254962485</v>
      </c>
      <c r="AE119" s="219">
        <f t="shared" si="120"/>
        <v>0.15274908254962485</v>
      </c>
      <c r="AF119" s="58">
        <f t="shared" si="159"/>
        <v>0.36325333333333343</v>
      </c>
      <c r="AG119" s="61">
        <f t="shared" si="160"/>
        <v>0.36325333333333343</v>
      </c>
      <c r="AH119" s="58">
        <f t="shared" si="161"/>
        <v>4.4297233939391209E-2</v>
      </c>
      <c r="AI119" s="49">
        <f t="shared" si="162"/>
        <v>8.2000643815293386E-2</v>
      </c>
      <c r="AJ119" s="61">
        <f t="shared" si="121"/>
        <v>0.1262978777546846</v>
      </c>
      <c r="AK119" s="218">
        <f t="shared" si="163"/>
        <v>17.920000000000002</v>
      </c>
      <c r="AL119" s="214">
        <f t="shared" si="108"/>
        <v>48</v>
      </c>
      <c r="AM119" s="219">
        <f t="shared" si="171"/>
        <v>0.37333333333333335</v>
      </c>
      <c r="AN119" s="218">
        <f t="shared" si="172"/>
        <v>2</v>
      </c>
      <c r="AO119" s="214">
        <f t="shared" si="173"/>
        <v>0.51749095295536784</v>
      </c>
      <c r="AP119" s="214">
        <f t="shared" si="174"/>
        <v>0.72142968142968156</v>
      </c>
      <c r="AQ119" s="214">
        <f t="shared" si="175"/>
        <v>0.68165437175197008</v>
      </c>
      <c r="AR119" s="214">
        <f t="shared" si="142"/>
        <v>1.0622568673056665</v>
      </c>
      <c r="AS119" s="219">
        <f t="shared" si="143"/>
        <v>0.53793265782685351</v>
      </c>
      <c r="AT119" s="218"/>
      <c r="AU119" s="214">
        <f t="shared" si="176"/>
        <v>1.6725333333333335E-3</v>
      </c>
      <c r="AV119" s="219">
        <f t="shared" si="144"/>
        <v>1.6725333333333335E-3</v>
      </c>
      <c r="AW119" s="218">
        <f t="shared" si="177"/>
        <v>0.109428</v>
      </c>
      <c r="AX119" s="214">
        <f t="shared" si="178"/>
        <v>0.112</v>
      </c>
      <c r="AY119" s="219">
        <f t="shared" si="145"/>
        <v>0.22142800000000001</v>
      </c>
      <c r="AZ119" s="218">
        <f t="shared" si="164"/>
        <v>0.24266666666666664</v>
      </c>
      <c r="BA119" s="214">
        <f t="shared" si="165"/>
        <v>6.5</v>
      </c>
      <c r="BB119" s="214">
        <f t="shared" si="146"/>
        <v>3.7333333333333329E-2</v>
      </c>
      <c r="BC119" s="61">
        <f t="shared" si="179"/>
        <v>3.7333333333333329E-2</v>
      </c>
      <c r="BD119" s="58">
        <v>0</v>
      </c>
      <c r="BE119" s="49">
        <f t="shared" si="180"/>
        <v>1.6725333333333331E-5</v>
      </c>
      <c r="BF119" s="61">
        <f t="shared" si="147"/>
        <v>1.6725333333333331E-5</v>
      </c>
      <c r="BG119" s="58">
        <f t="shared" si="181"/>
        <v>1.4700399999999999E-2</v>
      </c>
      <c r="BH119" s="49">
        <f t="shared" si="182"/>
        <v>1.1199999999999998E-2</v>
      </c>
      <c r="BI119" s="61">
        <f t="shared" si="183"/>
        <v>2.5900399999999997E-2</v>
      </c>
      <c r="BK119" s="218">
        <f t="shared" si="166"/>
        <v>0</v>
      </c>
      <c r="BL119" s="214">
        <f t="shared" si="112"/>
        <v>0</v>
      </c>
      <c r="BM119" s="214">
        <f t="shared" si="167"/>
        <v>0</v>
      </c>
      <c r="BN119" s="61">
        <f t="shared" si="188"/>
        <v>0</v>
      </c>
      <c r="BO119" s="58">
        <v>0</v>
      </c>
      <c r="BP119" s="49">
        <f t="shared" si="184"/>
        <v>0</v>
      </c>
      <c r="BQ119" s="61">
        <f t="shared" si="148"/>
        <v>0</v>
      </c>
      <c r="BR119" s="58">
        <f t="shared" si="185"/>
        <v>0</v>
      </c>
      <c r="BS119" s="49">
        <f t="shared" si="186"/>
        <v>0</v>
      </c>
      <c r="BT119" s="61">
        <f t="shared" si="149"/>
        <v>0</v>
      </c>
      <c r="BU119" s="58">
        <f t="shared" si="168"/>
        <v>1.0183272169974991E-2</v>
      </c>
      <c r="BV119" s="49">
        <f t="shared" si="115"/>
        <v>2.59875E-2</v>
      </c>
      <c r="BW119" s="61">
        <f t="shared" si="169"/>
        <v>5.4000000000000003E-3</v>
      </c>
      <c r="BX119" s="49">
        <f t="shared" si="139"/>
        <v>0.51601914121629155</v>
      </c>
      <c r="BY119" s="49">
        <f t="shared" si="140"/>
        <v>1.2961420578076179</v>
      </c>
      <c r="BZ119" s="49">
        <f t="shared" si="187"/>
        <v>93.339047234801185</v>
      </c>
    </row>
    <row r="120" spans="17:78" x14ac:dyDescent="0.35">
      <c r="Q120" s="49">
        <v>113</v>
      </c>
      <c r="R120" s="218">
        <f t="shared" si="151"/>
        <v>18.324833333333334</v>
      </c>
      <c r="S120" s="214">
        <f t="shared" si="95"/>
        <v>12</v>
      </c>
      <c r="T120" s="219">
        <f t="shared" si="152"/>
        <v>1.5270694444444446</v>
      </c>
      <c r="U120" s="218">
        <f t="shared" si="153"/>
        <v>2</v>
      </c>
      <c r="V120" s="214">
        <f t="shared" si="154"/>
        <v>0.4825090470446321</v>
      </c>
      <c r="W120" s="214">
        <f t="shared" si="155"/>
        <v>0.51749095295536796</v>
      </c>
      <c r="X120" s="214">
        <f t="shared" si="117"/>
        <v>0</v>
      </c>
      <c r="Y120" s="218">
        <f t="shared" si="170"/>
        <v>3.1648514236111112</v>
      </c>
      <c r="Z120" s="214">
        <f t="shared" si="156"/>
        <v>2.924297254815952</v>
      </c>
      <c r="AA120" s="214">
        <f t="shared" si="119"/>
        <v>4.6270000510190874</v>
      </c>
      <c r="AB120" s="219">
        <f t="shared" si="157"/>
        <v>2.2752574569160848</v>
      </c>
      <c r="AC120" s="218">
        <v>0</v>
      </c>
      <c r="AD120" s="214">
        <f t="shared" si="158"/>
        <v>0.15530389485756749</v>
      </c>
      <c r="AE120" s="219">
        <f t="shared" si="120"/>
        <v>0.15530389485756749</v>
      </c>
      <c r="AF120" s="58">
        <f t="shared" si="159"/>
        <v>0.36649666666666669</v>
      </c>
      <c r="AG120" s="61">
        <f t="shared" si="160"/>
        <v>0.36649666666666669</v>
      </c>
      <c r="AH120" s="58">
        <f t="shared" si="161"/>
        <v>4.5038129508694569E-2</v>
      </c>
      <c r="AI120" s="49">
        <f t="shared" si="162"/>
        <v>8.2732792420787057E-2</v>
      </c>
      <c r="AJ120" s="61">
        <f t="shared" si="121"/>
        <v>0.12777092192948164</v>
      </c>
      <c r="AK120" s="218">
        <f t="shared" si="163"/>
        <v>18.080000000000002</v>
      </c>
      <c r="AL120" s="214">
        <f t="shared" si="108"/>
        <v>48</v>
      </c>
      <c r="AM120" s="219">
        <f t="shared" si="171"/>
        <v>0.37666666666666671</v>
      </c>
      <c r="AN120" s="218">
        <f t="shared" si="172"/>
        <v>2</v>
      </c>
      <c r="AO120" s="214">
        <f t="shared" si="173"/>
        <v>0.51749095295536796</v>
      </c>
      <c r="AP120" s="214">
        <f t="shared" si="174"/>
        <v>0.72787101787101793</v>
      </c>
      <c r="AQ120" s="214">
        <f t="shared" si="175"/>
        <v>0.6816543717519703</v>
      </c>
      <c r="AR120" s="214">
        <f t="shared" si="142"/>
        <v>1.0686982037470032</v>
      </c>
      <c r="AS120" s="219">
        <f t="shared" si="143"/>
        <v>0.54240441248911786</v>
      </c>
      <c r="AT120" s="218"/>
      <c r="AU120" s="214">
        <f t="shared" si="176"/>
        <v>1.7025333333333336E-3</v>
      </c>
      <c r="AV120" s="219">
        <f t="shared" si="144"/>
        <v>1.7025333333333336E-3</v>
      </c>
      <c r="AW120" s="218">
        <f t="shared" si="177"/>
        <v>0.109428</v>
      </c>
      <c r="AX120" s="214">
        <f t="shared" si="178"/>
        <v>0.113</v>
      </c>
      <c r="AY120" s="219">
        <f t="shared" si="145"/>
        <v>0.22242800000000001</v>
      </c>
      <c r="AZ120" s="218">
        <f t="shared" si="164"/>
        <v>0.24483333333333332</v>
      </c>
      <c r="BA120" s="214">
        <f t="shared" si="165"/>
        <v>6.5</v>
      </c>
      <c r="BB120" s="214">
        <f t="shared" si="146"/>
        <v>3.7666666666666668E-2</v>
      </c>
      <c r="BC120" s="61">
        <f t="shared" si="179"/>
        <v>3.7666666666666668E-2</v>
      </c>
      <c r="BD120" s="58">
        <v>0</v>
      </c>
      <c r="BE120" s="49">
        <f t="shared" si="180"/>
        <v>1.7025333333333335E-5</v>
      </c>
      <c r="BF120" s="61">
        <f t="shared" si="147"/>
        <v>1.7025333333333335E-5</v>
      </c>
      <c r="BG120" s="58">
        <f t="shared" si="181"/>
        <v>1.4700399999999999E-2</v>
      </c>
      <c r="BH120" s="49">
        <f t="shared" si="182"/>
        <v>1.1299999999999999E-2</v>
      </c>
      <c r="BI120" s="61">
        <f t="shared" si="183"/>
        <v>2.60004E-2</v>
      </c>
      <c r="BK120" s="218">
        <f t="shared" si="166"/>
        <v>0</v>
      </c>
      <c r="BL120" s="214">
        <f t="shared" si="112"/>
        <v>0</v>
      </c>
      <c r="BM120" s="214">
        <f t="shared" si="167"/>
        <v>0</v>
      </c>
      <c r="BN120" s="61">
        <f t="shared" si="188"/>
        <v>0</v>
      </c>
      <c r="BO120" s="58">
        <v>0</v>
      </c>
      <c r="BP120" s="49">
        <f t="shared" si="184"/>
        <v>0</v>
      </c>
      <c r="BQ120" s="61">
        <f t="shared" si="148"/>
        <v>0</v>
      </c>
      <c r="BR120" s="58">
        <f t="shared" si="185"/>
        <v>0</v>
      </c>
      <c r="BS120" s="49">
        <f t="shared" si="186"/>
        <v>0</v>
      </c>
      <c r="BT120" s="61">
        <f t="shared" si="149"/>
        <v>0</v>
      </c>
      <c r="BU120" s="58">
        <f t="shared" si="168"/>
        <v>1.03535929905045E-2</v>
      </c>
      <c r="BV120" s="49">
        <f t="shared" si="115"/>
        <v>2.59875E-2</v>
      </c>
      <c r="BW120" s="61">
        <f t="shared" si="169"/>
        <v>5.4000000000000003E-3</v>
      </c>
      <c r="BX120" s="49">
        <f t="shared" si="139"/>
        <v>0.52181758685756752</v>
      </c>
      <c r="BY120" s="49">
        <f t="shared" si="140"/>
        <v>1.3079572017775538</v>
      </c>
      <c r="BZ120" s="49">
        <f t="shared" si="187"/>
        <v>93.337894582848875</v>
      </c>
    </row>
    <row r="121" spans="17:78" x14ac:dyDescent="0.35">
      <c r="Q121" s="49">
        <v>114</v>
      </c>
      <c r="R121" s="218">
        <f t="shared" si="151"/>
        <v>18.487000000000002</v>
      </c>
      <c r="S121" s="214">
        <f t="shared" si="95"/>
        <v>12</v>
      </c>
      <c r="T121" s="219">
        <f t="shared" si="152"/>
        <v>1.5405833333333334</v>
      </c>
      <c r="U121" s="218">
        <f t="shared" si="153"/>
        <v>2</v>
      </c>
      <c r="V121" s="214">
        <f t="shared" si="154"/>
        <v>0.4825090470446321</v>
      </c>
      <c r="W121" s="214">
        <f t="shared" si="155"/>
        <v>0.51749095295536796</v>
      </c>
      <c r="X121" s="214">
        <f t="shared" si="117"/>
        <v>0</v>
      </c>
      <c r="Y121" s="218">
        <f t="shared" si="170"/>
        <v>3.1928589583333333</v>
      </c>
      <c r="Z121" s="214">
        <f t="shared" si="156"/>
        <v>2.924297254815952</v>
      </c>
      <c r="AA121" s="214">
        <f t="shared" si="119"/>
        <v>4.6550075857413091</v>
      </c>
      <c r="AB121" s="219">
        <f t="shared" si="157"/>
        <v>2.2940605674091481</v>
      </c>
      <c r="AC121" s="218">
        <v>0</v>
      </c>
      <c r="AD121" s="214">
        <f t="shared" si="158"/>
        <v>0.15788141660824745</v>
      </c>
      <c r="AE121" s="219">
        <f t="shared" si="120"/>
        <v>0.15788141660824745</v>
      </c>
      <c r="AF121" s="58">
        <f t="shared" si="159"/>
        <v>0.36974000000000007</v>
      </c>
      <c r="AG121" s="61">
        <f t="shared" si="160"/>
        <v>0.36974000000000007</v>
      </c>
      <c r="AH121" s="58">
        <f t="shared" si="161"/>
        <v>4.5785610816391764E-2</v>
      </c>
      <c r="AI121" s="49">
        <f t="shared" si="162"/>
        <v>8.3464941026280756E-2</v>
      </c>
      <c r="AJ121" s="61">
        <f t="shared" si="121"/>
        <v>0.12925055184267253</v>
      </c>
      <c r="AK121" s="218">
        <f t="shared" si="163"/>
        <v>18.240000000000002</v>
      </c>
      <c r="AL121" s="214">
        <f t="shared" si="108"/>
        <v>48</v>
      </c>
      <c r="AM121" s="219">
        <f t="shared" si="171"/>
        <v>0.38000000000000006</v>
      </c>
      <c r="AN121" s="218">
        <f t="shared" si="172"/>
        <v>2</v>
      </c>
      <c r="AO121" s="214">
        <f t="shared" si="173"/>
        <v>0.51749095295536807</v>
      </c>
      <c r="AP121" s="214">
        <f t="shared" si="174"/>
        <v>0.7343123543123542</v>
      </c>
      <c r="AQ121" s="214">
        <f t="shared" si="175"/>
        <v>0.68165437175197041</v>
      </c>
      <c r="AR121" s="214">
        <f t="shared" si="142"/>
        <v>1.0751395401883395</v>
      </c>
      <c r="AS121" s="219">
        <f t="shared" si="143"/>
        <v>0.54687886342553926</v>
      </c>
      <c r="AT121" s="218"/>
      <c r="AU121" s="214">
        <f t="shared" si="176"/>
        <v>1.7328000000000007E-3</v>
      </c>
      <c r="AV121" s="219">
        <f t="shared" si="144"/>
        <v>1.7328000000000007E-3</v>
      </c>
      <c r="AW121" s="218">
        <f t="shared" si="177"/>
        <v>0.109428</v>
      </c>
      <c r="AX121" s="214">
        <f t="shared" si="178"/>
        <v>0.11400000000000002</v>
      </c>
      <c r="AY121" s="219">
        <f t="shared" si="145"/>
        <v>0.22342800000000002</v>
      </c>
      <c r="AZ121" s="218">
        <f t="shared" si="164"/>
        <v>0.247</v>
      </c>
      <c r="BA121" s="214">
        <f t="shared" si="165"/>
        <v>6.5</v>
      </c>
      <c r="BB121" s="214">
        <f t="shared" si="146"/>
        <v>3.7999999999999999E-2</v>
      </c>
      <c r="BC121" s="61">
        <f t="shared" si="179"/>
        <v>3.7999999999999999E-2</v>
      </c>
      <c r="BD121" s="58">
        <v>0</v>
      </c>
      <c r="BE121" s="49">
        <f t="shared" si="180"/>
        <v>1.7328000000000001E-5</v>
      </c>
      <c r="BF121" s="61">
        <f t="shared" si="147"/>
        <v>1.7328000000000001E-5</v>
      </c>
      <c r="BG121" s="58">
        <f t="shared" si="181"/>
        <v>1.4700399999999999E-2</v>
      </c>
      <c r="BH121" s="49">
        <f t="shared" si="182"/>
        <v>1.1399999999999999E-2</v>
      </c>
      <c r="BI121" s="61">
        <f t="shared" si="183"/>
        <v>2.6100399999999996E-2</v>
      </c>
      <c r="BK121" s="218">
        <f t="shared" si="166"/>
        <v>0</v>
      </c>
      <c r="BL121" s="214">
        <f t="shared" si="112"/>
        <v>0</v>
      </c>
      <c r="BM121" s="214">
        <f t="shared" si="167"/>
        <v>0</v>
      </c>
      <c r="BN121" s="61">
        <f t="shared" si="188"/>
        <v>0</v>
      </c>
      <c r="BO121" s="58">
        <v>0</v>
      </c>
      <c r="BP121" s="49">
        <f t="shared" si="184"/>
        <v>0</v>
      </c>
      <c r="BQ121" s="61">
        <f t="shared" si="148"/>
        <v>0</v>
      </c>
      <c r="BR121" s="58">
        <f t="shared" si="185"/>
        <v>0</v>
      </c>
      <c r="BS121" s="49">
        <f t="shared" si="186"/>
        <v>0</v>
      </c>
      <c r="BT121" s="61">
        <f t="shared" si="149"/>
        <v>0</v>
      </c>
      <c r="BU121" s="58">
        <f t="shared" si="168"/>
        <v>1.0525427773883165E-2</v>
      </c>
      <c r="BV121" s="49">
        <f t="shared" si="115"/>
        <v>2.59875E-2</v>
      </c>
      <c r="BW121" s="61">
        <f t="shared" si="169"/>
        <v>5.4000000000000003E-3</v>
      </c>
      <c r="BX121" s="49">
        <f t="shared" si="139"/>
        <v>0.52763874460824756</v>
      </c>
      <c r="BY121" s="49">
        <f t="shared" si="140"/>
        <v>1.3198034242248031</v>
      </c>
      <c r="BZ121" s="49">
        <f t="shared" si="187"/>
        <v>93.336615727651392</v>
      </c>
    </row>
    <row r="122" spans="17:78" x14ac:dyDescent="0.35">
      <c r="Q122" s="49">
        <v>115</v>
      </c>
      <c r="R122" s="218">
        <f t="shared" si="151"/>
        <v>18.64916666666667</v>
      </c>
      <c r="S122" s="214">
        <f t="shared" si="95"/>
        <v>12</v>
      </c>
      <c r="T122" s="219">
        <f t="shared" si="152"/>
        <v>1.5540972222222225</v>
      </c>
      <c r="U122" s="218">
        <f t="shared" si="153"/>
        <v>2</v>
      </c>
      <c r="V122" s="214">
        <f t="shared" si="154"/>
        <v>0.4825090470446321</v>
      </c>
      <c r="W122" s="214">
        <f t="shared" si="155"/>
        <v>0.51749095295536796</v>
      </c>
      <c r="X122" s="214">
        <f t="shared" si="117"/>
        <v>0</v>
      </c>
      <c r="Y122" s="218">
        <f t="shared" si="170"/>
        <v>3.2208664930555559</v>
      </c>
      <c r="Z122" s="214">
        <f t="shared" si="156"/>
        <v>2.924297254815952</v>
      </c>
      <c r="AA122" s="214">
        <f t="shared" si="119"/>
        <v>4.6830151204635317</v>
      </c>
      <c r="AB122" s="219">
        <f t="shared" si="157"/>
        <v>2.3128744583430141</v>
      </c>
      <c r="AC122" s="218">
        <v>0</v>
      </c>
      <c r="AD122" s="214">
        <f t="shared" si="158"/>
        <v>0.16048164780166474</v>
      </c>
      <c r="AE122" s="219">
        <f t="shared" si="120"/>
        <v>0.16048164780166474</v>
      </c>
      <c r="AF122" s="58">
        <f t="shared" si="159"/>
        <v>0.37298333333333339</v>
      </c>
      <c r="AG122" s="61">
        <f t="shared" si="160"/>
        <v>0.37298333333333339</v>
      </c>
      <c r="AH122" s="58">
        <f t="shared" si="161"/>
        <v>4.6539677862482767E-2</v>
      </c>
      <c r="AI122" s="49">
        <f t="shared" si="162"/>
        <v>8.4197089631774469E-2</v>
      </c>
      <c r="AJ122" s="61">
        <f t="shared" si="121"/>
        <v>0.13073676749425722</v>
      </c>
      <c r="AK122" s="218">
        <f t="shared" si="163"/>
        <v>18.400000000000002</v>
      </c>
      <c r="AL122" s="214">
        <f t="shared" si="108"/>
        <v>48</v>
      </c>
      <c r="AM122" s="219">
        <f t="shared" si="171"/>
        <v>0.38333333333333336</v>
      </c>
      <c r="AN122" s="218">
        <f t="shared" si="172"/>
        <v>2</v>
      </c>
      <c r="AO122" s="214">
        <f t="shared" si="173"/>
        <v>0.51749095295536796</v>
      </c>
      <c r="AP122" s="214">
        <f t="shared" si="174"/>
        <v>0.7407536907536908</v>
      </c>
      <c r="AQ122" s="214">
        <f t="shared" si="175"/>
        <v>0.6816543717519703</v>
      </c>
      <c r="AR122" s="214">
        <f t="shared" si="142"/>
        <v>1.0815808766296759</v>
      </c>
      <c r="AS122" s="219">
        <f t="shared" si="143"/>
        <v>0.5513559449924309</v>
      </c>
      <c r="AT122" s="218"/>
      <c r="AU122" s="214">
        <f t="shared" si="176"/>
        <v>1.7633333333333335E-3</v>
      </c>
      <c r="AV122" s="219">
        <f t="shared" si="144"/>
        <v>1.7633333333333335E-3</v>
      </c>
      <c r="AW122" s="218">
        <f t="shared" si="177"/>
        <v>0.109428</v>
      </c>
      <c r="AX122" s="214">
        <f t="shared" si="178"/>
        <v>0.115</v>
      </c>
      <c r="AY122" s="219">
        <f t="shared" si="145"/>
        <v>0.22442800000000002</v>
      </c>
      <c r="AZ122" s="218">
        <f t="shared" si="164"/>
        <v>0.24916666666666665</v>
      </c>
      <c r="BA122" s="214">
        <f t="shared" si="165"/>
        <v>6.5</v>
      </c>
      <c r="BB122" s="214">
        <f t="shared" si="146"/>
        <v>3.833333333333333E-2</v>
      </c>
      <c r="BC122" s="61">
        <f t="shared" si="179"/>
        <v>3.833333333333333E-2</v>
      </c>
      <c r="BD122" s="58">
        <v>0</v>
      </c>
      <c r="BE122" s="49">
        <f t="shared" si="180"/>
        <v>1.7633333333333333E-5</v>
      </c>
      <c r="BF122" s="61">
        <f t="shared" si="147"/>
        <v>1.7633333333333333E-5</v>
      </c>
      <c r="BG122" s="58">
        <f t="shared" si="181"/>
        <v>1.4700399999999999E-2</v>
      </c>
      <c r="BH122" s="49">
        <f t="shared" si="182"/>
        <v>1.1499999999999998E-2</v>
      </c>
      <c r="BI122" s="61">
        <f t="shared" si="183"/>
        <v>2.6200399999999999E-2</v>
      </c>
      <c r="BK122" s="218">
        <f t="shared" si="166"/>
        <v>0</v>
      </c>
      <c r="BL122" s="214">
        <f t="shared" si="112"/>
        <v>0</v>
      </c>
      <c r="BM122" s="214">
        <f t="shared" si="167"/>
        <v>0</v>
      </c>
      <c r="BN122" s="61">
        <f t="shared" si="188"/>
        <v>0</v>
      </c>
      <c r="BO122" s="58">
        <v>0</v>
      </c>
      <c r="BP122" s="49">
        <f t="shared" si="184"/>
        <v>0</v>
      </c>
      <c r="BQ122" s="61">
        <f t="shared" si="148"/>
        <v>0</v>
      </c>
      <c r="BR122" s="58">
        <f t="shared" si="185"/>
        <v>0</v>
      </c>
      <c r="BS122" s="49">
        <f t="shared" si="186"/>
        <v>0</v>
      </c>
      <c r="BT122" s="61">
        <f t="shared" si="149"/>
        <v>0</v>
      </c>
      <c r="BU122" s="58">
        <f t="shared" si="168"/>
        <v>1.0698776520110982E-2</v>
      </c>
      <c r="BV122" s="49">
        <f t="shared" si="115"/>
        <v>2.59875E-2</v>
      </c>
      <c r="BW122" s="61">
        <f t="shared" si="169"/>
        <v>5.4000000000000003E-3</v>
      </c>
      <c r="BX122" s="49">
        <f t="shared" si="139"/>
        <v>0.53348261446833145</v>
      </c>
      <c r="BY122" s="49">
        <f t="shared" si="140"/>
        <v>1.3316807251493663</v>
      </c>
      <c r="BZ122" s="49">
        <f t="shared" si="187"/>
        <v>93.335213972482421</v>
      </c>
    </row>
    <row r="123" spans="17:78" x14ac:dyDescent="0.35">
      <c r="Q123" s="49">
        <v>116</v>
      </c>
      <c r="R123" s="218">
        <f t="shared" si="151"/>
        <v>18.811333333333334</v>
      </c>
      <c r="S123" s="214">
        <f t="shared" si="95"/>
        <v>12</v>
      </c>
      <c r="T123" s="219">
        <f t="shared" si="152"/>
        <v>1.5676111111111111</v>
      </c>
      <c r="U123" s="218">
        <f t="shared" si="153"/>
        <v>2</v>
      </c>
      <c r="V123" s="214">
        <f t="shared" si="154"/>
        <v>0.4825090470446321</v>
      </c>
      <c r="W123" s="214">
        <f t="shared" si="155"/>
        <v>0.51749095295536796</v>
      </c>
      <c r="X123" s="214">
        <f t="shared" si="117"/>
        <v>0</v>
      </c>
      <c r="Y123" s="218">
        <f t="shared" si="170"/>
        <v>3.2488740277777777</v>
      </c>
      <c r="Z123" s="214">
        <f t="shared" si="156"/>
        <v>2.924297254815952</v>
      </c>
      <c r="AA123" s="214">
        <f t="shared" si="119"/>
        <v>4.7110226551857535</v>
      </c>
      <c r="AB123" s="219">
        <f t="shared" si="157"/>
        <v>2.3316988687637115</v>
      </c>
      <c r="AC123" s="218">
        <v>0</v>
      </c>
      <c r="AD123" s="214">
        <f t="shared" si="158"/>
        <v>0.16310458843781916</v>
      </c>
      <c r="AE123" s="219">
        <f t="shared" si="120"/>
        <v>0.16310458843781916</v>
      </c>
      <c r="AF123" s="58">
        <f t="shared" si="159"/>
        <v>0.37622666666666671</v>
      </c>
      <c r="AG123" s="61">
        <f t="shared" si="160"/>
        <v>0.37622666666666671</v>
      </c>
      <c r="AH123" s="58">
        <f t="shared" si="161"/>
        <v>4.7300330646967551E-2</v>
      </c>
      <c r="AI123" s="49">
        <f t="shared" si="162"/>
        <v>8.492923823726814E-2</v>
      </c>
      <c r="AJ123" s="61">
        <f t="shared" si="121"/>
        <v>0.1322295688842357</v>
      </c>
      <c r="AK123" s="218">
        <f t="shared" si="163"/>
        <v>18.559999999999999</v>
      </c>
      <c r="AL123" s="214">
        <f t="shared" si="108"/>
        <v>48</v>
      </c>
      <c r="AM123" s="219">
        <f t="shared" si="171"/>
        <v>0.38666666666666666</v>
      </c>
      <c r="AN123" s="218">
        <f t="shared" si="172"/>
        <v>2</v>
      </c>
      <c r="AO123" s="214">
        <f t="shared" si="173"/>
        <v>0.51749095295536796</v>
      </c>
      <c r="AP123" s="214">
        <f t="shared" si="174"/>
        <v>0.74719502719502706</v>
      </c>
      <c r="AQ123" s="214">
        <f t="shared" si="175"/>
        <v>0.6816543717519703</v>
      </c>
      <c r="AR123" s="214">
        <f t="shared" si="142"/>
        <v>1.0880222130710122</v>
      </c>
      <c r="AS123" s="219">
        <f t="shared" si="143"/>
        <v>0.55583559362308321</v>
      </c>
      <c r="AT123" s="218"/>
      <c r="AU123" s="214">
        <f t="shared" si="176"/>
        <v>1.7941333333333332E-3</v>
      </c>
      <c r="AV123" s="219">
        <f t="shared" si="144"/>
        <v>1.7941333333333332E-3</v>
      </c>
      <c r="AW123" s="218">
        <f t="shared" si="177"/>
        <v>0.109428</v>
      </c>
      <c r="AX123" s="214">
        <f t="shared" si="178"/>
        <v>0.11599999999999999</v>
      </c>
      <c r="AY123" s="219">
        <f t="shared" si="145"/>
        <v>0.22542799999999999</v>
      </c>
      <c r="AZ123" s="218">
        <f t="shared" si="164"/>
        <v>0.2513333333333333</v>
      </c>
      <c r="BA123" s="214">
        <f t="shared" si="165"/>
        <v>6.5</v>
      </c>
      <c r="BB123" s="214">
        <f t="shared" si="146"/>
        <v>3.8666666666666662E-2</v>
      </c>
      <c r="BC123" s="61">
        <f t="shared" si="179"/>
        <v>3.8666666666666662E-2</v>
      </c>
      <c r="BD123" s="58">
        <v>0</v>
      </c>
      <c r="BE123" s="49">
        <f t="shared" si="180"/>
        <v>1.7941333333333327E-5</v>
      </c>
      <c r="BF123" s="61">
        <f t="shared" si="147"/>
        <v>1.7941333333333327E-5</v>
      </c>
      <c r="BG123" s="58">
        <f t="shared" si="181"/>
        <v>1.4700399999999999E-2</v>
      </c>
      <c r="BH123" s="49">
        <f t="shared" si="182"/>
        <v>1.1599999999999997E-2</v>
      </c>
      <c r="BI123" s="61">
        <f t="shared" si="183"/>
        <v>2.6300399999999995E-2</v>
      </c>
      <c r="BK123" s="218">
        <f t="shared" si="166"/>
        <v>0</v>
      </c>
      <c r="BL123" s="214">
        <f t="shared" si="112"/>
        <v>0</v>
      </c>
      <c r="BM123" s="214">
        <f t="shared" si="167"/>
        <v>0</v>
      </c>
      <c r="BN123" s="61">
        <f t="shared" si="188"/>
        <v>0</v>
      </c>
      <c r="BO123" s="58">
        <v>0</v>
      </c>
      <c r="BP123" s="49">
        <f t="shared" si="184"/>
        <v>0</v>
      </c>
      <c r="BQ123" s="61">
        <f t="shared" si="148"/>
        <v>0</v>
      </c>
      <c r="BR123" s="58">
        <f t="shared" si="185"/>
        <v>0</v>
      </c>
      <c r="BS123" s="49">
        <f t="shared" si="186"/>
        <v>0</v>
      </c>
      <c r="BT123" s="61">
        <f t="shared" si="149"/>
        <v>0</v>
      </c>
      <c r="BU123" s="58">
        <f t="shared" si="168"/>
        <v>1.0873639229187944E-2</v>
      </c>
      <c r="BV123" s="49">
        <f t="shared" si="115"/>
        <v>2.59875E-2</v>
      </c>
      <c r="BW123" s="61">
        <f t="shared" si="169"/>
        <v>5.4000000000000003E-3</v>
      </c>
      <c r="BX123" s="49">
        <f t="shared" si="139"/>
        <v>0.5393491964378192</v>
      </c>
      <c r="BY123" s="49">
        <f t="shared" si="140"/>
        <v>1.3435891045512429</v>
      </c>
      <c r="BZ123" s="49">
        <f t="shared" si="187"/>
        <v>93.333692507663841</v>
      </c>
    </row>
    <row r="124" spans="17:78" x14ac:dyDescent="0.35">
      <c r="Q124" s="49">
        <v>117</v>
      </c>
      <c r="R124" s="218">
        <f t="shared" si="151"/>
        <v>18.973499999999998</v>
      </c>
      <c r="S124" s="214">
        <f t="shared" si="95"/>
        <v>12</v>
      </c>
      <c r="T124" s="219">
        <f t="shared" si="152"/>
        <v>1.5811249999999999</v>
      </c>
      <c r="U124" s="218">
        <f t="shared" si="153"/>
        <v>2</v>
      </c>
      <c r="V124" s="214">
        <f t="shared" si="154"/>
        <v>0.4825090470446321</v>
      </c>
      <c r="W124" s="214">
        <f t="shared" si="155"/>
        <v>0.51749095295536796</v>
      </c>
      <c r="X124" s="214">
        <f t="shared" si="117"/>
        <v>0</v>
      </c>
      <c r="Y124" s="218">
        <f t="shared" si="170"/>
        <v>3.2768815624999994</v>
      </c>
      <c r="Z124" s="214">
        <f t="shared" si="156"/>
        <v>2.924297254815952</v>
      </c>
      <c r="AA124" s="214">
        <f t="shared" si="119"/>
        <v>4.7390301899079752</v>
      </c>
      <c r="AB124" s="219">
        <f t="shared" si="157"/>
        <v>2.3505335459331422</v>
      </c>
      <c r="AC124" s="218">
        <v>0</v>
      </c>
      <c r="AD124" s="214">
        <f t="shared" si="158"/>
        <v>0.16575023851671092</v>
      </c>
      <c r="AE124" s="219">
        <f t="shared" si="120"/>
        <v>0.16575023851671092</v>
      </c>
      <c r="AF124" s="58">
        <f t="shared" si="159"/>
        <v>0.37946999999999997</v>
      </c>
      <c r="AG124" s="61">
        <f t="shared" si="160"/>
        <v>0.37946999999999997</v>
      </c>
      <c r="AH124" s="58">
        <f t="shared" si="161"/>
        <v>4.8067569169846162E-2</v>
      </c>
      <c r="AI124" s="49">
        <f t="shared" si="162"/>
        <v>8.5661386842761811E-2</v>
      </c>
      <c r="AJ124" s="61">
        <f t="shared" si="121"/>
        <v>0.13372895601260798</v>
      </c>
      <c r="AK124" s="218">
        <f t="shared" si="163"/>
        <v>18.72</v>
      </c>
      <c r="AL124" s="214">
        <f t="shared" si="108"/>
        <v>48</v>
      </c>
      <c r="AM124" s="219">
        <f t="shared" si="171"/>
        <v>0.38999999999999996</v>
      </c>
      <c r="AN124" s="218">
        <f t="shared" si="172"/>
        <v>2</v>
      </c>
      <c r="AO124" s="214">
        <f t="shared" si="173"/>
        <v>0.51749095295536796</v>
      </c>
      <c r="AP124" s="214">
        <f t="shared" si="174"/>
        <v>0.75363636363636355</v>
      </c>
      <c r="AQ124" s="214">
        <f t="shared" si="175"/>
        <v>0.6816543717519703</v>
      </c>
      <c r="AR124" s="214">
        <f t="shared" si="142"/>
        <v>1.0944635495123487</v>
      </c>
      <c r="AS124" s="219">
        <f t="shared" si="143"/>
        <v>0.56031774774773702</v>
      </c>
      <c r="AT124" s="218"/>
      <c r="AU124" s="214">
        <f t="shared" si="176"/>
        <v>1.8251999999999995E-3</v>
      </c>
      <c r="AV124" s="219">
        <f t="shared" si="144"/>
        <v>1.8251999999999995E-3</v>
      </c>
      <c r="AW124" s="218">
        <f t="shared" si="177"/>
        <v>0.109428</v>
      </c>
      <c r="AX124" s="214">
        <f t="shared" si="178"/>
        <v>0.11699999999999998</v>
      </c>
      <c r="AY124" s="219">
        <f t="shared" si="145"/>
        <v>0.22642799999999996</v>
      </c>
      <c r="AZ124" s="218">
        <f t="shared" si="164"/>
        <v>0.2535</v>
      </c>
      <c r="BA124" s="214">
        <f t="shared" si="165"/>
        <v>6.5</v>
      </c>
      <c r="BB124" s="214">
        <f t="shared" si="146"/>
        <v>3.9E-2</v>
      </c>
      <c r="BC124" s="61">
        <f t="shared" si="179"/>
        <v>3.9E-2</v>
      </c>
      <c r="BD124" s="58">
        <v>0</v>
      </c>
      <c r="BE124" s="49">
        <f t="shared" si="180"/>
        <v>1.8252000000000001E-5</v>
      </c>
      <c r="BF124" s="61">
        <f t="shared" si="147"/>
        <v>1.8252000000000001E-5</v>
      </c>
      <c r="BG124" s="58">
        <f t="shared" si="181"/>
        <v>1.4700399999999999E-2</v>
      </c>
      <c r="BH124" s="49">
        <f t="shared" si="182"/>
        <v>1.17E-2</v>
      </c>
      <c r="BI124" s="61">
        <f t="shared" si="183"/>
        <v>2.6400399999999997E-2</v>
      </c>
      <c r="BK124" s="218">
        <f t="shared" si="166"/>
        <v>0</v>
      </c>
      <c r="BL124" s="214">
        <f t="shared" si="112"/>
        <v>0</v>
      </c>
      <c r="BM124" s="214">
        <f t="shared" si="167"/>
        <v>0</v>
      </c>
      <c r="BN124" s="61">
        <f t="shared" si="188"/>
        <v>0</v>
      </c>
      <c r="BO124" s="58">
        <v>0</v>
      </c>
      <c r="BP124" s="49">
        <f t="shared" si="184"/>
        <v>0</v>
      </c>
      <c r="BQ124" s="61">
        <f t="shared" si="148"/>
        <v>0</v>
      </c>
      <c r="BR124" s="58">
        <f t="shared" si="185"/>
        <v>0</v>
      </c>
      <c r="BS124" s="49">
        <f t="shared" si="186"/>
        <v>0</v>
      </c>
      <c r="BT124" s="61">
        <f t="shared" si="149"/>
        <v>0</v>
      </c>
      <c r="BU124" s="58">
        <f t="shared" si="168"/>
        <v>1.1050015901114062E-2</v>
      </c>
      <c r="BV124" s="49">
        <f t="shared" si="115"/>
        <v>2.59875E-2</v>
      </c>
      <c r="BW124" s="61">
        <f t="shared" si="169"/>
        <v>5.4000000000000003E-3</v>
      </c>
      <c r="BX124" s="49">
        <f t="shared" si="139"/>
        <v>0.54523849051671092</v>
      </c>
      <c r="BY124" s="49">
        <f t="shared" si="140"/>
        <v>1.355528562430433</v>
      </c>
      <c r="BZ124" s="49">
        <f t="shared" si="187"/>
        <v>93.332054415351891</v>
      </c>
    </row>
    <row r="125" spans="17:78" x14ac:dyDescent="0.35">
      <c r="Q125" s="49">
        <v>118</v>
      </c>
      <c r="R125" s="218">
        <f t="shared" si="151"/>
        <v>19.135666666666665</v>
      </c>
      <c r="S125" s="214">
        <f t="shared" si="95"/>
        <v>12</v>
      </c>
      <c r="T125" s="219">
        <f t="shared" si="152"/>
        <v>1.5946388888888887</v>
      </c>
      <c r="U125" s="218">
        <f t="shared" si="153"/>
        <v>2</v>
      </c>
      <c r="V125" s="214">
        <f t="shared" si="154"/>
        <v>0.4825090470446321</v>
      </c>
      <c r="W125" s="214">
        <f t="shared" si="155"/>
        <v>0.51749095295536796</v>
      </c>
      <c r="X125" s="214">
        <f t="shared" si="117"/>
        <v>0</v>
      </c>
      <c r="Y125" s="218">
        <f t="shared" si="170"/>
        <v>3.304889097222222</v>
      </c>
      <c r="Z125" s="214">
        <f t="shared" si="156"/>
        <v>2.924297254815952</v>
      </c>
      <c r="AA125" s="214">
        <f t="shared" si="119"/>
        <v>4.7670377246301978</v>
      </c>
      <c r="AB125" s="219">
        <f t="shared" si="157"/>
        <v>2.3693782450137983</v>
      </c>
      <c r="AC125" s="218">
        <v>0</v>
      </c>
      <c r="AD125" s="214">
        <f t="shared" si="158"/>
        <v>0.16841859803834</v>
      </c>
      <c r="AE125" s="219">
        <f t="shared" si="120"/>
        <v>0.16841859803834</v>
      </c>
      <c r="AF125" s="58">
        <f t="shared" si="159"/>
        <v>0.38271333333333329</v>
      </c>
      <c r="AG125" s="61">
        <f t="shared" si="160"/>
        <v>0.38271333333333329</v>
      </c>
      <c r="AH125" s="58">
        <f t="shared" si="161"/>
        <v>4.8841393431118596E-2</v>
      </c>
      <c r="AI125" s="49">
        <f t="shared" si="162"/>
        <v>8.6393535448255523E-2</v>
      </c>
      <c r="AJ125" s="61">
        <f t="shared" si="121"/>
        <v>0.13523492887937411</v>
      </c>
      <c r="AK125" s="218">
        <f t="shared" si="163"/>
        <v>18.88</v>
      </c>
      <c r="AL125" s="214">
        <f t="shared" si="108"/>
        <v>48</v>
      </c>
      <c r="AM125" s="219">
        <f t="shared" si="171"/>
        <v>0.39333333333333331</v>
      </c>
      <c r="AN125" s="218">
        <f t="shared" si="172"/>
        <v>2</v>
      </c>
      <c r="AO125" s="214">
        <f t="shared" si="173"/>
        <v>0.51749095295536796</v>
      </c>
      <c r="AP125" s="214">
        <f t="shared" si="174"/>
        <v>0.76007770007770004</v>
      </c>
      <c r="AQ125" s="214">
        <f t="shared" si="175"/>
        <v>0.6816543717519703</v>
      </c>
      <c r="AR125" s="214">
        <f t="shared" si="142"/>
        <v>1.1009048859536852</v>
      </c>
      <c r="AS125" s="219">
        <f t="shared" si="143"/>
        <v>0.5648023477171551</v>
      </c>
      <c r="AT125" s="218"/>
      <c r="AU125" s="214">
        <f t="shared" si="176"/>
        <v>1.8565333333333332E-3</v>
      </c>
      <c r="AV125" s="219">
        <f t="shared" si="144"/>
        <v>1.8565333333333332E-3</v>
      </c>
      <c r="AW125" s="218">
        <f t="shared" si="177"/>
        <v>0.109428</v>
      </c>
      <c r="AX125" s="214">
        <f t="shared" si="178"/>
        <v>0.11799999999999999</v>
      </c>
      <c r="AY125" s="219">
        <f t="shared" si="145"/>
        <v>0.22742799999999999</v>
      </c>
      <c r="AZ125" s="218">
        <f t="shared" si="164"/>
        <v>0.25566666666666665</v>
      </c>
      <c r="BA125" s="214">
        <f t="shared" si="165"/>
        <v>6.5</v>
      </c>
      <c r="BB125" s="214">
        <f t="shared" si="146"/>
        <v>3.9333333333333331E-2</v>
      </c>
      <c r="BC125" s="61">
        <f t="shared" si="179"/>
        <v>3.9333333333333331E-2</v>
      </c>
      <c r="BD125" s="58">
        <v>0</v>
      </c>
      <c r="BE125" s="49">
        <f t="shared" si="180"/>
        <v>1.856533333333333E-5</v>
      </c>
      <c r="BF125" s="61">
        <f t="shared" si="147"/>
        <v>1.856533333333333E-5</v>
      </c>
      <c r="BG125" s="58">
        <f t="shared" si="181"/>
        <v>1.4700399999999999E-2</v>
      </c>
      <c r="BH125" s="49">
        <f t="shared" si="182"/>
        <v>1.18E-2</v>
      </c>
      <c r="BI125" s="61">
        <f t="shared" si="183"/>
        <v>2.65004E-2</v>
      </c>
      <c r="BK125" s="218">
        <f t="shared" si="166"/>
        <v>0</v>
      </c>
      <c r="BL125" s="214">
        <f t="shared" si="112"/>
        <v>0</v>
      </c>
      <c r="BM125" s="214">
        <f t="shared" si="167"/>
        <v>0</v>
      </c>
      <c r="BN125" s="61">
        <f t="shared" si="188"/>
        <v>0</v>
      </c>
      <c r="BO125" s="58">
        <v>0</v>
      </c>
      <c r="BP125" s="49">
        <f t="shared" si="184"/>
        <v>0</v>
      </c>
      <c r="BQ125" s="61">
        <f t="shared" si="148"/>
        <v>0</v>
      </c>
      <c r="BR125" s="58">
        <f t="shared" si="185"/>
        <v>0</v>
      </c>
      <c r="BS125" s="49">
        <f t="shared" si="186"/>
        <v>0</v>
      </c>
      <c r="BT125" s="61">
        <f t="shared" si="149"/>
        <v>0</v>
      </c>
      <c r="BU125" s="58">
        <f t="shared" si="168"/>
        <v>1.1227906535889334E-2</v>
      </c>
      <c r="BV125" s="49">
        <f t="shared" si="115"/>
        <v>2.59875E-2</v>
      </c>
      <c r="BW125" s="61">
        <f t="shared" si="169"/>
        <v>5.4000000000000003E-3</v>
      </c>
      <c r="BX125" s="49">
        <f t="shared" si="139"/>
        <v>0.5511504967050066</v>
      </c>
      <c r="BY125" s="49">
        <f t="shared" si="140"/>
        <v>1.3674990987869367</v>
      </c>
      <c r="BZ125" s="49">
        <f t="shared" si="187"/>
        <v>93.330302674082276</v>
      </c>
    </row>
    <row r="126" spans="17:78" x14ac:dyDescent="0.35">
      <c r="Q126" s="49">
        <v>119</v>
      </c>
      <c r="R126" s="218">
        <f t="shared" si="151"/>
        <v>19.297833333333333</v>
      </c>
      <c r="S126" s="214">
        <f t="shared" si="95"/>
        <v>12</v>
      </c>
      <c r="T126" s="219">
        <f t="shared" si="152"/>
        <v>1.6081527777777778</v>
      </c>
      <c r="U126" s="218">
        <f t="shared" si="153"/>
        <v>2</v>
      </c>
      <c r="V126" s="214">
        <f t="shared" si="154"/>
        <v>0.4825090470446321</v>
      </c>
      <c r="W126" s="214">
        <f t="shared" si="155"/>
        <v>0.51749095295536796</v>
      </c>
      <c r="X126" s="214">
        <f t="shared" si="117"/>
        <v>0</v>
      </c>
      <c r="Y126" s="218">
        <f t="shared" si="170"/>
        <v>3.3328966319444442</v>
      </c>
      <c r="Z126" s="214">
        <f t="shared" si="156"/>
        <v>2.924297254815952</v>
      </c>
      <c r="AA126" s="214">
        <f t="shared" si="119"/>
        <v>4.7950452593524204</v>
      </c>
      <c r="AB126" s="219">
        <f t="shared" si="157"/>
        <v>2.3882327287676297</v>
      </c>
      <c r="AC126" s="218">
        <v>0</v>
      </c>
      <c r="AD126" s="214">
        <f t="shared" si="158"/>
        <v>0.17110966700270636</v>
      </c>
      <c r="AE126" s="219">
        <f t="shared" si="120"/>
        <v>0.17110966700270636</v>
      </c>
      <c r="AF126" s="58">
        <f t="shared" si="159"/>
        <v>0.38595666666666667</v>
      </c>
      <c r="AG126" s="61">
        <f t="shared" si="160"/>
        <v>0.38595666666666667</v>
      </c>
      <c r="AH126" s="58">
        <f t="shared" si="161"/>
        <v>4.9621803430784844E-2</v>
      </c>
      <c r="AI126" s="49">
        <f t="shared" si="162"/>
        <v>8.7125684053749208E-2</v>
      </c>
      <c r="AJ126" s="61">
        <f t="shared" si="121"/>
        <v>0.13674748748453405</v>
      </c>
      <c r="AK126" s="218">
        <f t="shared" si="163"/>
        <v>19.04</v>
      </c>
      <c r="AL126" s="214">
        <f t="shared" si="108"/>
        <v>48</v>
      </c>
      <c r="AM126" s="219">
        <f t="shared" si="171"/>
        <v>0.39666666666666667</v>
      </c>
      <c r="AN126" s="218">
        <f t="shared" si="172"/>
        <v>2</v>
      </c>
      <c r="AO126" s="214">
        <f t="shared" si="173"/>
        <v>0.51749095295536796</v>
      </c>
      <c r="AP126" s="214">
        <f t="shared" si="174"/>
        <v>0.76651903651903641</v>
      </c>
      <c r="AQ126" s="214">
        <f t="shared" si="175"/>
        <v>0.6816543717519703</v>
      </c>
      <c r="AR126" s="214">
        <f t="shared" si="142"/>
        <v>1.1073462223950217</v>
      </c>
      <c r="AS126" s="219">
        <f t="shared" si="143"/>
        <v>0.56928933572961482</v>
      </c>
      <c r="AT126" s="218"/>
      <c r="AU126" s="214">
        <f t="shared" si="176"/>
        <v>1.8881333333333335E-3</v>
      </c>
      <c r="AV126" s="219">
        <f t="shared" si="144"/>
        <v>1.8881333333333335E-3</v>
      </c>
      <c r="AW126" s="218">
        <f t="shared" si="177"/>
        <v>0.109428</v>
      </c>
      <c r="AX126" s="214">
        <f t="shared" si="178"/>
        <v>0.11899999999999999</v>
      </c>
      <c r="AY126" s="219">
        <f t="shared" si="145"/>
        <v>0.22842799999999999</v>
      </c>
      <c r="AZ126" s="218">
        <f t="shared" si="164"/>
        <v>0.2578333333333333</v>
      </c>
      <c r="BA126" s="214">
        <f t="shared" si="165"/>
        <v>6.5</v>
      </c>
      <c r="BB126" s="214">
        <f t="shared" si="146"/>
        <v>3.9666666666666663E-2</v>
      </c>
      <c r="BC126" s="61">
        <f t="shared" si="179"/>
        <v>3.9666666666666663E-2</v>
      </c>
      <c r="BD126" s="58">
        <v>0</v>
      </c>
      <c r="BE126" s="49">
        <f t="shared" si="180"/>
        <v>1.8881333333333332E-5</v>
      </c>
      <c r="BF126" s="61">
        <f t="shared" si="147"/>
        <v>1.8881333333333332E-5</v>
      </c>
      <c r="BG126" s="58">
        <f t="shared" si="181"/>
        <v>1.4700399999999999E-2</v>
      </c>
      <c r="BH126" s="49">
        <f t="shared" si="182"/>
        <v>1.1899999999999999E-2</v>
      </c>
      <c r="BI126" s="61">
        <f t="shared" si="183"/>
        <v>2.6600399999999996E-2</v>
      </c>
      <c r="BK126" s="218">
        <f t="shared" si="166"/>
        <v>0</v>
      </c>
      <c r="BL126" s="214">
        <f t="shared" si="112"/>
        <v>0</v>
      </c>
      <c r="BM126" s="214">
        <f t="shared" si="167"/>
        <v>0</v>
      </c>
      <c r="BN126" s="61">
        <f t="shared" si="188"/>
        <v>0</v>
      </c>
      <c r="BO126" s="58">
        <v>0</v>
      </c>
      <c r="BP126" s="49">
        <f t="shared" si="184"/>
        <v>0</v>
      </c>
      <c r="BQ126" s="61">
        <f t="shared" si="148"/>
        <v>0</v>
      </c>
      <c r="BR126" s="58">
        <f t="shared" si="185"/>
        <v>0</v>
      </c>
      <c r="BS126" s="49">
        <f t="shared" si="186"/>
        <v>0</v>
      </c>
      <c r="BT126" s="61">
        <f t="shared" si="149"/>
        <v>0</v>
      </c>
      <c r="BU126" s="58">
        <f t="shared" si="168"/>
        <v>1.1407311133513759E-2</v>
      </c>
      <c r="BV126" s="49">
        <f t="shared" si="115"/>
        <v>2.59875E-2</v>
      </c>
      <c r="BW126" s="61">
        <f t="shared" si="169"/>
        <v>5.4000000000000003E-3</v>
      </c>
      <c r="BX126" s="49">
        <f t="shared" si="139"/>
        <v>0.55708521500270636</v>
      </c>
      <c r="BY126" s="49">
        <f t="shared" si="140"/>
        <v>1.3795007136207542</v>
      </c>
      <c r="BZ126" s="49">
        <f t="shared" si="187"/>
        <v>93.328440163087834</v>
      </c>
    </row>
    <row r="127" spans="17:78" x14ac:dyDescent="0.35">
      <c r="Q127" s="49">
        <v>120</v>
      </c>
      <c r="R127" s="218">
        <f t="shared" si="151"/>
        <v>19.46</v>
      </c>
      <c r="S127" s="214">
        <f t="shared" si="95"/>
        <v>12</v>
      </c>
      <c r="T127" s="219">
        <f t="shared" si="152"/>
        <v>1.6216666666666668</v>
      </c>
      <c r="U127" s="218">
        <f t="shared" si="153"/>
        <v>2</v>
      </c>
      <c r="V127" s="214">
        <f t="shared" si="154"/>
        <v>0.4825090470446321</v>
      </c>
      <c r="W127" s="214">
        <f t="shared" si="155"/>
        <v>0.51749095295536796</v>
      </c>
      <c r="X127" s="214">
        <f t="shared" si="117"/>
        <v>0</v>
      </c>
      <c r="Y127" s="218">
        <f t="shared" si="170"/>
        <v>3.3609041666666668</v>
      </c>
      <c r="Z127" s="214">
        <f t="shared" si="156"/>
        <v>2.924297254815952</v>
      </c>
      <c r="AA127" s="214">
        <f t="shared" si="119"/>
        <v>4.823052794074643</v>
      </c>
      <c r="AB127" s="219">
        <f t="shared" si="157"/>
        <v>2.4070967672683348</v>
      </c>
      <c r="AC127" s="218">
        <v>0</v>
      </c>
      <c r="AD127" s="214">
        <f t="shared" si="158"/>
        <v>0.17382344540981001</v>
      </c>
      <c r="AE127" s="219">
        <f t="shared" si="120"/>
        <v>0.17382344540981001</v>
      </c>
      <c r="AF127" s="58">
        <f t="shared" si="159"/>
        <v>0.38920000000000005</v>
      </c>
      <c r="AG127" s="61">
        <f t="shared" si="160"/>
        <v>0.38920000000000005</v>
      </c>
      <c r="AH127" s="58">
        <f t="shared" si="161"/>
        <v>5.0408799168844907E-2</v>
      </c>
      <c r="AI127" s="49">
        <f t="shared" si="162"/>
        <v>8.7857832659242893E-2</v>
      </c>
      <c r="AJ127" s="61">
        <f t="shared" si="121"/>
        <v>0.13826663182808779</v>
      </c>
      <c r="AK127" s="218">
        <f t="shared" si="163"/>
        <v>19.2</v>
      </c>
      <c r="AL127" s="214">
        <f t="shared" si="108"/>
        <v>48</v>
      </c>
      <c r="AM127" s="219">
        <f t="shared" si="171"/>
        <v>0.39999999999999997</v>
      </c>
      <c r="AN127" s="218">
        <f t="shared" si="172"/>
        <v>2</v>
      </c>
      <c r="AO127" s="214">
        <f t="shared" si="173"/>
        <v>0.51749095295536796</v>
      </c>
      <c r="AP127" s="214">
        <f t="shared" si="174"/>
        <v>0.7729603729603729</v>
      </c>
      <c r="AQ127" s="214">
        <f t="shared" si="175"/>
        <v>0.6816543717519703</v>
      </c>
      <c r="AR127" s="214">
        <f t="shared" si="142"/>
        <v>1.1137875588363579</v>
      </c>
      <c r="AS127" s="219">
        <f t="shared" si="143"/>
        <v>0.57377865576114284</v>
      </c>
      <c r="AT127" s="218"/>
      <c r="AU127" s="214">
        <f t="shared" si="176"/>
        <v>1.9199999999999998E-3</v>
      </c>
      <c r="AV127" s="219">
        <f t="shared" si="144"/>
        <v>1.9199999999999998E-3</v>
      </c>
      <c r="AW127" s="218">
        <f t="shared" si="177"/>
        <v>0.109428</v>
      </c>
      <c r="AX127" s="214">
        <f t="shared" si="178"/>
        <v>0.11999999999999998</v>
      </c>
      <c r="AY127" s="219">
        <f t="shared" si="145"/>
        <v>0.22942799999999997</v>
      </c>
      <c r="AZ127" s="218">
        <f t="shared" si="164"/>
        <v>0.26</v>
      </c>
      <c r="BA127" s="214">
        <f t="shared" si="165"/>
        <v>6.5</v>
      </c>
      <c r="BB127" s="214">
        <f t="shared" si="146"/>
        <v>0.04</v>
      </c>
      <c r="BC127" s="61">
        <f t="shared" si="179"/>
        <v>0.04</v>
      </c>
      <c r="BD127" s="58">
        <v>0</v>
      </c>
      <c r="BE127" s="49">
        <f t="shared" si="180"/>
        <v>1.9200000000000003E-5</v>
      </c>
      <c r="BF127" s="61">
        <f t="shared" si="147"/>
        <v>1.9200000000000003E-5</v>
      </c>
      <c r="BG127" s="58">
        <f t="shared" si="181"/>
        <v>1.4700399999999999E-2</v>
      </c>
      <c r="BH127" s="49">
        <f t="shared" si="182"/>
        <v>1.2E-2</v>
      </c>
      <c r="BI127" s="61">
        <f t="shared" si="183"/>
        <v>2.6700399999999999E-2</v>
      </c>
      <c r="BK127" s="218">
        <f t="shared" si="166"/>
        <v>0</v>
      </c>
      <c r="BL127" s="214">
        <f t="shared" si="112"/>
        <v>0</v>
      </c>
      <c r="BM127" s="214">
        <f t="shared" si="167"/>
        <v>0</v>
      </c>
      <c r="BN127" s="61">
        <f t="shared" si="188"/>
        <v>0</v>
      </c>
      <c r="BO127" s="58">
        <v>0</v>
      </c>
      <c r="BP127" s="49">
        <f t="shared" si="184"/>
        <v>0</v>
      </c>
      <c r="BQ127" s="61">
        <f t="shared" si="148"/>
        <v>0</v>
      </c>
      <c r="BR127" s="58">
        <f t="shared" si="185"/>
        <v>0</v>
      </c>
      <c r="BS127" s="49">
        <f t="shared" si="186"/>
        <v>0</v>
      </c>
      <c r="BT127" s="61">
        <f t="shared" si="149"/>
        <v>0</v>
      </c>
      <c r="BU127" s="58">
        <f t="shared" si="168"/>
        <v>1.1588229693987335E-2</v>
      </c>
      <c r="BV127" s="49">
        <f t="shared" si="115"/>
        <v>2.59875E-2</v>
      </c>
      <c r="BW127" s="61">
        <f t="shared" si="169"/>
        <v>5.4000000000000003E-3</v>
      </c>
      <c r="BX127" s="49">
        <f t="shared" si="139"/>
        <v>0.56304264540981008</v>
      </c>
      <c r="BY127" s="49">
        <f t="shared" si="140"/>
        <v>1.3915334069318852</v>
      </c>
      <c r="BZ127" s="49">
        <f t="shared" si="187"/>
        <v>93.326469666402161</v>
      </c>
    </row>
    <row r="128" spans="17:78" x14ac:dyDescent="0.35">
      <c r="Q128" s="49">
        <v>121</v>
      </c>
      <c r="R128" s="218">
        <f t="shared" si="151"/>
        <v>19.622166666666665</v>
      </c>
      <c r="S128" s="214">
        <f t="shared" si="95"/>
        <v>12</v>
      </c>
      <c r="T128" s="219">
        <f t="shared" si="152"/>
        <v>1.6351805555555554</v>
      </c>
      <c r="U128" s="218">
        <f t="shared" si="153"/>
        <v>2</v>
      </c>
      <c r="V128" s="214">
        <f t="shared" si="154"/>
        <v>0.4825090470446321</v>
      </c>
      <c r="W128" s="214">
        <f t="shared" si="155"/>
        <v>0.51749095295536796</v>
      </c>
      <c r="X128" s="214">
        <f t="shared" si="117"/>
        <v>0</v>
      </c>
      <c r="Y128" s="218">
        <f t="shared" si="170"/>
        <v>3.3889117013888885</v>
      </c>
      <c r="Z128" s="214">
        <f t="shared" si="156"/>
        <v>2.924297254815952</v>
      </c>
      <c r="AA128" s="214">
        <f t="shared" si="119"/>
        <v>4.8510603287968648</v>
      </c>
      <c r="AB128" s="219">
        <f t="shared" si="157"/>
        <v>2.4259701376263947</v>
      </c>
      <c r="AC128" s="218">
        <v>0</v>
      </c>
      <c r="AD128" s="214">
        <f t="shared" si="158"/>
        <v>0.17655993325965083</v>
      </c>
      <c r="AE128" s="219">
        <f t="shared" si="120"/>
        <v>0.17655993325965083</v>
      </c>
      <c r="AF128" s="58">
        <f t="shared" si="159"/>
        <v>0.39244333333333331</v>
      </c>
      <c r="AG128" s="61">
        <f t="shared" si="160"/>
        <v>0.39244333333333331</v>
      </c>
      <c r="AH128" s="58">
        <f t="shared" si="161"/>
        <v>5.1202380645298737E-2</v>
      </c>
      <c r="AI128" s="49">
        <f t="shared" si="162"/>
        <v>8.8589981264736606E-2</v>
      </c>
      <c r="AJ128" s="61">
        <f t="shared" si="121"/>
        <v>0.13979236191003536</v>
      </c>
      <c r="AK128" s="218">
        <f t="shared" si="163"/>
        <v>19.36</v>
      </c>
      <c r="AL128" s="214">
        <f t="shared" si="108"/>
        <v>48</v>
      </c>
      <c r="AM128" s="219">
        <f t="shared" si="171"/>
        <v>0.40333333333333332</v>
      </c>
      <c r="AN128" s="218">
        <f t="shared" si="172"/>
        <v>2</v>
      </c>
      <c r="AO128" s="214">
        <f t="shared" si="173"/>
        <v>0.51749095295536796</v>
      </c>
      <c r="AP128" s="214">
        <f t="shared" si="174"/>
        <v>0.77940170940170939</v>
      </c>
      <c r="AQ128" s="214">
        <f t="shared" si="175"/>
        <v>0.6816543717519703</v>
      </c>
      <c r="AR128" s="214">
        <f t="shared" si="142"/>
        <v>1.1202288952776946</v>
      </c>
      <c r="AS128" s="219">
        <f t="shared" si="143"/>
        <v>0.57827025349883288</v>
      </c>
      <c r="AT128" s="218"/>
      <c r="AU128" s="214">
        <f t="shared" si="176"/>
        <v>1.9521333333333332E-3</v>
      </c>
      <c r="AV128" s="219">
        <f t="shared" si="144"/>
        <v>1.9521333333333332E-3</v>
      </c>
      <c r="AW128" s="218">
        <f t="shared" si="177"/>
        <v>0.109428</v>
      </c>
      <c r="AX128" s="214">
        <f t="shared" si="178"/>
        <v>0.121</v>
      </c>
      <c r="AY128" s="219">
        <f t="shared" si="145"/>
        <v>0.23042799999999999</v>
      </c>
      <c r="AZ128" s="218">
        <f t="shared" si="164"/>
        <v>0.26216666666666666</v>
      </c>
      <c r="BA128" s="214">
        <f t="shared" si="165"/>
        <v>6.5</v>
      </c>
      <c r="BB128" s="214">
        <f t="shared" si="146"/>
        <v>4.0333333333333332E-2</v>
      </c>
      <c r="BC128" s="61">
        <f t="shared" si="179"/>
        <v>4.0333333333333332E-2</v>
      </c>
      <c r="BD128" s="58">
        <v>0</v>
      </c>
      <c r="BE128" s="49">
        <f t="shared" si="180"/>
        <v>1.9521333333333332E-5</v>
      </c>
      <c r="BF128" s="61">
        <f t="shared" si="147"/>
        <v>1.9521333333333332E-5</v>
      </c>
      <c r="BG128" s="58">
        <f t="shared" si="181"/>
        <v>1.4700399999999999E-2</v>
      </c>
      <c r="BH128" s="49">
        <f t="shared" si="182"/>
        <v>1.21E-2</v>
      </c>
      <c r="BI128" s="61">
        <f t="shared" si="183"/>
        <v>2.6800399999999999E-2</v>
      </c>
      <c r="BK128" s="218">
        <f t="shared" si="166"/>
        <v>0</v>
      </c>
      <c r="BL128" s="214">
        <f t="shared" si="112"/>
        <v>0</v>
      </c>
      <c r="BM128" s="214">
        <f t="shared" si="167"/>
        <v>0</v>
      </c>
      <c r="BN128" s="61">
        <f t="shared" si="188"/>
        <v>0</v>
      </c>
      <c r="BO128" s="58">
        <v>0</v>
      </c>
      <c r="BP128" s="49">
        <f t="shared" si="184"/>
        <v>0</v>
      </c>
      <c r="BQ128" s="61">
        <f t="shared" si="148"/>
        <v>0</v>
      </c>
      <c r="BR128" s="58">
        <f t="shared" si="185"/>
        <v>0</v>
      </c>
      <c r="BS128" s="49">
        <f t="shared" si="186"/>
        <v>0</v>
      </c>
      <c r="BT128" s="61">
        <f t="shared" si="149"/>
        <v>0</v>
      </c>
      <c r="BU128" s="58">
        <f t="shared" si="168"/>
        <v>1.1770662217310057E-2</v>
      </c>
      <c r="BV128" s="49">
        <f t="shared" si="115"/>
        <v>2.59875E-2</v>
      </c>
      <c r="BW128" s="61">
        <f t="shared" si="169"/>
        <v>5.4000000000000003E-3</v>
      </c>
      <c r="BX128" s="49">
        <f t="shared" si="139"/>
        <v>0.56902278792631744</v>
      </c>
      <c r="BY128" s="49">
        <f t="shared" si="140"/>
        <v>1.4035971787203294</v>
      </c>
      <c r="BZ128" s="49">
        <f t="shared" si="187"/>
        <v>93.324393876761462</v>
      </c>
    </row>
    <row r="129" spans="17:78" x14ac:dyDescent="0.35">
      <c r="Q129" s="49">
        <v>122</v>
      </c>
      <c r="R129" s="218">
        <f t="shared" si="151"/>
        <v>19.784333333333333</v>
      </c>
      <c r="S129" s="214">
        <f t="shared" si="95"/>
        <v>12</v>
      </c>
      <c r="T129" s="219">
        <f t="shared" si="152"/>
        <v>1.6486944444444445</v>
      </c>
      <c r="U129" s="218">
        <f t="shared" si="153"/>
        <v>2</v>
      </c>
      <c r="V129" s="214">
        <f t="shared" si="154"/>
        <v>0.4825090470446321</v>
      </c>
      <c r="W129" s="214">
        <f t="shared" si="155"/>
        <v>0.51749095295536796</v>
      </c>
      <c r="X129" s="214">
        <f t="shared" si="117"/>
        <v>0</v>
      </c>
      <c r="Y129" s="218">
        <f t="shared" si="170"/>
        <v>3.4169192361111107</v>
      </c>
      <c r="Z129" s="214">
        <f t="shared" si="156"/>
        <v>2.924297254815952</v>
      </c>
      <c r="AA129" s="214">
        <f t="shared" si="119"/>
        <v>4.8790678635190865</v>
      </c>
      <c r="AB129" s="219">
        <f t="shared" si="157"/>
        <v>2.4448526237262165</v>
      </c>
      <c r="AC129" s="218">
        <v>0</v>
      </c>
      <c r="AD129" s="214">
        <f t="shared" si="158"/>
        <v>0.17931913055222892</v>
      </c>
      <c r="AE129" s="219">
        <f t="shared" si="120"/>
        <v>0.17931913055222892</v>
      </c>
      <c r="AF129" s="58">
        <f t="shared" si="159"/>
        <v>0.39568666666666669</v>
      </c>
      <c r="AG129" s="61">
        <f t="shared" si="160"/>
        <v>0.39568666666666669</v>
      </c>
      <c r="AH129" s="58">
        <f t="shared" si="161"/>
        <v>5.2002547860146388E-2</v>
      </c>
      <c r="AI129" s="49">
        <f t="shared" si="162"/>
        <v>8.9322129870230291E-2</v>
      </c>
      <c r="AJ129" s="61">
        <f t="shared" si="121"/>
        <v>0.14132467773037669</v>
      </c>
      <c r="AK129" s="218">
        <f t="shared" si="163"/>
        <v>19.52</v>
      </c>
      <c r="AL129" s="214">
        <f t="shared" si="108"/>
        <v>48</v>
      </c>
      <c r="AM129" s="219">
        <f t="shared" si="171"/>
        <v>0.40666666666666668</v>
      </c>
      <c r="AN129" s="218">
        <f t="shared" si="172"/>
        <v>2</v>
      </c>
      <c r="AO129" s="214">
        <f t="shared" si="173"/>
        <v>0.51749095295536796</v>
      </c>
      <c r="AP129" s="214">
        <f t="shared" si="174"/>
        <v>0.78584304584304576</v>
      </c>
      <c r="AQ129" s="214">
        <f t="shared" si="175"/>
        <v>0.6816543717519703</v>
      </c>
      <c r="AR129" s="214">
        <f t="shared" si="142"/>
        <v>1.1266702317190309</v>
      </c>
      <c r="AS129" s="219">
        <f t="shared" si="143"/>
        <v>0.58276407627708737</v>
      </c>
      <c r="AT129" s="218"/>
      <c r="AU129" s="214">
        <f t="shared" si="176"/>
        <v>1.9845333333333337E-3</v>
      </c>
      <c r="AV129" s="219">
        <f t="shared" si="144"/>
        <v>1.9845333333333337E-3</v>
      </c>
      <c r="AW129" s="218">
        <f t="shared" si="177"/>
        <v>0.109428</v>
      </c>
      <c r="AX129" s="214">
        <f t="shared" si="178"/>
        <v>0.122</v>
      </c>
      <c r="AY129" s="219">
        <f t="shared" si="145"/>
        <v>0.23142799999999999</v>
      </c>
      <c r="AZ129" s="218">
        <f t="shared" si="164"/>
        <v>0.26433333333333331</v>
      </c>
      <c r="BA129" s="214">
        <f t="shared" si="165"/>
        <v>6.5</v>
      </c>
      <c r="BB129" s="214">
        <f t="shared" si="146"/>
        <v>4.0666666666666663E-2</v>
      </c>
      <c r="BC129" s="61">
        <f t="shared" si="179"/>
        <v>4.0666666666666663E-2</v>
      </c>
      <c r="BD129" s="58">
        <v>0</v>
      </c>
      <c r="BE129" s="49">
        <f t="shared" si="180"/>
        <v>1.9845333333333331E-5</v>
      </c>
      <c r="BF129" s="61">
        <f t="shared" si="147"/>
        <v>1.9845333333333331E-5</v>
      </c>
      <c r="BG129" s="58">
        <f t="shared" si="181"/>
        <v>1.4700399999999999E-2</v>
      </c>
      <c r="BH129" s="49">
        <f t="shared" si="182"/>
        <v>1.2199999999999999E-2</v>
      </c>
      <c r="BI129" s="61">
        <f t="shared" si="183"/>
        <v>2.6900399999999998E-2</v>
      </c>
      <c r="BK129" s="218">
        <f t="shared" si="166"/>
        <v>0</v>
      </c>
      <c r="BL129" s="214">
        <f t="shared" si="112"/>
        <v>0</v>
      </c>
      <c r="BM129" s="214">
        <f t="shared" si="167"/>
        <v>0</v>
      </c>
      <c r="BN129" s="61">
        <f t="shared" si="188"/>
        <v>0</v>
      </c>
      <c r="BO129" s="58">
        <v>0</v>
      </c>
      <c r="BP129" s="49">
        <f t="shared" si="184"/>
        <v>0</v>
      </c>
      <c r="BQ129" s="61">
        <f t="shared" si="148"/>
        <v>0</v>
      </c>
      <c r="BR129" s="58">
        <f t="shared" si="185"/>
        <v>0</v>
      </c>
      <c r="BS129" s="49">
        <f t="shared" si="186"/>
        <v>0</v>
      </c>
      <c r="BT129" s="61">
        <f t="shared" si="149"/>
        <v>0</v>
      </c>
      <c r="BU129" s="58">
        <f t="shared" si="168"/>
        <v>1.1954608703481929E-2</v>
      </c>
      <c r="BV129" s="49">
        <f t="shared" si="115"/>
        <v>2.59875E-2</v>
      </c>
      <c r="BW129" s="61">
        <f t="shared" si="169"/>
        <v>5.4000000000000003E-3</v>
      </c>
      <c r="BX129" s="49">
        <f t="shared" si="139"/>
        <v>0.57502564255222888</v>
      </c>
      <c r="BY129" s="49">
        <f t="shared" si="140"/>
        <v>1.4156920289860877</v>
      </c>
      <c r="BZ129" s="49">
        <f t="shared" si="187"/>
        <v>93.322215399315908</v>
      </c>
    </row>
    <row r="130" spans="17:78" x14ac:dyDescent="0.35">
      <c r="Q130" s="49">
        <v>123</v>
      </c>
      <c r="R130" s="218">
        <f t="shared" si="151"/>
        <v>19.9465</v>
      </c>
      <c r="S130" s="214">
        <f t="shared" si="95"/>
        <v>12</v>
      </c>
      <c r="T130" s="219">
        <f t="shared" si="152"/>
        <v>1.6622083333333333</v>
      </c>
      <c r="U130" s="218">
        <f t="shared" si="153"/>
        <v>2</v>
      </c>
      <c r="V130" s="214">
        <f t="shared" si="154"/>
        <v>0.4825090470446321</v>
      </c>
      <c r="W130" s="214">
        <f t="shared" si="155"/>
        <v>0.51749095295536796</v>
      </c>
      <c r="X130" s="214">
        <f t="shared" si="117"/>
        <v>0</v>
      </c>
      <c r="Y130" s="218">
        <f t="shared" si="170"/>
        <v>3.4449267708333333</v>
      </c>
      <c r="Z130" s="214">
        <f t="shared" si="156"/>
        <v>2.924297254815952</v>
      </c>
      <c r="AA130" s="214">
        <f t="shared" si="119"/>
        <v>4.9070753982413091</v>
      </c>
      <c r="AB130" s="219">
        <f t="shared" si="157"/>
        <v>2.4637440159747679</v>
      </c>
      <c r="AC130" s="218">
        <v>0</v>
      </c>
      <c r="AD130" s="214">
        <f t="shared" si="158"/>
        <v>0.18210103728754432</v>
      </c>
      <c r="AE130" s="219">
        <f t="shared" si="120"/>
        <v>0.18210103728754432</v>
      </c>
      <c r="AF130" s="58">
        <f t="shared" si="159"/>
        <v>0.39893000000000001</v>
      </c>
      <c r="AG130" s="61">
        <f t="shared" si="160"/>
        <v>0.39893000000000001</v>
      </c>
      <c r="AH130" s="58">
        <f t="shared" si="161"/>
        <v>5.2809300813387847E-2</v>
      </c>
      <c r="AI130" s="49">
        <f t="shared" si="162"/>
        <v>9.0054278475723976E-2</v>
      </c>
      <c r="AJ130" s="61">
        <f t="shared" si="121"/>
        <v>0.14286357928911181</v>
      </c>
      <c r="AK130" s="218">
        <f t="shared" si="163"/>
        <v>19.68</v>
      </c>
      <c r="AL130" s="214">
        <f t="shared" si="108"/>
        <v>48</v>
      </c>
      <c r="AM130" s="219">
        <f t="shared" si="171"/>
        <v>0.41</v>
      </c>
      <c r="AN130" s="218">
        <f t="shared" si="172"/>
        <v>2</v>
      </c>
      <c r="AO130" s="214">
        <f t="shared" si="173"/>
        <v>0.51749095295536796</v>
      </c>
      <c r="AP130" s="214">
        <f t="shared" si="174"/>
        <v>0.79228438228438225</v>
      </c>
      <c r="AQ130" s="214">
        <f t="shared" si="175"/>
        <v>0.6816543717519703</v>
      </c>
      <c r="AR130" s="214">
        <f t="shared" si="142"/>
        <v>1.1331115681603674</v>
      </c>
      <c r="AS130" s="219">
        <f t="shared" si="143"/>
        <v>0.58726007301664196</v>
      </c>
      <c r="AT130" s="218"/>
      <c r="AU130" s="214">
        <f t="shared" si="176"/>
        <v>2.0171999999999998E-3</v>
      </c>
      <c r="AV130" s="219">
        <f t="shared" si="144"/>
        <v>2.0171999999999998E-3</v>
      </c>
      <c r="AW130" s="218">
        <f t="shared" si="177"/>
        <v>0.109428</v>
      </c>
      <c r="AX130" s="214">
        <f t="shared" si="178"/>
        <v>0.12299999999999998</v>
      </c>
      <c r="AY130" s="219">
        <f t="shared" si="145"/>
        <v>0.23242799999999997</v>
      </c>
      <c r="AZ130" s="218">
        <f t="shared" si="164"/>
        <v>0.26650000000000001</v>
      </c>
      <c r="BA130" s="214">
        <f t="shared" si="165"/>
        <v>6.5</v>
      </c>
      <c r="BB130" s="214">
        <f t="shared" si="146"/>
        <v>4.1000000000000002E-2</v>
      </c>
      <c r="BC130" s="61">
        <f t="shared" si="179"/>
        <v>4.1000000000000002E-2</v>
      </c>
      <c r="BD130" s="58">
        <v>0</v>
      </c>
      <c r="BE130" s="49">
        <f t="shared" si="180"/>
        <v>2.0172000000000003E-5</v>
      </c>
      <c r="BF130" s="61">
        <f t="shared" si="147"/>
        <v>2.0172000000000003E-5</v>
      </c>
      <c r="BG130" s="58">
        <f t="shared" si="181"/>
        <v>1.4700399999999999E-2</v>
      </c>
      <c r="BH130" s="49">
        <f t="shared" si="182"/>
        <v>1.23E-2</v>
      </c>
      <c r="BI130" s="61">
        <f t="shared" si="183"/>
        <v>2.7000400000000001E-2</v>
      </c>
      <c r="BK130" s="218">
        <f t="shared" si="166"/>
        <v>0</v>
      </c>
      <c r="BL130" s="214">
        <f t="shared" si="112"/>
        <v>0</v>
      </c>
      <c r="BM130" s="214">
        <f t="shared" si="167"/>
        <v>0</v>
      </c>
      <c r="BN130" s="61">
        <f t="shared" si="188"/>
        <v>0</v>
      </c>
      <c r="BO130" s="58">
        <v>0</v>
      </c>
      <c r="BP130" s="49">
        <f t="shared" si="184"/>
        <v>0</v>
      </c>
      <c r="BQ130" s="61">
        <f t="shared" si="148"/>
        <v>0</v>
      </c>
      <c r="BR130" s="58">
        <f t="shared" si="185"/>
        <v>0</v>
      </c>
      <c r="BS130" s="49">
        <f t="shared" si="186"/>
        <v>0</v>
      </c>
      <c r="BT130" s="61">
        <f t="shared" si="149"/>
        <v>0</v>
      </c>
      <c r="BU130" s="58">
        <f t="shared" si="168"/>
        <v>1.2140069152502955E-2</v>
      </c>
      <c r="BV130" s="49">
        <f t="shared" si="115"/>
        <v>2.59875E-2</v>
      </c>
      <c r="BW130" s="61">
        <f t="shared" si="169"/>
        <v>5.4000000000000003E-3</v>
      </c>
      <c r="BX130" s="49">
        <f t="shared" si="139"/>
        <v>0.58105120928754439</v>
      </c>
      <c r="BY130" s="49">
        <f t="shared" si="140"/>
        <v>1.427817957729159</v>
      </c>
      <c r="BZ130" s="49">
        <f t="shared" si="187"/>
        <v>93.319936755161606</v>
      </c>
    </row>
    <row r="131" spans="17:78" x14ac:dyDescent="0.35">
      <c r="Q131" s="49">
        <v>124</v>
      </c>
      <c r="R131" s="218">
        <f t="shared" si="151"/>
        <v>20.108666666666668</v>
      </c>
      <c r="S131" s="214">
        <f t="shared" si="95"/>
        <v>12</v>
      </c>
      <c r="T131" s="219">
        <f t="shared" si="152"/>
        <v>1.6757222222222223</v>
      </c>
      <c r="U131" s="218">
        <f t="shared" si="153"/>
        <v>2</v>
      </c>
      <c r="V131" s="214">
        <f t="shared" si="154"/>
        <v>0.4825090470446321</v>
      </c>
      <c r="W131" s="214">
        <f t="shared" si="155"/>
        <v>0.51749095295536796</v>
      </c>
      <c r="X131" s="214">
        <f t="shared" si="117"/>
        <v>0</v>
      </c>
      <c r="Y131" s="218">
        <f t="shared" si="170"/>
        <v>3.4729343055555555</v>
      </c>
      <c r="Z131" s="214">
        <f t="shared" si="156"/>
        <v>2.924297254815952</v>
      </c>
      <c r="AA131" s="214">
        <f t="shared" si="119"/>
        <v>4.9350829329635317</v>
      </c>
      <c r="AB131" s="219">
        <f t="shared" si="157"/>
        <v>2.4826441110611417</v>
      </c>
      <c r="AC131" s="218">
        <v>0</v>
      </c>
      <c r="AD131" s="214">
        <f t="shared" si="158"/>
        <v>0.18490565346559698</v>
      </c>
      <c r="AE131" s="219">
        <f t="shared" si="120"/>
        <v>0.18490565346559698</v>
      </c>
      <c r="AF131" s="58">
        <f t="shared" si="159"/>
        <v>0.40217333333333338</v>
      </c>
      <c r="AG131" s="61">
        <f t="shared" si="160"/>
        <v>0.40217333333333338</v>
      </c>
      <c r="AH131" s="58">
        <f t="shared" si="161"/>
        <v>5.3622639505023127E-2</v>
      </c>
      <c r="AI131" s="49">
        <f t="shared" si="162"/>
        <v>9.078642708121766E-2</v>
      </c>
      <c r="AJ131" s="61">
        <f t="shared" si="121"/>
        <v>0.14440906658624078</v>
      </c>
      <c r="AK131" s="218">
        <f t="shared" si="163"/>
        <v>19.84</v>
      </c>
      <c r="AL131" s="214">
        <f t="shared" si="108"/>
        <v>48</v>
      </c>
      <c r="AM131" s="219">
        <f t="shared" si="171"/>
        <v>0.41333333333333333</v>
      </c>
      <c r="AN131" s="218">
        <f t="shared" si="172"/>
        <v>2</v>
      </c>
      <c r="AO131" s="214">
        <f t="shared" si="173"/>
        <v>0.51749095295536796</v>
      </c>
      <c r="AP131" s="214">
        <f t="shared" si="174"/>
        <v>0.79872571872571874</v>
      </c>
      <c r="AQ131" s="214">
        <f t="shared" si="175"/>
        <v>0.6816543717519703</v>
      </c>
      <c r="AR131" s="214">
        <f t="shared" si="142"/>
        <v>1.1395529046017039</v>
      </c>
      <c r="AS131" s="219">
        <f t="shared" si="143"/>
        <v>0.59175819416623099</v>
      </c>
      <c r="AT131" s="218"/>
      <c r="AU131" s="214">
        <f t="shared" si="176"/>
        <v>2.0501333333333331E-3</v>
      </c>
      <c r="AV131" s="219">
        <f t="shared" si="144"/>
        <v>2.0501333333333331E-3</v>
      </c>
      <c r="AW131" s="218">
        <f t="shared" si="177"/>
        <v>0.109428</v>
      </c>
      <c r="AX131" s="214">
        <f t="shared" si="178"/>
        <v>0.124</v>
      </c>
      <c r="AY131" s="219">
        <f t="shared" si="145"/>
        <v>0.233428</v>
      </c>
      <c r="AZ131" s="218">
        <f t="shared" si="164"/>
        <v>0.26866666666666666</v>
      </c>
      <c r="BA131" s="214">
        <f t="shared" si="165"/>
        <v>6.5</v>
      </c>
      <c r="BB131" s="214">
        <f t="shared" si="146"/>
        <v>4.1333333333333333E-2</v>
      </c>
      <c r="BC131" s="61">
        <f t="shared" si="179"/>
        <v>4.1333333333333333E-2</v>
      </c>
      <c r="BD131" s="58">
        <v>0</v>
      </c>
      <c r="BE131" s="49">
        <f t="shared" si="180"/>
        <v>2.0501333333333333E-5</v>
      </c>
      <c r="BF131" s="61">
        <f t="shared" si="147"/>
        <v>2.0501333333333333E-5</v>
      </c>
      <c r="BG131" s="58">
        <f t="shared" si="181"/>
        <v>1.4700399999999999E-2</v>
      </c>
      <c r="BH131" s="49">
        <f t="shared" si="182"/>
        <v>1.24E-2</v>
      </c>
      <c r="BI131" s="61">
        <f t="shared" si="183"/>
        <v>2.7100399999999997E-2</v>
      </c>
      <c r="BK131" s="218">
        <f t="shared" si="166"/>
        <v>0</v>
      </c>
      <c r="BL131" s="214">
        <f t="shared" si="112"/>
        <v>0</v>
      </c>
      <c r="BM131" s="214">
        <f t="shared" si="167"/>
        <v>0</v>
      </c>
      <c r="BN131" s="61">
        <f t="shared" si="188"/>
        <v>0</v>
      </c>
      <c r="BO131" s="58">
        <v>0</v>
      </c>
      <c r="BP131" s="49">
        <f t="shared" si="184"/>
        <v>0</v>
      </c>
      <c r="BQ131" s="61">
        <f t="shared" si="148"/>
        <v>0</v>
      </c>
      <c r="BR131" s="58">
        <f t="shared" si="185"/>
        <v>0</v>
      </c>
      <c r="BS131" s="49">
        <f t="shared" si="186"/>
        <v>0</v>
      </c>
      <c r="BT131" s="61">
        <f t="shared" si="149"/>
        <v>0</v>
      </c>
      <c r="BU131" s="58">
        <f t="shared" si="168"/>
        <v>1.2327043564373133E-2</v>
      </c>
      <c r="BV131" s="49">
        <f t="shared" si="115"/>
        <v>2.59875E-2</v>
      </c>
      <c r="BW131" s="61">
        <f t="shared" si="169"/>
        <v>5.4000000000000003E-3</v>
      </c>
      <c r="BX131" s="49">
        <f t="shared" si="139"/>
        <v>0.58709948813226376</v>
      </c>
      <c r="BY131" s="49">
        <f t="shared" si="140"/>
        <v>1.4399749649495441</v>
      </c>
      <c r="BZ131" s="49">
        <f t="shared" si="187"/>
        <v>93.317560384702801</v>
      </c>
    </row>
    <row r="132" spans="17:78" x14ac:dyDescent="0.35">
      <c r="Q132" s="49">
        <v>125</v>
      </c>
      <c r="R132" s="218">
        <f t="shared" si="151"/>
        <v>20.270833333333332</v>
      </c>
      <c r="S132" s="214">
        <f t="shared" si="95"/>
        <v>12</v>
      </c>
      <c r="T132" s="219">
        <f t="shared" si="152"/>
        <v>1.6892361111111109</v>
      </c>
      <c r="U132" s="218">
        <f t="shared" si="153"/>
        <v>2</v>
      </c>
      <c r="V132" s="214">
        <f t="shared" si="154"/>
        <v>0.4825090470446321</v>
      </c>
      <c r="W132" s="214">
        <f t="shared" si="155"/>
        <v>0.51749095295536796</v>
      </c>
      <c r="X132" s="214">
        <f t="shared" si="117"/>
        <v>0</v>
      </c>
      <c r="Y132" s="218">
        <f t="shared" si="170"/>
        <v>3.5009418402777772</v>
      </c>
      <c r="Z132" s="214">
        <f t="shared" si="156"/>
        <v>2.924297254815952</v>
      </c>
      <c r="AA132" s="214">
        <f t="shared" si="119"/>
        <v>4.9630904676857535</v>
      </c>
      <c r="AB132" s="219">
        <f t="shared" si="157"/>
        <v>2.5015527117265051</v>
      </c>
      <c r="AC132" s="218">
        <v>0</v>
      </c>
      <c r="AD132" s="214">
        <f t="shared" si="158"/>
        <v>0.18773297908638692</v>
      </c>
      <c r="AE132" s="219">
        <f t="shared" si="120"/>
        <v>0.18773297908638692</v>
      </c>
      <c r="AF132" s="58">
        <f t="shared" si="159"/>
        <v>0.40541666666666665</v>
      </c>
      <c r="AG132" s="61">
        <f t="shared" si="160"/>
        <v>0.40541666666666665</v>
      </c>
      <c r="AH132" s="58">
        <f t="shared" si="161"/>
        <v>5.4442563935052202E-2</v>
      </c>
      <c r="AI132" s="49">
        <f t="shared" si="162"/>
        <v>9.1518575686711345E-2</v>
      </c>
      <c r="AJ132" s="61">
        <f t="shared" si="121"/>
        <v>0.14596113962176355</v>
      </c>
      <c r="AK132" s="218">
        <f t="shared" si="163"/>
        <v>20</v>
      </c>
      <c r="AL132" s="214">
        <f t="shared" si="108"/>
        <v>48</v>
      </c>
      <c r="AM132" s="219">
        <f t="shared" si="171"/>
        <v>0.41666666666666669</v>
      </c>
      <c r="AN132" s="218">
        <f t="shared" si="172"/>
        <v>2</v>
      </c>
      <c r="AO132" s="214">
        <f t="shared" si="173"/>
        <v>0.51749095295536807</v>
      </c>
      <c r="AP132" s="214">
        <f t="shared" si="174"/>
        <v>0.805167055167055</v>
      </c>
      <c r="AQ132" s="214">
        <f t="shared" si="175"/>
        <v>0.68165437175197041</v>
      </c>
      <c r="AR132" s="214">
        <f t="shared" si="142"/>
        <v>1.1459942410430402</v>
      </c>
      <c r="AS132" s="219">
        <f t="shared" si="143"/>
        <v>0.59625839164676575</v>
      </c>
      <c r="AT132" s="218"/>
      <c r="AU132" s="214">
        <f t="shared" si="176"/>
        <v>2.0833333333333337E-3</v>
      </c>
      <c r="AV132" s="219">
        <f t="shared" si="144"/>
        <v>2.0833333333333337E-3</v>
      </c>
      <c r="AW132" s="218">
        <f t="shared" si="177"/>
        <v>0.109428</v>
      </c>
      <c r="AX132" s="214">
        <f t="shared" si="178"/>
        <v>0.125</v>
      </c>
      <c r="AY132" s="219">
        <f t="shared" si="145"/>
        <v>0.234428</v>
      </c>
      <c r="AZ132" s="218">
        <f t="shared" si="164"/>
        <v>0.27083333333333331</v>
      </c>
      <c r="BA132" s="214">
        <f t="shared" si="165"/>
        <v>6.5</v>
      </c>
      <c r="BB132" s="214">
        <f t="shared" si="146"/>
        <v>4.1666666666666664E-2</v>
      </c>
      <c r="BC132" s="61">
        <f t="shared" si="179"/>
        <v>4.1666666666666664E-2</v>
      </c>
      <c r="BD132" s="58">
        <v>0</v>
      </c>
      <c r="BE132" s="49">
        <f t="shared" si="180"/>
        <v>2.0833333333333333E-5</v>
      </c>
      <c r="BF132" s="61">
        <f t="shared" si="147"/>
        <v>2.0833333333333333E-5</v>
      </c>
      <c r="BG132" s="58">
        <f t="shared" si="181"/>
        <v>1.4700399999999999E-2</v>
      </c>
      <c r="BH132" s="49">
        <f t="shared" si="182"/>
        <v>1.2499999999999999E-2</v>
      </c>
      <c r="BI132" s="61">
        <f t="shared" si="183"/>
        <v>2.72004E-2</v>
      </c>
      <c r="BK132" s="218">
        <f t="shared" si="166"/>
        <v>0</v>
      </c>
      <c r="BL132" s="214">
        <f t="shared" si="112"/>
        <v>0</v>
      </c>
      <c r="BM132" s="214">
        <f t="shared" si="167"/>
        <v>0</v>
      </c>
      <c r="BN132" s="61">
        <f t="shared" si="188"/>
        <v>0</v>
      </c>
      <c r="BO132" s="58">
        <v>0</v>
      </c>
      <c r="BP132" s="49">
        <f t="shared" si="184"/>
        <v>0</v>
      </c>
      <c r="BQ132" s="61">
        <f t="shared" si="148"/>
        <v>0</v>
      </c>
      <c r="BR132" s="58">
        <f t="shared" si="185"/>
        <v>0</v>
      </c>
      <c r="BS132" s="49">
        <f t="shared" si="186"/>
        <v>0</v>
      </c>
      <c r="BT132" s="61">
        <f t="shared" si="149"/>
        <v>0</v>
      </c>
      <c r="BU132" s="58">
        <f t="shared" si="168"/>
        <v>1.2515531939092462E-2</v>
      </c>
      <c r="BV132" s="49">
        <f t="shared" si="115"/>
        <v>2.59875E-2</v>
      </c>
      <c r="BW132" s="61">
        <f t="shared" si="169"/>
        <v>5.4000000000000003E-3</v>
      </c>
      <c r="BX132" s="49">
        <f t="shared" si="139"/>
        <v>0.59317047908638687</v>
      </c>
      <c r="BY132" s="49">
        <f t="shared" si="140"/>
        <v>1.4521630506472429</v>
      </c>
      <c r="BZ132" s="49">
        <f t="shared" si="187"/>
        <v>93.315088650854221</v>
      </c>
    </row>
    <row r="133" spans="17:78" x14ac:dyDescent="0.35">
      <c r="Q133" s="49">
        <v>126</v>
      </c>
      <c r="R133" s="218">
        <f t="shared" si="151"/>
        <v>20.433</v>
      </c>
      <c r="S133" s="214">
        <f t="shared" si="95"/>
        <v>12</v>
      </c>
      <c r="T133" s="219">
        <f t="shared" si="152"/>
        <v>1.70275</v>
      </c>
      <c r="U133" s="218">
        <f t="shared" si="153"/>
        <v>2</v>
      </c>
      <c r="V133" s="214">
        <f t="shared" si="154"/>
        <v>0.4825090470446321</v>
      </c>
      <c r="W133" s="214">
        <f t="shared" si="155"/>
        <v>0.51749095295536796</v>
      </c>
      <c r="X133" s="214">
        <f t="shared" si="117"/>
        <v>0</v>
      </c>
      <c r="Y133" s="218">
        <f t="shared" si="170"/>
        <v>3.5289493749999998</v>
      </c>
      <c r="Z133" s="214">
        <f t="shared" si="156"/>
        <v>2.924297254815952</v>
      </c>
      <c r="AA133" s="214">
        <f t="shared" si="119"/>
        <v>4.9910980024079761</v>
      </c>
      <c r="AB133" s="219">
        <f t="shared" si="157"/>
        <v>2.520469626543925</v>
      </c>
      <c r="AC133" s="218">
        <v>0</v>
      </c>
      <c r="AD133" s="214">
        <f t="shared" si="158"/>
        <v>0.19058301414991419</v>
      </c>
      <c r="AE133" s="219">
        <f t="shared" si="120"/>
        <v>0.19058301414991419</v>
      </c>
      <c r="AF133" s="58">
        <f t="shared" si="159"/>
        <v>0.40866000000000002</v>
      </c>
      <c r="AG133" s="61">
        <f t="shared" si="160"/>
        <v>0.40866000000000002</v>
      </c>
      <c r="AH133" s="58">
        <f t="shared" si="161"/>
        <v>5.5269074103475112E-2</v>
      </c>
      <c r="AI133" s="49">
        <f t="shared" si="162"/>
        <v>9.2250724292205044E-2</v>
      </c>
      <c r="AJ133" s="61">
        <f t="shared" si="121"/>
        <v>0.14751979839568016</v>
      </c>
      <c r="AK133" s="218">
        <f t="shared" si="163"/>
        <v>20.16</v>
      </c>
      <c r="AL133" s="214">
        <f t="shared" si="108"/>
        <v>48</v>
      </c>
      <c r="AM133" s="219">
        <f t="shared" si="171"/>
        <v>0.42</v>
      </c>
      <c r="AN133" s="218">
        <f t="shared" si="172"/>
        <v>2</v>
      </c>
      <c r="AO133" s="214">
        <f t="shared" si="173"/>
        <v>0.51749095295536796</v>
      </c>
      <c r="AP133" s="214">
        <f t="shared" si="174"/>
        <v>0.81160839160839149</v>
      </c>
      <c r="AQ133" s="214">
        <f t="shared" si="175"/>
        <v>0.6816543717519703</v>
      </c>
      <c r="AR133" s="214">
        <f t="shared" si="142"/>
        <v>1.1524355774843766</v>
      </c>
      <c r="AS133" s="219">
        <f t="shared" si="143"/>
        <v>0.60076061879790299</v>
      </c>
      <c r="AT133" s="218"/>
      <c r="AU133" s="214">
        <f t="shared" si="176"/>
        <v>2.1167999999999998E-3</v>
      </c>
      <c r="AV133" s="219">
        <f t="shared" si="144"/>
        <v>2.1167999999999998E-3</v>
      </c>
      <c r="AW133" s="218">
        <f t="shared" si="177"/>
        <v>0.109428</v>
      </c>
      <c r="AX133" s="214">
        <f t="shared" si="178"/>
        <v>0.126</v>
      </c>
      <c r="AY133" s="219">
        <f t="shared" si="145"/>
        <v>0.235428</v>
      </c>
      <c r="AZ133" s="218">
        <f t="shared" si="164"/>
        <v>0.27299999999999996</v>
      </c>
      <c r="BA133" s="214">
        <f t="shared" si="165"/>
        <v>6.5</v>
      </c>
      <c r="BB133" s="214">
        <f t="shared" si="146"/>
        <v>4.1999999999999996E-2</v>
      </c>
      <c r="BC133" s="61">
        <f t="shared" si="179"/>
        <v>4.1999999999999996E-2</v>
      </c>
      <c r="BD133" s="58">
        <v>0</v>
      </c>
      <c r="BE133" s="49">
        <f t="shared" si="180"/>
        <v>2.1167999999999998E-5</v>
      </c>
      <c r="BF133" s="61">
        <f t="shared" si="147"/>
        <v>2.1167999999999998E-5</v>
      </c>
      <c r="BG133" s="58">
        <f t="shared" si="181"/>
        <v>1.4700399999999999E-2</v>
      </c>
      <c r="BH133" s="49">
        <f t="shared" si="182"/>
        <v>1.2599999999999998E-2</v>
      </c>
      <c r="BI133" s="61">
        <f t="shared" si="183"/>
        <v>2.7300399999999996E-2</v>
      </c>
      <c r="BK133" s="218">
        <f t="shared" si="166"/>
        <v>0</v>
      </c>
      <c r="BL133" s="214">
        <f t="shared" si="112"/>
        <v>0</v>
      </c>
      <c r="BM133" s="214">
        <f t="shared" si="167"/>
        <v>0</v>
      </c>
      <c r="BN133" s="61">
        <f t="shared" si="188"/>
        <v>0</v>
      </c>
      <c r="BO133" s="58">
        <v>0</v>
      </c>
      <c r="BP133" s="49">
        <f t="shared" si="184"/>
        <v>0</v>
      </c>
      <c r="BQ133" s="61">
        <f t="shared" si="148"/>
        <v>0</v>
      </c>
      <c r="BR133" s="58">
        <f t="shared" si="185"/>
        <v>0</v>
      </c>
      <c r="BS133" s="49">
        <f t="shared" si="186"/>
        <v>0</v>
      </c>
      <c r="BT133" s="61">
        <f t="shared" si="149"/>
        <v>0</v>
      </c>
      <c r="BU133" s="58">
        <f t="shared" si="168"/>
        <v>1.2705534276660947E-2</v>
      </c>
      <c r="BV133" s="49">
        <f t="shared" si="115"/>
        <v>2.59875E-2</v>
      </c>
      <c r="BW133" s="61">
        <f t="shared" si="169"/>
        <v>5.4000000000000003E-3</v>
      </c>
      <c r="BX133" s="49">
        <f t="shared" si="139"/>
        <v>0.59926418214991417</v>
      </c>
      <c r="BY133" s="49">
        <f t="shared" si="140"/>
        <v>1.4643822148222554</v>
      </c>
      <c r="BZ133" s="49">
        <f t="shared" si="187"/>
        <v>93.312523842091863</v>
      </c>
    </row>
    <row r="134" spans="17:78" x14ac:dyDescent="0.35">
      <c r="Q134" s="49">
        <v>127</v>
      </c>
      <c r="R134" s="218">
        <f t="shared" si="151"/>
        <v>20.595166666666668</v>
      </c>
      <c r="S134" s="214">
        <f t="shared" si="95"/>
        <v>12</v>
      </c>
      <c r="T134" s="219">
        <f t="shared" si="152"/>
        <v>1.716263888888889</v>
      </c>
      <c r="U134" s="218">
        <f t="shared" si="153"/>
        <v>2</v>
      </c>
      <c r="V134" s="214">
        <f t="shared" si="154"/>
        <v>0.4825090470446321</v>
      </c>
      <c r="W134" s="214">
        <f t="shared" si="155"/>
        <v>0.51749095295536796</v>
      </c>
      <c r="X134" s="214">
        <f t="shared" si="117"/>
        <v>0</v>
      </c>
      <c r="Y134" s="218">
        <f t="shared" si="170"/>
        <v>3.556956909722222</v>
      </c>
      <c r="Z134" s="214">
        <f t="shared" si="156"/>
        <v>2.924297254815952</v>
      </c>
      <c r="AA134" s="214">
        <f t="shared" si="119"/>
        <v>5.0191055371301978</v>
      </c>
      <c r="AB134" s="219">
        <f t="shared" si="157"/>
        <v>2.5393946697075829</v>
      </c>
      <c r="AC134" s="218">
        <v>0</v>
      </c>
      <c r="AD134" s="214">
        <f t="shared" si="158"/>
        <v>0.19345575865617851</v>
      </c>
      <c r="AE134" s="219">
        <f t="shared" si="120"/>
        <v>0.19345575865617851</v>
      </c>
      <c r="AF134" s="58">
        <f t="shared" si="159"/>
        <v>0.41190333333333334</v>
      </c>
      <c r="AG134" s="61">
        <f t="shared" si="160"/>
        <v>0.41190333333333334</v>
      </c>
      <c r="AH134" s="58">
        <f t="shared" si="161"/>
        <v>5.6102170010291767E-2</v>
      </c>
      <c r="AI134" s="49">
        <f t="shared" si="162"/>
        <v>9.2982872897698729E-2</v>
      </c>
      <c r="AJ134" s="61">
        <f t="shared" si="121"/>
        <v>0.14908504290799049</v>
      </c>
      <c r="AK134" s="218">
        <f t="shared" si="163"/>
        <v>20.32</v>
      </c>
      <c r="AL134" s="214">
        <f t="shared" si="108"/>
        <v>48</v>
      </c>
      <c r="AM134" s="219">
        <f t="shared" si="171"/>
        <v>0.42333333333333334</v>
      </c>
      <c r="AN134" s="218">
        <f t="shared" si="172"/>
        <v>2</v>
      </c>
      <c r="AO134" s="214">
        <f t="shared" si="173"/>
        <v>0.51749095295536807</v>
      </c>
      <c r="AP134" s="214">
        <f t="shared" si="174"/>
        <v>0.81804972804972786</v>
      </c>
      <c r="AQ134" s="214">
        <f t="shared" si="175"/>
        <v>0.68165437175197041</v>
      </c>
      <c r="AR134" s="214">
        <f t="shared" si="142"/>
        <v>1.1588769139257131</v>
      </c>
      <c r="AS134" s="219">
        <f t="shared" si="143"/>
        <v>0.60526483032688527</v>
      </c>
      <c r="AT134" s="218"/>
      <c r="AU134" s="214">
        <f t="shared" si="176"/>
        <v>2.1505333333333336E-3</v>
      </c>
      <c r="AV134" s="219">
        <f t="shared" si="144"/>
        <v>2.1505333333333336E-3</v>
      </c>
      <c r="AW134" s="218">
        <f t="shared" si="177"/>
        <v>0.109428</v>
      </c>
      <c r="AX134" s="214">
        <f t="shared" si="178"/>
        <v>0.127</v>
      </c>
      <c r="AY134" s="219">
        <f t="shared" si="145"/>
        <v>0.236428</v>
      </c>
      <c r="AZ134" s="218">
        <f t="shared" si="164"/>
        <v>0.27516666666666667</v>
      </c>
      <c r="BA134" s="214">
        <f t="shared" si="165"/>
        <v>6.5</v>
      </c>
      <c r="BB134" s="214">
        <f t="shared" si="146"/>
        <v>4.2333333333333334E-2</v>
      </c>
      <c r="BC134" s="61">
        <f t="shared" si="179"/>
        <v>4.2333333333333334E-2</v>
      </c>
      <c r="BD134" s="58">
        <v>0</v>
      </c>
      <c r="BE134" s="49">
        <f t="shared" si="180"/>
        <v>2.1505333333333332E-5</v>
      </c>
      <c r="BF134" s="61">
        <f t="shared" si="147"/>
        <v>2.1505333333333332E-5</v>
      </c>
      <c r="BG134" s="58">
        <f t="shared" si="181"/>
        <v>1.4700399999999999E-2</v>
      </c>
      <c r="BH134" s="49">
        <f t="shared" si="182"/>
        <v>1.2699999999999999E-2</v>
      </c>
      <c r="BI134" s="61">
        <f t="shared" si="183"/>
        <v>2.7400399999999998E-2</v>
      </c>
      <c r="BK134" s="218">
        <f t="shared" si="166"/>
        <v>0</v>
      </c>
      <c r="BL134" s="214">
        <f t="shared" si="112"/>
        <v>0</v>
      </c>
      <c r="BM134" s="214">
        <f t="shared" si="167"/>
        <v>0</v>
      </c>
      <c r="BN134" s="61">
        <f t="shared" si="188"/>
        <v>0</v>
      </c>
      <c r="BO134" s="58">
        <v>0</v>
      </c>
      <c r="BP134" s="49">
        <f t="shared" si="184"/>
        <v>0</v>
      </c>
      <c r="BQ134" s="61">
        <f t="shared" si="148"/>
        <v>0</v>
      </c>
      <c r="BR134" s="58">
        <f t="shared" si="185"/>
        <v>0</v>
      </c>
      <c r="BS134" s="49">
        <f t="shared" si="186"/>
        <v>0</v>
      </c>
      <c r="BT134" s="61">
        <f t="shared" si="149"/>
        <v>0</v>
      </c>
      <c r="BU134" s="58">
        <f t="shared" si="168"/>
        <v>1.2897050577078569E-2</v>
      </c>
      <c r="BV134" s="49">
        <f t="shared" si="115"/>
        <v>2.59875E-2</v>
      </c>
      <c r="BW134" s="61">
        <f t="shared" si="169"/>
        <v>5.4000000000000003E-3</v>
      </c>
      <c r="BX134" s="49">
        <f t="shared" si="139"/>
        <v>0.60538059732284522</v>
      </c>
      <c r="BY134" s="49">
        <f t="shared" si="140"/>
        <v>1.4766324574745808</v>
      </c>
      <c r="BZ134" s="49">
        <f t="shared" si="187"/>
        <v>93.309868175360933</v>
      </c>
    </row>
    <row r="135" spans="17:78" x14ac:dyDescent="0.35">
      <c r="Q135" s="49">
        <v>128</v>
      </c>
      <c r="R135" s="218">
        <f t="shared" ref="R135:R157" si="189">AK135+AZ135+BK135</f>
        <v>20.757333333333335</v>
      </c>
      <c r="S135" s="214">
        <f t="shared" ref="S135:S157" si="190">VIN_var</f>
        <v>12</v>
      </c>
      <c r="T135" s="219">
        <f t="shared" ref="T135:T157" si="191">(R135)/(S135*EFF_est)</f>
        <v>1.7297777777777779</v>
      </c>
      <c r="U135" s="218">
        <f t="shared" ref="U135:U157" si="192">IF(R135&lt;((((Np/NS1_)*(AL135)/((S135+((Np/NS1_)*(AL135)))))^2)*(S135^2))/(2*Lm*Fsw),1,2)</f>
        <v>2</v>
      </c>
      <c r="V135" s="214">
        <f t="shared" ref="V135:V157" si="193">CHOOSE(U135,SQRT((2*Lm*R135*Fsw)/((S135^2)*EFF_est)),(((Np/NS1_)*(AL135))/(S135+((Np/NS1_)*(AL135)))))</f>
        <v>0.4825090470446321</v>
      </c>
      <c r="W135" s="214">
        <f t="shared" ref="W135:W157" si="194">CHOOSE(U135,(NS1_*S135*V135)/(Np*AL135),1-V135)</f>
        <v>0.51749095295536796</v>
      </c>
      <c r="X135" s="214">
        <f t="shared" si="117"/>
        <v>0</v>
      </c>
      <c r="Y135" s="218">
        <f t="shared" si="170"/>
        <v>3.5849644444444446</v>
      </c>
      <c r="Z135" s="214">
        <f t="shared" ref="Z135:Z157" si="195">(S135*V135)/(Lm*Fsw)</f>
        <v>2.924297254815952</v>
      </c>
      <c r="AA135" s="214">
        <f t="shared" si="119"/>
        <v>5.0471130718524204</v>
      </c>
      <c r="AB135" s="219">
        <f t="shared" ref="AB135:AB157" si="196">CHOOSE(U135,AA135*SQRT(V135/3),SQRT(V135*((AA135^2)+((Z135^2)/(3))-(AA135*Z135))))</f>
        <v>2.5583276608309338</v>
      </c>
      <c r="AC135" s="218">
        <v>0</v>
      </c>
      <c r="AD135" s="214">
        <f t="shared" ref="AD135:AD157" si="197">(AB135^2)*Rdcr</f>
        <v>0.19635121260518032</v>
      </c>
      <c r="AE135" s="219">
        <f t="shared" si="120"/>
        <v>0.19635121260518032</v>
      </c>
      <c r="AF135" s="58">
        <f t="shared" ref="AF135:AF157" si="198">R135*0.02</f>
        <v>0.41514666666666672</v>
      </c>
      <c r="AG135" s="61">
        <f t="shared" ref="AG135:AG157" si="199">R135*0.02</f>
        <v>0.41514666666666672</v>
      </c>
      <c r="AH135" s="58">
        <f t="shared" ref="AH135:AH157" si="200">(AB135^2)*RDS_on</f>
        <v>5.6941851655502286E-2</v>
      </c>
      <c r="AI135" s="49">
        <f t="shared" ref="AI135:AI157" si="201">((Y135*(S135+((Np/NS1_)*VOUT1)))/2)*Fsw*(tr_sw+tf_sw)</f>
        <v>9.3715021503192428E-2</v>
      </c>
      <c r="AJ135" s="61">
        <f t="shared" si="121"/>
        <v>0.15065687315869472</v>
      </c>
      <c r="AK135" s="218">
        <f t="shared" ref="AK135:AK157" si="202">Q135*$B$11</f>
        <v>20.48</v>
      </c>
      <c r="AL135" s="214">
        <f t="shared" ref="AL135:AL157" si="203">VOUT1</f>
        <v>48</v>
      </c>
      <c r="AM135" s="219">
        <f t="shared" si="171"/>
        <v>0.42666666666666669</v>
      </c>
      <c r="AN135" s="218">
        <f t="shared" si="172"/>
        <v>2</v>
      </c>
      <c r="AO135" s="214">
        <f t="shared" si="173"/>
        <v>0.51749095295536796</v>
      </c>
      <c r="AP135" s="214">
        <f t="shared" si="174"/>
        <v>0.82449106449106446</v>
      </c>
      <c r="AQ135" s="214">
        <f t="shared" si="175"/>
        <v>0.6816543717519703</v>
      </c>
      <c r="AR135" s="214">
        <f t="shared" si="142"/>
        <v>1.1653182503670496</v>
      </c>
      <c r="AS135" s="219">
        <f t="shared" si="143"/>
        <v>0.60977098225954407</v>
      </c>
      <c r="AT135" s="218"/>
      <c r="AU135" s="214">
        <f t="shared" si="176"/>
        <v>2.1845333333333338E-3</v>
      </c>
      <c r="AV135" s="219">
        <f t="shared" si="144"/>
        <v>2.1845333333333338E-3</v>
      </c>
      <c r="AW135" s="218">
        <f t="shared" si="177"/>
        <v>0.109428</v>
      </c>
      <c r="AX135" s="214">
        <f t="shared" si="178"/>
        <v>0.128</v>
      </c>
      <c r="AY135" s="219">
        <f t="shared" si="145"/>
        <v>0.237428</v>
      </c>
      <c r="AZ135" s="218">
        <f t="shared" ref="AZ135:AZ157" si="204">IF(EN_OUT_2=1,Q135*$B$15,0)</f>
        <v>0.27733333333333332</v>
      </c>
      <c r="BA135" s="214">
        <f t="shared" ref="BA135:BA157" si="205">IF(EN_OUT_2=1,VOUT2,0)</f>
        <v>6.5</v>
      </c>
      <c r="BB135" s="214">
        <f t="shared" si="146"/>
        <v>4.2666666666666665E-2</v>
      </c>
      <c r="BC135" s="61">
        <f t="shared" si="179"/>
        <v>4.2666666666666665E-2</v>
      </c>
      <c r="BD135" s="58">
        <v>0</v>
      </c>
      <c r="BE135" s="49">
        <f t="shared" si="180"/>
        <v>2.1845333333333332E-5</v>
      </c>
      <c r="BF135" s="61">
        <f t="shared" si="147"/>
        <v>2.1845333333333332E-5</v>
      </c>
      <c r="BG135" s="58">
        <f t="shared" si="181"/>
        <v>1.4700399999999999E-2</v>
      </c>
      <c r="BH135" s="49">
        <f t="shared" si="182"/>
        <v>1.2799999999999999E-2</v>
      </c>
      <c r="BI135" s="61">
        <f t="shared" si="183"/>
        <v>2.7500399999999998E-2</v>
      </c>
      <c r="BK135" s="218">
        <f t="shared" ref="BK135:BK157" si="206">IF(EN_OUT_3=1,Q135*$B$19,0)</f>
        <v>0</v>
      </c>
      <c r="BL135" s="214">
        <f t="shared" ref="BL135:BL157" si="207">IF(EN_OUT_3=1,VOUT3,0)</f>
        <v>0</v>
      </c>
      <c r="BM135" s="214">
        <f t="shared" ref="BM135:BM157" si="208">IF(EN_OUT_3=1,BK135/BL135,0)</f>
        <v>0</v>
      </c>
      <c r="BN135" s="61">
        <f t="shared" si="188"/>
        <v>0</v>
      </c>
      <c r="BO135" s="58">
        <v>0</v>
      </c>
      <c r="BP135" s="49">
        <f t="shared" si="184"/>
        <v>0</v>
      </c>
      <c r="BQ135" s="61">
        <f t="shared" si="148"/>
        <v>0</v>
      </c>
      <c r="BR135" s="58">
        <f t="shared" si="185"/>
        <v>0</v>
      </c>
      <c r="BS135" s="49">
        <f t="shared" si="186"/>
        <v>0</v>
      </c>
      <c r="BT135" s="61">
        <f t="shared" si="149"/>
        <v>0</v>
      </c>
      <c r="BU135" s="58">
        <f t="shared" ref="BU135:BU157" si="209">(AB135^2)*R_cs</f>
        <v>1.3090080840345355E-2</v>
      </c>
      <c r="BV135" s="49">
        <f t="shared" ref="BV135:BV157" si="210">Qg_tot*Vcc*Fsw</f>
        <v>2.59875E-2</v>
      </c>
      <c r="BW135" s="61">
        <f t="shared" ref="BW135:BW157" si="211">IQ*S135</f>
        <v>5.4000000000000003E-3</v>
      </c>
      <c r="BX135" s="49">
        <f t="shared" si="139"/>
        <v>0.61151972460518034</v>
      </c>
      <c r="BY135" s="49">
        <f t="shared" si="140"/>
        <v>1.4889137786042206</v>
      </c>
      <c r="BZ135" s="49">
        <f t="shared" si="187"/>
        <v>93.307123798848508</v>
      </c>
    </row>
    <row r="136" spans="17:78" x14ac:dyDescent="0.35">
      <c r="Q136" s="49">
        <v>129</v>
      </c>
      <c r="R136" s="218">
        <f t="shared" si="189"/>
        <v>20.919499999999999</v>
      </c>
      <c r="S136" s="214">
        <f t="shared" si="190"/>
        <v>12</v>
      </c>
      <c r="T136" s="219">
        <f t="shared" si="191"/>
        <v>1.7432916666666667</v>
      </c>
      <c r="U136" s="218">
        <f t="shared" si="192"/>
        <v>2</v>
      </c>
      <c r="V136" s="214">
        <f t="shared" si="193"/>
        <v>0.4825090470446321</v>
      </c>
      <c r="W136" s="214">
        <f t="shared" si="194"/>
        <v>0.51749095295536796</v>
      </c>
      <c r="X136" s="214">
        <f t="shared" ref="X136:X157" si="212">CHOOSE(U136,1-V136-W136,0)</f>
        <v>0</v>
      </c>
      <c r="Y136" s="218">
        <f t="shared" ref="Y136:Y157" si="213">R136/(S136*EFF_est*V136)</f>
        <v>3.6129719791666663</v>
      </c>
      <c r="Z136" s="214">
        <f t="shared" si="195"/>
        <v>2.924297254815952</v>
      </c>
      <c r="AA136" s="214">
        <f t="shared" ref="AA136:AA156" si="214">Y136+(Z136/2)</f>
        <v>5.0751206065746421</v>
      </c>
      <c r="AB136" s="219">
        <f t="shared" si="196"/>
        <v>2.5772684247533553</v>
      </c>
      <c r="AC136" s="218">
        <v>0</v>
      </c>
      <c r="AD136" s="214">
        <f t="shared" si="197"/>
        <v>0.19926937599691924</v>
      </c>
      <c r="AE136" s="219">
        <f t="shared" ref="AE136:AE157" si="215">AC136+AD136</f>
        <v>0.19926937599691924</v>
      </c>
      <c r="AF136" s="58">
        <f t="shared" si="198"/>
        <v>0.41838999999999998</v>
      </c>
      <c r="AG136" s="61">
        <f t="shared" si="199"/>
        <v>0.41838999999999998</v>
      </c>
      <c r="AH136" s="58">
        <f t="shared" si="200"/>
        <v>5.7788119039106578E-2</v>
      </c>
      <c r="AI136" s="49">
        <f t="shared" si="201"/>
        <v>9.4447170108686126E-2</v>
      </c>
      <c r="AJ136" s="61">
        <f t="shared" ref="AJ136:AJ157" si="216">AH136+AI136</f>
        <v>0.15223528914779272</v>
      </c>
      <c r="AK136" s="218">
        <f t="shared" si="202"/>
        <v>20.64</v>
      </c>
      <c r="AL136" s="214">
        <f t="shared" si="203"/>
        <v>48</v>
      </c>
      <c r="AM136" s="219">
        <f t="shared" ref="AM136:AM157" si="217">AK136/AL136</f>
        <v>0.43</v>
      </c>
      <c r="AN136" s="218">
        <f t="shared" ref="AN136:AN157" si="218">IF(((AL136*AO136)/(Fsw*$AO$2))/2&gt;AP136,1,2)</f>
        <v>2</v>
      </c>
      <c r="AO136" s="214">
        <f t="shared" ref="AO136:AO157" si="219">AM136/AP136</f>
        <v>0.51749095295536784</v>
      </c>
      <c r="AP136" s="214">
        <f t="shared" ref="AP136:AP157" si="220">Np*$Y136*AK136/(R136*NS1_)</f>
        <v>0.83093240093240095</v>
      </c>
      <c r="AQ136" s="214">
        <f t="shared" ref="AQ136:AQ157" si="221">(AL136*AO136)/(Fsw*$AO$2)</f>
        <v>0.68165437175197008</v>
      </c>
      <c r="AR136" s="214">
        <f t="shared" si="142"/>
        <v>1.1717595868083861</v>
      </c>
      <c r="AS136" s="219">
        <f t="shared" si="143"/>
        <v>0.61427903189336308</v>
      </c>
      <c r="AT136" s="218"/>
      <c r="AU136" s="214">
        <f t="shared" ref="AU136:AU157" si="222">(AM136^2)*Rdcr1</f>
        <v>2.2187999999999999E-3</v>
      </c>
      <c r="AV136" s="219">
        <f t="shared" si="144"/>
        <v>2.2187999999999999E-3</v>
      </c>
      <c r="AW136" s="218">
        <f t="shared" ref="AW136:AW157" si="223">(VOUT1+((NS1_/Np)*S136))*QRR1_*Fsw</f>
        <v>0.109428</v>
      </c>
      <c r="AX136" s="214">
        <f t="shared" ref="AX136:AX157" si="224">AM136*VD1_</f>
        <v>0.129</v>
      </c>
      <c r="AY136" s="219">
        <f t="shared" si="145"/>
        <v>0.238428</v>
      </c>
      <c r="AZ136" s="218">
        <f t="shared" si="204"/>
        <v>0.27949999999999997</v>
      </c>
      <c r="BA136" s="214">
        <f t="shared" si="205"/>
        <v>6.5</v>
      </c>
      <c r="BB136" s="214">
        <f t="shared" si="146"/>
        <v>4.2999999999999997E-2</v>
      </c>
      <c r="BC136" s="61">
        <f t="shared" ref="BC136:BC157" si="225">IF(EN_OUT_2=1,AZ136/BA136,0)</f>
        <v>4.2999999999999997E-2</v>
      </c>
      <c r="BD136" s="58">
        <v>0</v>
      </c>
      <c r="BE136" s="49">
        <f t="shared" ref="BE136:BE157" si="226">(BB136^2)*Rdcr2</f>
        <v>2.2187999999999998E-5</v>
      </c>
      <c r="BF136" s="61">
        <f t="shared" si="147"/>
        <v>2.2187999999999998E-5</v>
      </c>
      <c r="BG136" s="58">
        <f t="shared" ref="BG136:BG157" si="227">(VOUT2+((NS2_/Np)*S136))*QRR2_*Fsw</f>
        <v>1.4700399999999999E-2</v>
      </c>
      <c r="BH136" s="49">
        <f t="shared" ref="BH136:BH157" si="228">BB136*VD2_</f>
        <v>1.2899999999999998E-2</v>
      </c>
      <c r="BI136" s="61">
        <f t="shared" ref="BI136:BI157" si="229">BH136+BG136</f>
        <v>2.7600399999999997E-2</v>
      </c>
      <c r="BK136" s="218">
        <f t="shared" si="206"/>
        <v>0</v>
      </c>
      <c r="BL136" s="214">
        <f t="shared" si="207"/>
        <v>0</v>
      </c>
      <c r="BM136" s="214">
        <f t="shared" si="208"/>
        <v>0</v>
      </c>
      <c r="BN136" s="61">
        <f t="shared" si="188"/>
        <v>0</v>
      </c>
      <c r="BO136" s="58">
        <v>0</v>
      </c>
      <c r="BP136" s="49">
        <f t="shared" ref="BP136:BP157" si="230">(BM136^2)*Rdcr3</f>
        <v>0</v>
      </c>
      <c r="BQ136" s="61">
        <f t="shared" si="148"/>
        <v>0</v>
      </c>
      <c r="BR136" s="58">
        <f t="shared" ref="BR136:BR157" si="231">(VOUT3+((NS3_/Np)*S136))*QRR3_*Fsw</f>
        <v>0</v>
      </c>
      <c r="BS136" s="49">
        <f t="shared" ref="BS136:BS157" si="232">BM136*VD3_</f>
        <v>0</v>
      </c>
      <c r="BT136" s="61">
        <f t="shared" si="149"/>
        <v>0</v>
      </c>
      <c r="BU136" s="58">
        <f t="shared" si="209"/>
        <v>1.3284625066461284E-2</v>
      </c>
      <c r="BV136" s="49">
        <f t="shared" si="210"/>
        <v>2.59875E-2</v>
      </c>
      <c r="BW136" s="61">
        <f t="shared" si="211"/>
        <v>5.4000000000000003E-3</v>
      </c>
      <c r="BX136" s="49">
        <f t="shared" ref="BX136:BX157" si="233">BF136+BQ136+AE136+AG136</f>
        <v>0.6176815639969192</v>
      </c>
      <c r="BY136" s="49">
        <f t="shared" ref="BY136:BY157" si="234">BW136+BV136+BU136+BT136+BQ136+BI136+BF136++AY136+AV136+AJ136+AF136+AE136+AG136</f>
        <v>1.5012261782111733</v>
      </c>
      <c r="BZ136" s="49">
        <f t="shared" ref="BZ136:BZ157" si="235">(R136/(R136+BY136))*100</f>
        <v>93.304292794628168</v>
      </c>
    </row>
    <row r="137" spans="17:78" x14ac:dyDescent="0.35">
      <c r="Q137" s="49">
        <v>130</v>
      </c>
      <c r="R137" s="218">
        <f t="shared" si="189"/>
        <v>21.081666666666667</v>
      </c>
      <c r="S137" s="214">
        <f t="shared" si="190"/>
        <v>12</v>
      </c>
      <c r="T137" s="219">
        <f t="shared" si="191"/>
        <v>1.7568055555555555</v>
      </c>
      <c r="U137" s="218">
        <f t="shared" si="192"/>
        <v>2</v>
      </c>
      <c r="V137" s="214">
        <f t="shared" si="193"/>
        <v>0.4825090470446321</v>
      </c>
      <c r="W137" s="214">
        <f t="shared" si="194"/>
        <v>0.51749095295536796</v>
      </c>
      <c r="X137" s="214">
        <f t="shared" si="212"/>
        <v>0</v>
      </c>
      <c r="Y137" s="218">
        <f t="shared" si="213"/>
        <v>3.6409795138888885</v>
      </c>
      <c r="Z137" s="214">
        <f t="shared" si="195"/>
        <v>2.924297254815952</v>
      </c>
      <c r="AA137" s="214">
        <f t="shared" si="214"/>
        <v>5.1031281412968648</v>
      </c>
      <c r="AB137" s="219">
        <f t="shared" si="196"/>
        <v>2.5962167913549101</v>
      </c>
      <c r="AC137" s="218">
        <v>0</v>
      </c>
      <c r="AD137" s="214">
        <f t="shared" si="197"/>
        <v>0.20221024883139554</v>
      </c>
      <c r="AE137" s="219">
        <f t="shared" si="215"/>
        <v>0.20221024883139554</v>
      </c>
      <c r="AF137" s="58">
        <f t="shared" si="198"/>
        <v>0.42163333333333336</v>
      </c>
      <c r="AG137" s="61">
        <f t="shared" si="199"/>
        <v>0.42163333333333336</v>
      </c>
      <c r="AH137" s="58">
        <f t="shared" si="200"/>
        <v>5.8640972161104706E-2</v>
      </c>
      <c r="AI137" s="49">
        <f t="shared" si="201"/>
        <v>9.5179318714179811E-2</v>
      </c>
      <c r="AJ137" s="61">
        <f t="shared" si="216"/>
        <v>0.15382029087528451</v>
      </c>
      <c r="AK137" s="218">
        <f t="shared" si="202"/>
        <v>20.8</v>
      </c>
      <c r="AL137" s="214">
        <f t="shared" si="203"/>
        <v>48</v>
      </c>
      <c r="AM137" s="219">
        <f t="shared" si="217"/>
        <v>0.43333333333333335</v>
      </c>
      <c r="AN137" s="218">
        <f t="shared" si="218"/>
        <v>2</v>
      </c>
      <c r="AO137" s="214">
        <f t="shared" si="219"/>
        <v>0.51749095295536784</v>
      </c>
      <c r="AP137" s="214">
        <f t="shared" si="220"/>
        <v>0.83737373737373744</v>
      </c>
      <c r="AQ137" s="214">
        <f t="shared" si="221"/>
        <v>0.68165437175197008</v>
      </c>
      <c r="AR137" s="214">
        <f t="shared" ref="AR137:AR157" si="236">AP137+(AQ137/2)</f>
        <v>1.1782009232497224</v>
      </c>
      <c r="AS137" s="219">
        <f t="shared" ref="AS137:AS157" si="237">CHOOSE(AN137,AR137*SQRT(AO137/3),SQRT(AO137*((AR137^2)+((AQ137^2)/(3))-(AQ137*AR137))))</f>
        <v>0.61878893775250032</v>
      </c>
      <c r="AT137" s="218"/>
      <c r="AU137" s="214">
        <f t="shared" si="222"/>
        <v>2.2533333333333338E-3</v>
      </c>
      <c r="AV137" s="219">
        <f t="shared" ref="AV137:AV157" si="238">AT137+AU137</f>
        <v>2.2533333333333338E-3</v>
      </c>
      <c r="AW137" s="218">
        <f t="shared" si="223"/>
        <v>0.109428</v>
      </c>
      <c r="AX137" s="214">
        <f t="shared" si="224"/>
        <v>0.13</v>
      </c>
      <c r="AY137" s="219">
        <f t="shared" ref="AY137:AY157" si="239">AW137+AX137</f>
        <v>0.239428</v>
      </c>
      <c r="AZ137" s="218">
        <f t="shared" si="204"/>
        <v>0.28166666666666668</v>
      </c>
      <c r="BA137" s="214">
        <f t="shared" si="205"/>
        <v>6.5</v>
      </c>
      <c r="BB137" s="214">
        <f t="shared" ref="BB137:BB157" si="240">IF(EN_OUT_2=1,AZ137/BA137,0)</f>
        <v>4.3333333333333335E-2</v>
      </c>
      <c r="BC137" s="61">
        <f t="shared" si="225"/>
        <v>4.3333333333333335E-2</v>
      </c>
      <c r="BD137" s="58">
        <v>0</v>
      </c>
      <c r="BE137" s="49">
        <f t="shared" si="226"/>
        <v>2.2533333333333337E-5</v>
      </c>
      <c r="BF137" s="61">
        <f t="shared" ref="BF137:BF157" si="241">BD137+BE137</f>
        <v>2.2533333333333337E-5</v>
      </c>
      <c r="BG137" s="58">
        <f t="shared" si="227"/>
        <v>1.4700399999999999E-2</v>
      </c>
      <c r="BH137" s="49">
        <f t="shared" si="228"/>
        <v>1.2999999999999999E-2</v>
      </c>
      <c r="BI137" s="61">
        <f t="shared" si="229"/>
        <v>2.77004E-2</v>
      </c>
      <c r="BK137" s="218">
        <f t="shared" si="206"/>
        <v>0</v>
      </c>
      <c r="BL137" s="214">
        <f t="shared" si="207"/>
        <v>0</v>
      </c>
      <c r="BM137" s="214">
        <f t="shared" si="208"/>
        <v>0</v>
      </c>
      <c r="BN137" s="61">
        <f t="shared" si="188"/>
        <v>0</v>
      </c>
      <c r="BO137" s="58">
        <v>0</v>
      </c>
      <c r="BP137" s="49">
        <f t="shared" si="230"/>
        <v>0</v>
      </c>
      <c r="BQ137" s="61">
        <f t="shared" ref="BQ137:BQ157" si="242">BO137+BP137</f>
        <v>0</v>
      </c>
      <c r="BR137" s="58">
        <f t="shared" si="231"/>
        <v>0</v>
      </c>
      <c r="BS137" s="49">
        <f t="shared" si="232"/>
        <v>0</v>
      </c>
      <c r="BT137" s="61">
        <f t="shared" ref="BT137:BT157" si="243">BS137+BR137</f>
        <v>0</v>
      </c>
      <c r="BU137" s="58">
        <f t="shared" si="209"/>
        <v>1.3480683255426371E-2</v>
      </c>
      <c r="BV137" s="49">
        <f t="shared" si="210"/>
        <v>2.59875E-2</v>
      </c>
      <c r="BW137" s="61">
        <f t="shared" si="211"/>
        <v>5.4000000000000003E-3</v>
      </c>
      <c r="BX137" s="49">
        <f t="shared" si="233"/>
        <v>0.62386611549806226</v>
      </c>
      <c r="BY137" s="49">
        <f t="shared" si="234"/>
        <v>1.5135696562954397</v>
      </c>
      <c r="BZ137" s="49">
        <f t="shared" si="235"/>
        <v>93.301377181183554</v>
      </c>
    </row>
    <row r="138" spans="17:78" x14ac:dyDescent="0.35">
      <c r="Q138" s="49">
        <v>131</v>
      </c>
      <c r="R138" s="218">
        <f t="shared" si="189"/>
        <v>21.243833333333335</v>
      </c>
      <c r="S138" s="214">
        <f t="shared" si="190"/>
        <v>12</v>
      </c>
      <c r="T138" s="219">
        <f t="shared" si="191"/>
        <v>1.7703194444444446</v>
      </c>
      <c r="U138" s="218">
        <f t="shared" si="192"/>
        <v>2</v>
      </c>
      <c r="V138" s="214">
        <f t="shared" si="193"/>
        <v>0.4825090470446321</v>
      </c>
      <c r="W138" s="214">
        <f t="shared" si="194"/>
        <v>0.51749095295536796</v>
      </c>
      <c r="X138" s="214">
        <f t="shared" si="212"/>
        <v>0</v>
      </c>
      <c r="Y138" s="218">
        <f t="shared" si="213"/>
        <v>3.6689870486111111</v>
      </c>
      <c r="Z138" s="214">
        <f t="shared" si="195"/>
        <v>2.924297254815952</v>
      </c>
      <c r="AA138" s="214">
        <f t="shared" si="214"/>
        <v>5.1311356760190874</v>
      </c>
      <c r="AB138" s="219">
        <f t="shared" si="196"/>
        <v>2.6151725953788034</v>
      </c>
      <c r="AC138" s="218">
        <v>0</v>
      </c>
      <c r="AD138" s="214">
        <f t="shared" si="197"/>
        <v>0.20517383110860918</v>
      </c>
      <c r="AE138" s="219">
        <f t="shared" si="215"/>
        <v>0.20517383110860918</v>
      </c>
      <c r="AF138" s="58">
        <f t="shared" si="198"/>
        <v>0.42487666666666668</v>
      </c>
      <c r="AG138" s="61">
        <f t="shared" si="199"/>
        <v>0.42487666666666668</v>
      </c>
      <c r="AH138" s="58">
        <f t="shared" si="200"/>
        <v>5.9500411021496662E-2</v>
      </c>
      <c r="AI138" s="49">
        <f t="shared" si="201"/>
        <v>9.5911467319673496E-2</v>
      </c>
      <c r="AJ138" s="61">
        <f t="shared" si="216"/>
        <v>0.15541187834117015</v>
      </c>
      <c r="AK138" s="218">
        <f t="shared" si="202"/>
        <v>20.96</v>
      </c>
      <c r="AL138" s="214">
        <f t="shared" si="203"/>
        <v>48</v>
      </c>
      <c r="AM138" s="219">
        <f t="shared" si="217"/>
        <v>0.4366666666666667</v>
      </c>
      <c r="AN138" s="218">
        <f t="shared" si="218"/>
        <v>2</v>
      </c>
      <c r="AO138" s="214">
        <f t="shared" si="219"/>
        <v>0.51749095295536796</v>
      </c>
      <c r="AP138" s="214">
        <f t="shared" si="220"/>
        <v>0.84381507381507381</v>
      </c>
      <c r="AQ138" s="214">
        <f t="shared" si="221"/>
        <v>0.6816543717519703</v>
      </c>
      <c r="AR138" s="214">
        <f t="shared" si="236"/>
        <v>1.1846422596910591</v>
      </c>
      <c r="AS138" s="219">
        <f t="shared" si="237"/>
        <v>0.62330065954467795</v>
      </c>
      <c r="AT138" s="218"/>
      <c r="AU138" s="214">
        <f t="shared" si="222"/>
        <v>2.2881333333333339E-3</v>
      </c>
      <c r="AV138" s="219">
        <f t="shared" si="238"/>
        <v>2.2881333333333339E-3</v>
      </c>
      <c r="AW138" s="218">
        <f t="shared" si="223"/>
        <v>0.109428</v>
      </c>
      <c r="AX138" s="214">
        <f t="shared" si="224"/>
        <v>0.13100000000000001</v>
      </c>
      <c r="AY138" s="219">
        <f t="shared" si="239"/>
        <v>0.240428</v>
      </c>
      <c r="AZ138" s="218">
        <f t="shared" si="204"/>
        <v>0.28383333333333333</v>
      </c>
      <c r="BA138" s="214">
        <f t="shared" si="205"/>
        <v>6.5</v>
      </c>
      <c r="BB138" s="214">
        <f t="shared" si="240"/>
        <v>4.3666666666666666E-2</v>
      </c>
      <c r="BC138" s="61">
        <f t="shared" si="225"/>
        <v>4.3666666666666666E-2</v>
      </c>
      <c r="BD138" s="58">
        <v>0</v>
      </c>
      <c r="BE138" s="49">
        <f t="shared" si="226"/>
        <v>2.2881333333333331E-5</v>
      </c>
      <c r="BF138" s="61">
        <f t="shared" si="241"/>
        <v>2.2881333333333331E-5</v>
      </c>
      <c r="BG138" s="58">
        <f t="shared" si="227"/>
        <v>1.4700399999999999E-2</v>
      </c>
      <c r="BH138" s="49">
        <f t="shared" si="228"/>
        <v>1.3099999999999999E-2</v>
      </c>
      <c r="BI138" s="61">
        <f t="shared" si="229"/>
        <v>2.7800399999999996E-2</v>
      </c>
      <c r="BK138" s="218">
        <f t="shared" si="206"/>
        <v>0</v>
      </c>
      <c r="BL138" s="214">
        <f t="shared" si="207"/>
        <v>0</v>
      </c>
      <c r="BM138" s="214">
        <f t="shared" si="208"/>
        <v>0</v>
      </c>
      <c r="BN138" s="61">
        <f t="shared" si="188"/>
        <v>0</v>
      </c>
      <c r="BO138" s="58">
        <v>0</v>
      </c>
      <c r="BP138" s="49">
        <f t="shared" si="230"/>
        <v>0</v>
      </c>
      <c r="BQ138" s="61">
        <f t="shared" si="242"/>
        <v>0</v>
      </c>
      <c r="BR138" s="58">
        <f t="shared" si="231"/>
        <v>0</v>
      </c>
      <c r="BS138" s="49">
        <f t="shared" si="232"/>
        <v>0</v>
      </c>
      <c r="BT138" s="61">
        <f t="shared" si="243"/>
        <v>0</v>
      </c>
      <c r="BU138" s="58">
        <f t="shared" si="209"/>
        <v>1.3678255407240613E-2</v>
      </c>
      <c r="BV138" s="49">
        <f t="shared" si="210"/>
        <v>2.59875E-2</v>
      </c>
      <c r="BW138" s="61">
        <f t="shared" si="211"/>
        <v>5.4000000000000003E-3</v>
      </c>
      <c r="BX138" s="49">
        <f t="shared" si="233"/>
        <v>0.63007337910860917</v>
      </c>
      <c r="BY138" s="49">
        <f t="shared" si="234"/>
        <v>1.52594421285702</v>
      </c>
      <c r="BZ138" s="49">
        <f t="shared" si="235"/>
        <v>93.298378915817167</v>
      </c>
    </row>
    <row r="139" spans="17:78" x14ac:dyDescent="0.35">
      <c r="Q139" s="49">
        <v>132</v>
      </c>
      <c r="R139" s="218">
        <f t="shared" si="189"/>
        <v>21.406000000000002</v>
      </c>
      <c r="S139" s="214">
        <f t="shared" si="190"/>
        <v>12</v>
      </c>
      <c r="T139" s="219">
        <f t="shared" si="191"/>
        <v>1.7838333333333336</v>
      </c>
      <c r="U139" s="218">
        <f t="shared" si="192"/>
        <v>2</v>
      </c>
      <c r="V139" s="214">
        <f t="shared" si="193"/>
        <v>0.4825090470446321</v>
      </c>
      <c r="W139" s="214">
        <f t="shared" si="194"/>
        <v>0.51749095295536796</v>
      </c>
      <c r="X139" s="214">
        <f t="shared" si="212"/>
        <v>0</v>
      </c>
      <c r="Y139" s="218">
        <f t="shared" si="213"/>
        <v>3.6969945833333333</v>
      </c>
      <c r="Z139" s="214">
        <f t="shared" si="195"/>
        <v>2.924297254815952</v>
      </c>
      <c r="AA139" s="214">
        <f t="shared" si="214"/>
        <v>5.1591432107413091</v>
      </c>
      <c r="AB139" s="219">
        <f t="shared" si="196"/>
        <v>2.6341356762611903</v>
      </c>
      <c r="AC139" s="218">
        <v>0</v>
      </c>
      <c r="AD139" s="214">
        <f t="shared" si="197"/>
        <v>0.20816012282855995</v>
      </c>
      <c r="AE139" s="219">
        <f t="shared" si="215"/>
        <v>0.20816012282855995</v>
      </c>
      <c r="AF139" s="58">
        <f t="shared" si="198"/>
        <v>0.42812000000000006</v>
      </c>
      <c r="AG139" s="61">
        <f t="shared" si="199"/>
        <v>0.42812000000000006</v>
      </c>
      <c r="AH139" s="58">
        <f t="shared" si="200"/>
        <v>6.0366435620282384E-2</v>
      </c>
      <c r="AI139" s="49">
        <f t="shared" si="201"/>
        <v>9.6643615925167181E-2</v>
      </c>
      <c r="AJ139" s="61">
        <f t="shared" si="216"/>
        <v>0.15701005154544956</v>
      </c>
      <c r="AK139" s="218">
        <f t="shared" si="202"/>
        <v>21.12</v>
      </c>
      <c r="AL139" s="214">
        <f t="shared" si="203"/>
        <v>48</v>
      </c>
      <c r="AM139" s="219">
        <f t="shared" si="217"/>
        <v>0.44</v>
      </c>
      <c r="AN139" s="218">
        <f t="shared" si="218"/>
        <v>2</v>
      </c>
      <c r="AO139" s="214">
        <f t="shared" si="219"/>
        <v>0.51749095295536796</v>
      </c>
      <c r="AP139" s="214">
        <f t="shared" si="220"/>
        <v>0.85025641025641019</v>
      </c>
      <c r="AQ139" s="214">
        <f t="shared" si="221"/>
        <v>0.6816543717519703</v>
      </c>
      <c r="AR139" s="214">
        <f t="shared" si="236"/>
        <v>1.1910835961323953</v>
      </c>
      <c r="AS139" s="219">
        <f t="shared" si="237"/>
        <v>0.62781415811984953</v>
      </c>
      <c r="AT139" s="218"/>
      <c r="AU139" s="214">
        <f t="shared" si="222"/>
        <v>2.3232000000000001E-3</v>
      </c>
      <c r="AV139" s="219">
        <f t="shared" si="238"/>
        <v>2.3232000000000001E-3</v>
      </c>
      <c r="AW139" s="218">
        <f t="shared" si="223"/>
        <v>0.109428</v>
      </c>
      <c r="AX139" s="214">
        <f t="shared" si="224"/>
        <v>0.13200000000000001</v>
      </c>
      <c r="AY139" s="219">
        <f t="shared" si="239"/>
        <v>0.241428</v>
      </c>
      <c r="AZ139" s="218">
        <f t="shared" si="204"/>
        <v>0.28599999999999998</v>
      </c>
      <c r="BA139" s="214">
        <f t="shared" si="205"/>
        <v>6.5</v>
      </c>
      <c r="BB139" s="214">
        <f t="shared" si="240"/>
        <v>4.3999999999999997E-2</v>
      </c>
      <c r="BC139" s="61">
        <f t="shared" si="225"/>
        <v>4.3999999999999997E-2</v>
      </c>
      <c r="BD139" s="58">
        <v>0</v>
      </c>
      <c r="BE139" s="49">
        <f t="shared" si="226"/>
        <v>2.3231999999999997E-5</v>
      </c>
      <c r="BF139" s="61">
        <f t="shared" si="241"/>
        <v>2.3231999999999997E-5</v>
      </c>
      <c r="BG139" s="58">
        <f t="shared" si="227"/>
        <v>1.4700399999999999E-2</v>
      </c>
      <c r="BH139" s="49">
        <f t="shared" si="228"/>
        <v>1.3199999999999998E-2</v>
      </c>
      <c r="BI139" s="61">
        <f t="shared" si="229"/>
        <v>2.7900399999999999E-2</v>
      </c>
      <c r="BK139" s="218">
        <f t="shared" si="206"/>
        <v>0</v>
      </c>
      <c r="BL139" s="214">
        <f t="shared" si="207"/>
        <v>0</v>
      </c>
      <c r="BM139" s="214">
        <f t="shared" si="208"/>
        <v>0</v>
      </c>
      <c r="BN139" s="61">
        <f t="shared" si="188"/>
        <v>0</v>
      </c>
      <c r="BO139" s="58">
        <v>0</v>
      </c>
      <c r="BP139" s="49">
        <f t="shared" si="230"/>
        <v>0</v>
      </c>
      <c r="BQ139" s="61">
        <f t="shared" si="242"/>
        <v>0</v>
      </c>
      <c r="BR139" s="58">
        <f t="shared" si="231"/>
        <v>0</v>
      </c>
      <c r="BS139" s="49">
        <f t="shared" si="232"/>
        <v>0</v>
      </c>
      <c r="BT139" s="61">
        <f t="shared" si="243"/>
        <v>0</v>
      </c>
      <c r="BU139" s="58">
        <f t="shared" si="209"/>
        <v>1.3877341521903997E-2</v>
      </c>
      <c r="BV139" s="49">
        <f t="shared" si="210"/>
        <v>2.59875E-2</v>
      </c>
      <c r="BW139" s="61">
        <f t="shared" si="211"/>
        <v>5.4000000000000003E-3</v>
      </c>
      <c r="BX139" s="49">
        <f t="shared" si="233"/>
        <v>0.63630335482856004</v>
      </c>
      <c r="BY139" s="49">
        <f t="shared" si="234"/>
        <v>1.5383498478959137</v>
      </c>
      <c r="BZ139" s="49">
        <f t="shared" si="235"/>
        <v>93.29529989695051</v>
      </c>
    </row>
    <row r="140" spans="17:78" x14ac:dyDescent="0.35">
      <c r="Q140" s="49">
        <v>133</v>
      </c>
      <c r="R140" s="218">
        <f t="shared" si="189"/>
        <v>21.568166666666666</v>
      </c>
      <c r="S140" s="214">
        <f t="shared" si="190"/>
        <v>12</v>
      </c>
      <c r="T140" s="219">
        <f t="shared" si="191"/>
        <v>1.7973472222222222</v>
      </c>
      <c r="U140" s="218">
        <f t="shared" si="192"/>
        <v>2</v>
      </c>
      <c r="V140" s="214">
        <f t="shared" si="193"/>
        <v>0.4825090470446321</v>
      </c>
      <c r="W140" s="214">
        <f t="shared" si="194"/>
        <v>0.51749095295536796</v>
      </c>
      <c r="X140" s="214">
        <f t="shared" si="212"/>
        <v>0</v>
      </c>
      <c r="Y140" s="218">
        <f t="shared" si="213"/>
        <v>3.7250021180555555</v>
      </c>
      <c r="Z140" s="214">
        <f t="shared" si="195"/>
        <v>2.924297254815952</v>
      </c>
      <c r="AA140" s="214">
        <f t="shared" si="214"/>
        <v>5.1871507454635317</v>
      </c>
      <c r="AB140" s="219">
        <f t="shared" si="196"/>
        <v>2.6531058779679841</v>
      </c>
      <c r="AC140" s="218">
        <v>0</v>
      </c>
      <c r="AD140" s="214">
        <f t="shared" si="197"/>
        <v>0.21116912399124801</v>
      </c>
      <c r="AE140" s="219">
        <f t="shared" si="215"/>
        <v>0.21116912399124801</v>
      </c>
      <c r="AF140" s="58">
        <f t="shared" si="198"/>
        <v>0.43136333333333332</v>
      </c>
      <c r="AG140" s="61">
        <f t="shared" si="199"/>
        <v>0.43136333333333332</v>
      </c>
      <c r="AH140" s="58">
        <f t="shared" si="200"/>
        <v>6.1239045957461921E-2</v>
      </c>
      <c r="AI140" s="49">
        <f t="shared" si="201"/>
        <v>9.7375764530660894E-2</v>
      </c>
      <c r="AJ140" s="61">
        <f t="shared" si="216"/>
        <v>0.15861481048812281</v>
      </c>
      <c r="AK140" s="218">
        <f t="shared" si="202"/>
        <v>21.28</v>
      </c>
      <c r="AL140" s="214">
        <f t="shared" si="203"/>
        <v>48</v>
      </c>
      <c r="AM140" s="219">
        <f t="shared" si="217"/>
        <v>0.44333333333333336</v>
      </c>
      <c r="AN140" s="218">
        <f t="shared" si="218"/>
        <v>2</v>
      </c>
      <c r="AO140" s="214">
        <f t="shared" si="219"/>
        <v>0.51749095295536796</v>
      </c>
      <c r="AP140" s="214">
        <f t="shared" si="220"/>
        <v>0.85669774669774668</v>
      </c>
      <c r="AQ140" s="214">
        <f t="shared" si="221"/>
        <v>0.6816543717519703</v>
      </c>
      <c r="AR140" s="214">
        <f t="shared" si="236"/>
        <v>1.1975249325737318</v>
      </c>
      <c r="AS140" s="219">
        <f t="shared" si="237"/>
        <v>0.63232939543056399</v>
      </c>
      <c r="AT140" s="218"/>
      <c r="AU140" s="214">
        <f t="shared" si="222"/>
        <v>2.3585333333333335E-3</v>
      </c>
      <c r="AV140" s="219">
        <f t="shared" si="238"/>
        <v>2.3585333333333335E-3</v>
      </c>
      <c r="AW140" s="218">
        <f t="shared" si="223"/>
        <v>0.109428</v>
      </c>
      <c r="AX140" s="214">
        <f t="shared" si="224"/>
        <v>0.13300000000000001</v>
      </c>
      <c r="AY140" s="219">
        <f t="shared" si="239"/>
        <v>0.242428</v>
      </c>
      <c r="AZ140" s="218">
        <f t="shared" si="204"/>
        <v>0.28816666666666663</v>
      </c>
      <c r="BA140" s="214">
        <f t="shared" si="205"/>
        <v>6.5</v>
      </c>
      <c r="BB140" s="214">
        <f t="shared" si="240"/>
        <v>4.4333333333333329E-2</v>
      </c>
      <c r="BC140" s="61">
        <f t="shared" si="225"/>
        <v>4.4333333333333329E-2</v>
      </c>
      <c r="BD140" s="58">
        <v>0</v>
      </c>
      <c r="BE140" s="49">
        <f t="shared" si="226"/>
        <v>2.3585333333333329E-5</v>
      </c>
      <c r="BF140" s="61">
        <f t="shared" si="241"/>
        <v>2.3585333333333329E-5</v>
      </c>
      <c r="BG140" s="58">
        <f t="shared" si="227"/>
        <v>1.4700399999999999E-2</v>
      </c>
      <c r="BH140" s="49">
        <f t="shared" si="228"/>
        <v>1.3299999999999998E-2</v>
      </c>
      <c r="BI140" s="61">
        <f t="shared" si="229"/>
        <v>2.8000399999999995E-2</v>
      </c>
      <c r="BK140" s="218">
        <f t="shared" si="206"/>
        <v>0</v>
      </c>
      <c r="BL140" s="214">
        <f t="shared" si="207"/>
        <v>0</v>
      </c>
      <c r="BM140" s="214">
        <f t="shared" si="208"/>
        <v>0</v>
      </c>
      <c r="BN140" s="61">
        <f t="shared" si="188"/>
        <v>0</v>
      </c>
      <c r="BO140" s="58">
        <v>0</v>
      </c>
      <c r="BP140" s="49">
        <f t="shared" si="230"/>
        <v>0</v>
      </c>
      <c r="BQ140" s="61">
        <f t="shared" si="242"/>
        <v>0</v>
      </c>
      <c r="BR140" s="58">
        <f t="shared" si="231"/>
        <v>0</v>
      </c>
      <c r="BS140" s="49">
        <f t="shared" si="232"/>
        <v>0</v>
      </c>
      <c r="BT140" s="61">
        <f t="shared" si="243"/>
        <v>0</v>
      </c>
      <c r="BU140" s="58">
        <f t="shared" si="209"/>
        <v>1.4077941599416536E-2</v>
      </c>
      <c r="BV140" s="49">
        <f t="shared" si="210"/>
        <v>2.59875E-2</v>
      </c>
      <c r="BW140" s="61">
        <f t="shared" si="211"/>
        <v>5.4000000000000003E-3</v>
      </c>
      <c r="BX140" s="49">
        <f t="shared" si="233"/>
        <v>0.64255604265791466</v>
      </c>
      <c r="BY140" s="49">
        <f t="shared" si="234"/>
        <v>1.5507865614121208</v>
      </c>
      <c r="BZ140" s="49">
        <f t="shared" si="235"/>
        <v>93.292141966321225</v>
      </c>
    </row>
    <row r="141" spans="17:78" x14ac:dyDescent="0.35">
      <c r="Q141" s="49">
        <v>134</v>
      </c>
      <c r="R141" s="218">
        <f t="shared" si="189"/>
        <v>21.730333333333334</v>
      </c>
      <c r="S141" s="214">
        <f t="shared" si="190"/>
        <v>12</v>
      </c>
      <c r="T141" s="219">
        <f t="shared" si="191"/>
        <v>1.8108611111111113</v>
      </c>
      <c r="U141" s="218">
        <f t="shared" si="192"/>
        <v>2</v>
      </c>
      <c r="V141" s="214">
        <f t="shared" si="193"/>
        <v>0.4825090470446321</v>
      </c>
      <c r="W141" s="214">
        <f t="shared" si="194"/>
        <v>0.51749095295536796</v>
      </c>
      <c r="X141" s="214">
        <f t="shared" si="212"/>
        <v>0</v>
      </c>
      <c r="Y141" s="218">
        <f t="shared" si="213"/>
        <v>3.7530096527777776</v>
      </c>
      <c r="Z141" s="214">
        <f t="shared" si="195"/>
        <v>2.924297254815952</v>
      </c>
      <c r="AA141" s="214">
        <f t="shared" si="214"/>
        <v>5.2151582801857534</v>
      </c>
      <c r="AB141" s="219">
        <f t="shared" si="196"/>
        <v>2.6720830488383238</v>
      </c>
      <c r="AC141" s="218">
        <v>0</v>
      </c>
      <c r="AD141" s="214">
        <f t="shared" si="197"/>
        <v>0.21420083459667336</v>
      </c>
      <c r="AE141" s="219">
        <f t="shared" si="215"/>
        <v>0.21420083459667336</v>
      </c>
      <c r="AF141" s="58">
        <f t="shared" si="198"/>
        <v>0.4346066666666667</v>
      </c>
      <c r="AG141" s="61">
        <f t="shared" si="199"/>
        <v>0.4346066666666667</v>
      </c>
      <c r="AH141" s="58">
        <f t="shared" si="200"/>
        <v>6.2118242033035273E-2</v>
      </c>
      <c r="AI141" s="49">
        <f t="shared" si="201"/>
        <v>9.8107913136154579E-2</v>
      </c>
      <c r="AJ141" s="61">
        <f t="shared" si="216"/>
        <v>0.16022615516918987</v>
      </c>
      <c r="AK141" s="218">
        <f t="shared" si="202"/>
        <v>21.44</v>
      </c>
      <c r="AL141" s="214">
        <f t="shared" si="203"/>
        <v>48</v>
      </c>
      <c r="AM141" s="219">
        <f t="shared" si="217"/>
        <v>0.44666666666666671</v>
      </c>
      <c r="AN141" s="218">
        <f t="shared" si="218"/>
        <v>2</v>
      </c>
      <c r="AO141" s="214">
        <f t="shared" si="219"/>
        <v>0.51749095295536796</v>
      </c>
      <c r="AP141" s="214">
        <f t="shared" si="220"/>
        <v>0.86313908313908316</v>
      </c>
      <c r="AQ141" s="214">
        <f t="shared" si="221"/>
        <v>0.6816543717519703</v>
      </c>
      <c r="AR141" s="214">
        <f t="shared" si="236"/>
        <v>1.2039662690150683</v>
      </c>
      <c r="AS141" s="219">
        <f t="shared" si="237"/>
        <v>0.63684633449394379</v>
      </c>
      <c r="AT141" s="218"/>
      <c r="AU141" s="214">
        <f t="shared" si="222"/>
        <v>2.3941333333333337E-3</v>
      </c>
      <c r="AV141" s="219">
        <f t="shared" si="238"/>
        <v>2.3941333333333337E-3</v>
      </c>
      <c r="AW141" s="218">
        <f t="shared" si="223"/>
        <v>0.109428</v>
      </c>
      <c r="AX141" s="214">
        <f t="shared" si="224"/>
        <v>0.13400000000000001</v>
      </c>
      <c r="AY141" s="219">
        <f t="shared" si="239"/>
        <v>0.24342800000000001</v>
      </c>
      <c r="AZ141" s="218">
        <f t="shared" si="204"/>
        <v>0.29033333333333333</v>
      </c>
      <c r="BA141" s="214">
        <f t="shared" si="205"/>
        <v>6.5</v>
      </c>
      <c r="BB141" s="214">
        <f t="shared" si="240"/>
        <v>4.4666666666666667E-2</v>
      </c>
      <c r="BC141" s="61">
        <f t="shared" si="225"/>
        <v>4.4666666666666667E-2</v>
      </c>
      <c r="BD141" s="58">
        <v>0</v>
      </c>
      <c r="BE141" s="49">
        <f t="shared" si="226"/>
        <v>2.3941333333333334E-5</v>
      </c>
      <c r="BF141" s="61">
        <f t="shared" si="241"/>
        <v>2.3941333333333334E-5</v>
      </c>
      <c r="BG141" s="58">
        <f t="shared" si="227"/>
        <v>1.4700399999999999E-2</v>
      </c>
      <c r="BH141" s="49">
        <f t="shared" si="228"/>
        <v>1.34E-2</v>
      </c>
      <c r="BI141" s="61">
        <f t="shared" si="229"/>
        <v>2.8100399999999998E-2</v>
      </c>
      <c r="BK141" s="218">
        <f t="shared" si="206"/>
        <v>0</v>
      </c>
      <c r="BL141" s="214">
        <f t="shared" si="207"/>
        <v>0</v>
      </c>
      <c r="BM141" s="214">
        <f t="shared" si="208"/>
        <v>0</v>
      </c>
      <c r="BN141" s="61">
        <f t="shared" si="188"/>
        <v>0</v>
      </c>
      <c r="BO141" s="58">
        <v>0</v>
      </c>
      <c r="BP141" s="49">
        <f t="shared" si="230"/>
        <v>0</v>
      </c>
      <c r="BQ141" s="61">
        <f t="shared" si="242"/>
        <v>0</v>
      </c>
      <c r="BR141" s="58">
        <f t="shared" si="231"/>
        <v>0</v>
      </c>
      <c r="BS141" s="49">
        <f t="shared" si="232"/>
        <v>0</v>
      </c>
      <c r="BT141" s="61">
        <f t="shared" si="243"/>
        <v>0</v>
      </c>
      <c r="BU141" s="58">
        <f t="shared" si="209"/>
        <v>1.4280055639778225E-2</v>
      </c>
      <c r="BV141" s="49">
        <f t="shared" si="210"/>
        <v>2.59875E-2</v>
      </c>
      <c r="BW141" s="61">
        <f t="shared" si="211"/>
        <v>5.4000000000000003E-3</v>
      </c>
      <c r="BX141" s="49">
        <f t="shared" si="233"/>
        <v>0.64883144259667336</v>
      </c>
      <c r="BY141" s="49">
        <f t="shared" si="234"/>
        <v>1.5632543534056413</v>
      </c>
      <c r="BZ141" s="49">
        <f t="shared" si="235"/>
        <v>93.288906911082663</v>
      </c>
    </row>
    <row r="142" spans="17:78" x14ac:dyDescent="0.35">
      <c r="Q142" s="49">
        <v>135</v>
      </c>
      <c r="R142" s="218">
        <f t="shared" si="189"/>
        <v>21.892500000000002</v>
      </c>
      <c r="S142" s="214">
        <f t="shared" si="190"/>
        <v>12</v>
      </c>
      <c r="T142" s="219">
        <f t="shared" si="191"/>
        <v>1.8243750000000001</v>
      </c>
      <c r="U142" s="218">
        <f t="shared" si="192"/>
        <v>2</v>
      </c>
      <c r="V142" s="214">
        <f t="shared" si="193"/>
        <v>0.4825090470446321</v>
      </c>
      <c r="W142" s="214">
        <f t="shared" si="194"/>
        <v>0.51749095295536796</v>
      </c>
      <c r="X142" s="214">
        <f t="shared" si="212"/>
        <v>0</v>
      </c>
      <c r="Y142" s="218">
        <f t="shared" si="213"/>
        <v>3.7810171875000003</v>
      </c>
      <c r="Z142" s="214">
        <f t="shared" si="195"/>
        <v>2.924297254815952</v>
      </c>
      <c r="AA142" s="214">
        <f t="shared" si="214"/>
        <v>5.2431658149079761</v>
      </c>
      <c r="AB142" s="219">
        <f t="shared" si="196"/>
        <v>2.6910670414344073</v>
      </c>
      <c r="AC142" s="218">
        <v>0</v>
      </c>
      <c r="AD142" s="214">
        <f t="shared" si="197"/>
        <v>0.21725525464483603</v>
      </c>
      <c r="AE142" s="219">
        <f t="shared" si="215"/>
        <v>0.21725525464483603</v>
      </c>
      <c r="AF142" s="58">
        <f t="shared" si="198"/>
        <v>0.43785000000000007</v>
      </c>
      <c r="AG142" s="61">
        <f t="shared" si="199"/>
        <v>0.43785000000000007</v>
      </c>
      <c r="AH142" s="58">
        <f t="shared" si="200"/>
        <v>6.3004023847002447E-2</v>
      </c>
      <c r="AI142" s="49">
        <f t="shared" si="201"/>
        <v>9.8840061741648277E-2</v>
      </c>
      <c r="AJ142" s="61">
        <f t="shared" si="216"/>
        <v>0.16184408558865071</v>
      </c>
      <c r="AK142" s="218">
        <f t="shared" si="202"/>
        <v>21.6</v>
      </c>
      <c r="AL142" s="214">
        <f t="shared" si="203"/>
        <v>48</v>
      </c>
      <c r="AM142" s="219">
        <f t="shared" si="217"/>
        <v>0.45</v>
      </c>
      <c r="AN142" s="218">
        <f t="shared" si="218"/>
        <v>2</v>
      </c>
      <c r="AO142" s="214">
        <f t="shared" si="219"/>
        <v>0.51749095295536784</v>
      </c>
      <c r="AP142" s="214">
        <f t="shared" si="220"/>
        <v>0.86958041958041965</v>
      </c>
      <c r="AQ142" s="214">
        <f t="shared" si="221"/>
        <v>0.68165437175197008</v>
      </c>
      <c r="AR142" s="214">
        <f t="shared" si="236"/>
        <v>1.2104076054564046</v>
      </c>
      <c r="AS142" s="219">
        <f t="shared" si="237"/>
        <v>0.64136493935520333</v>
      </c>
      <c r="AT142" s="218"/>
      <c r="AU142" s="214">
        <f t="shared" si="222"/>
        <v>2.4300000000000003E-3</v>
      </c>
      <c r="AV142" s="219">
        <f t="shared" si="238"/>
        <v>2.4300000000000003E-3</v>
      </c>
      <c r="AW142" s="218">
        <f t="shared" si="223"/>
        <v>0.109428</v>
      </c>
      <c r="AX142" s="214">
        <f t="shared" si="224"/>
        <v>0.13500000000000001</v>
      </c>
      <c r="AY142" s="219">
        <f t="shared" si="239"/>
        <v>0.24442800000000001</v>
      </c>
      <c r="AZ142" s="218">
        <f t="shared" si="204"/>
        <v>0.29249999999999998</v>
      </c>
      <c r="BA142" s="214">
        <f t="shared" si="205"/>
        <v>6.5</v>
      </c>
      <c r="BB142" s="214">
        <f t="shared" si="240"/>
        <v>4.4999999999999998E-2</v>
      </c>
      <c r="BC142" s="61">
        <f t="shared" si="225"/>
        <v>4.4999999999999998E-2</v>
      </c>
      <c r="BD142" s="58">
        <v>0</v>
      </c>
      <c r="BE142" s="49">
        <f t="shared" si="226"/>
        <v>2.4299999999999998E-5</v>
      </c>
      <c r="BF142" s="61">
        <f t="shared" si="241"/>
        <v>2.4299999999999998E-5</v>
      </c>
      <c r="BG142" s="58">
        <f t="shared" si="227"/>
        <v>1.4700399999999999E-2</v>
      </c>
      <c r="BH142" s="49">
        <f t="shared" si="228"/>
        <v>1.35E-2</v>
      </c>
      <c r="BI142" s="61">
        <f t="shared" si="229"/>
        <v>2.82004E-2</v>
      </c>
      <c r="BK142" s="218">
        <f t="shared" si="206"/>
        <v>0</v>
      </c>
      <c r="BL142" s="214">
        <f t="shared" si="207"/>
        <v>0</v>
      </c>
      <c r="BM142" s="214">
        <f t="shared" si="208"/>
        <v>0</v>
      </c>
      <c r="BN142" s="61">
        <f t="shared" si="188"/>
        <v>0</v>
      </c>
      <c r="BO142" s="58">
        <v>0</v>
      </c>
      <c r="BP142" s="49">
        <f t="shared" si="230"/>
        <v>0</v>
      </c>
      <c r="BQ142" s="61">
        <f t="shared" si="242"/>
        <v>0</v>
      </c>
      <c r="BR142" s="58">
        <f t="shared" si="231"/>
        <v>0</v>
      </c>
      <c r="BS142" s="49">
        <f t="shared" si="232"/>
        <v>0</v>
      </c>
      <c r="BT142" s="61">
        <f t="shared" si="243"/>
        <v>0</v>
      </c>
      <c r="BU142" s="58">
        <f t="shared" si="209"/>
        <v>1.4483683642989069E-2</v>
      </c>
      <c r="BV142" s="49">
        <f t="shared" si="210"/>
        <v>2.59875E-2</v>
      </c>
      <c r="BW142" s="61">
        <f t="shared" si="211"/>
        <v>5.4000000000000003E-3</v>
      </c>
      <c r="BX142" s="49">
        <f t="shared" si="233"/>
        <v>0.65512955464483613</v>
      </c>
      <c r="BY142" s="49">
        <f t="shared" si="234"/>
        <v>1.575753223876476</v>
      </c>
      <c r="BZ142" s="49">
        <f t="shared" si="235"/>
        <v>93.285596465810613</v>
      </c>
    </row>
    <row r="143" spans="17:78" x14ac:dyDescent="0.35">
      <c r="Q143" s="49">
        <v>136</v>
      </c>
      <c r="R143" s="218">
        <f t="shared" si="189"/>
        <v>22.05466666666667</v>
      </c>
      <c r="S143" s="214">
        <f t="shared" si="190"/>
        <v>12</v>
      </c>
      <c r="T143" s="219">
        <f t="shared" si="191"/>
        <v>1.8378888888888891</v>
      </c>
      <c r="U143" s="218">
        <f t="shared" si="192"/>
        <v>2</v>
      </c>
      <c r="V143" s="214">
        <f t="shared" si="193"/>
        <v>0.4825090470446321</v>
      </c>
      <c r="W143" s="214">
        <f t="shared" si="194"/>
        <v>0.51749095295536796</v>
      </c>
      <c r="X143" s="214">
        <f t="shared" si="212"/>
        <v>0</v>
      </c>
      <c r="Y143" s="218">
        <f t="shared" si="213"/>
        <v>3.8090247222222224</v>
      </c>
      <c r="Z143" s="214">
        <f t="shared" si="195"/>
        <v>2.924297254815952</v>
      </c>
      <c r="AA143" s="214">
        <f t="shared" si="214"/>
        <v>5.2711733496301987</v>
      </c>
      <c r="AB143" s="219">
        <f t="shared" si="196"/>
        <v>2.7100577123973819</v>
      </c>
      <c r="AC143" s="218">
        <v>0</v>
      </c>
      <c r="AD143" s="214">
        <f t="shared" si="197"/>
        <v>0.22033238413573591</v>
      </c>
      <c r="AE143" s="219">
        <f t="shared" si="215"/>
        <v>0.22033238413573591</v>
      </c>
      <c r="AF143" s="58">
        <f t="shared" si="198"/>
        <v>0.44109333333333339</v>
      </c>
      <c r="AG143" s="61">
        <f t="shared" si="199"/>
        <v>0.44109333333333339</v>
      </c>
      <c r="AH143" s="58">
        <f t="shared" si="200"/>
        <v>6.3896391399363414E-2</v>
      </c>
      <c r="AI143" s="49">
        <f t="shared" si="201"/>
        <v>9.9572210347141948E-2</v>
      </c>
      <c r="AJ143" s="61">
        <f t="shared" si="216"/>
        <v>0.16346860174650535</v>
      </c>
      <c r="AK143" s="218">
        <f t="shared" si="202"/>
        <v>21.76</v>
      </c>
      <c r="AL143" s="214">
        <f t="shared" si="203"/>
        <v>48</v>
      </c>
      <c r="AM143" s="219">
        <f t="shared" si="217"/>
        <v>0.45333333333333337</v>
      </c>
      <c r="AN143" s="218">
        <f t="shared" si="218"/>
        <v>2</v>
      </c>
      <c r="AO143" s="214">
        <f t="shared" si="219"/>
        <v>0.51749095295536796</v>
      </c>
      <c r="AP143" s="214">
        <f t="shared" si="220"/>
        <v>0.87602175602175603</v>
      </c>
      <c r="AQ143" s="214">
        <f t="shared" si="221"/>
        <v>0.6816543717519703</v>
      </c>
      <c r="AR143" s="214">
        <f t="shared" si="236"/>
        <v>1.2168489418977413</v>
      </c>
      <c r="AS143" s="219">
        <f t="shared" si="237"/>
        <v>0.64588517505263876</v>
      </c>
      <c r="AT143" s="218"/>
      <c r="AU143" s="214">
        <f t="shared" si="222"/>
        <v>2.4661333333333337E-3</v>
      </c>
      <c r="AV143" s="219">
        <f t="shared" si="238"/>
        <v>2.4661333333333337E-3</v>
      </c>
      <c r="AW143" s="218">
        <f t="shared" si="223"/>
        <v>0.109428</v>
      </c>
      <c r="AX143" s="214">
        <f t="shared" si="224"/>
        <v>0.13600000000000001</v>
      </c>
      <c r="AY143" s="219">
        <f t="shared" si="239"/>
        <v>0.24542800000000001</v>
      </c>
      <c r="AZ143" s="218">
        <f t="shared" si="204"/>
        <v>0.29466666666666663</v>
      </c>
      <c r="BA143" s="214">
        <f t="shared" si="205"/>
        <v>6.5</v>
      </c>
      <c r="BB143" s="214">
        <f t="shared" si="240"/>
        <v>4.533333333333333E-2</v>
      </c>
      <c r="BC143" s="61">
        <f t="shared" si="225"/>
        <v>4.533333333333333E-2</v>
      </c>
      <c r="BD143" s="58">
        <v>0</v>
      </c>
      <c r="BE143" s="49">
        <f t="shared" si="226"/>
        <v>2.4661333333333331E-5</v>
      </c>
      <c r="BF143" s="61">
        <f t="shared" si="241"/>
        <v>2.4661333333333331E-5</v>
      </c>
      <c r="BG143" s="58">
        <f t="shared" si="227"/>
        <v>1.4700399999999999E-2</v>
      </c>
      <c r="BH143" s="49">
        <f t="shared" si="228"/>
        <v>1.3599999999999999E-2</v>
      </c>
      <c r="BI143" s="61">
        <f t="shared" si="229"/>
        <v>2.8300399999999996E-2</v>
      </c>
      <c r="BK143" s="218">
        <f t="shared" si="206"/>
        <v>0</v>
      </c>
      <c r="BL143" s="214">
        <f t="shared" si="207"/>
        <v>0</v>
      </c>
      <c r="BM143" s="214">
        <f t="shared" si="208"/>
        <v>0</v>
      </c>
      <c r="BN143" s="61">
        <f t="shared" si="188"/>
        <v>0</v>
      </c>
      <c r="BO143" s="58">
        <v>0</v>
      </c>
      <c r="BP143" s="49">
        <f t="shared" si="230"/>
        <v>0</v>
      </c>
      <c r="BQ143" s="61">
        <f t="shared" si="242"/>
        <v>0</v>
      </c>
      <c r="BR143" s="58">
        <f t="shared" si="231"/>
        <v>0</v>
      </c>
      <c r="BS143" s="49">
        <f t="shared" si="232"/>
        <v>0</v>
      </c>
      <c r="BT143" s="61">
        <f t="shared" si="243"/>
        <v>0</v>
      </c>
      <c r="BU143" s="58">
        <f t="shared" si="209"/>
        <v>1.4688825609049062E-2</v>
      </c>
      <c r="BV143" s="49">
        <f t="shared" si="210"/>
        <v>2.59875E-2</v>
      </c>
      <c r="BW143" s="61">
        <f t="shared" si="211"/>
        <v>5.4000000000000003E-3</v>
      </c>
      <c r="BX143" s="49">
        <f t="shared" si="233"/>
        <v>0.66145037880240265</v>
      </c>
      <c r="BY143" s="49">
        <f t="shared" si="234"/>
        <v>1.5882831728246236</v>
      </c>
      <c r="BZ143" s="49">
        <f t="shared" si="235"/>
        <v>93.282212314422438</v>
      </c>
    </row>
    <row r="144" spans="17:78" x14ac:dyDescent="0.35">
      <c r="Q144" s="49">
        <v>137</v>
      </c>
      <c r="R144" s="218">
        <f t="shared" si="189"/>
        <v>22.216833333333334</v>
      </c>
      <c r="S144" s="214">
        <f t="shared" si="190"/>
        <v>12</v>
      </c>
      <c r="T144" s="219">
        <f t="shared" si="191"/>
        <v>1.8514027777777777</v>
      </c>
      <c r="U144" s="218">
        <f t="shared" si="192"/>
        <v>2</v>
      </c>
      <c r="V144" s="214">
        <f t="shared" si="193"/>
        <v>0.4825090470446321</v>
      </c>
      <c r="W144" s="214">
        <f t="shared" si="194"/>
        <v>0.51749095295536796</v>
      </c>
      <c r="X144" s="214">
        <f t="shared" si="212"/>
        <v>0</v>
      </c>
      <c r="Y144" s="218">
        <f t="shared" si="213"/>
        <v>3.8370322569444442</v>
      </c>
      <c r="Z144" s="214">
        <f t="shared" si="195"/>
        <v>2.924297254815952</v>
      </c>
      <c r="AA144" s="214">
        <f t="shared" si="214"/>
        <v>5.2991808843524204</v>
      </c>
      <c r="AB144" s="219">
        <f t="shared" si="196"/>
        <v>2.7290549223090217</v>
      </c>
      <c r="AC144" s="218">
        <v>0</v>
      </c>
      <c r="AD144" s="214">
        <f t="shared" si="197"/>
        <v>0.22343222306937299</v>
      </c>
      <c r="AE144" s="219">
        <f t="shared" si="215"/>
        <v>0.22343222306937299</v>
      </c>
      <c r="AF144" s="58">
        <f t="shared" si="198"/>
        <v>0.44433666666666666</v>
      </c>
      <c r="AG144" s="61">
        <f t="shared" si="199"/>
        <v>0.44433666666666666</v>
      </c>
      <c r="AH144" s="58">
        <f t="shared" si="200"/>
        <v>6.4795344690118176E-2</v>
      </c>
      <c r="AI144" s="49">
        <f t="shared" si="201"/>
        <v>0.10030435895263566</v>
      </c>
      <c r="AJ144" s="61">
        <f t="shared" si="216"/>
        <v>0.16509970364275384</v>
      </c>
      <c r="AK144" s="218">
        <f t="shared" si="202"/>
        <v>21.92</v>
      </c>
      <c r="AL144" s="214">
        <f t="shared" si="203"/>
        <v>48</v>
      </c>
      <c r="AM144" s="219">
        <f t="shared" si="217"/>
        <v>0.45666666666666672</v>
      </c>
      <c r="AN144" s="218">
        <f t="shared" si="218"/>
        <v>2</v>
      </c>
      <c r="AO144" s="214">
        <f t="shared" si="219"/>
        <v>0.51749095295536796</v>
      </c>
      <c r="AP144" s="214">
        <f t="shared" si="220"/>
        <v>0.88246309246309251</v>
      </c>
      <c r="AQ144" s="214">
        <f t="shared" si="221"/>
        <v>0.6816543717519703</v>
      </c>
      <c r="AR144" s="214">
        <f t="shared" si="236"/>
        <v>1.2232902783390776</v>
      </c>
      <c r="AS144" s="219">
        <f t="shared" si="237"/>
        <v>0.6504070075840156</v>
      </c>
      <c r="AT144" s="218"/>
      <c r="AU144" s="214">
        <f t="shared" si="222"/>
        <v>2.502533333333334E-3</v>
      </c>
      <c r="AV144" s="219">
        <f t="shared" si="238"/>
        <v>2.502533333333334E-3</v>
      </c>
      <c r="AW144" s="218">
        <f t="shared" si="223"/>
        <v>0.109428</v>
      </c>
      <c r="AX144" s="214">
        <f t="shared" si="224"/>
        <v>0.13700000000000001</v>
      </c>
      <c r="AY144" s="219">
        <f t="shared" si="239"/>
        <v>0.24642800000000001</v>
      </c>
      <c r="AZ144" s="218">
        <f t="shared" si="204"/>
        <v>0.29683333333333334</v>
      </c>
      <c r="BA144" s="214">
        <f t="shared" si="205"/>
        <v>6.5</v>
      </c>
      <c r="BB144" s="214">
        <f t="shared" si="240"/>
        <v>4.5666666666666668E-2</v>
      </c>
      <c r="BC144" s="61">
        <f t="shared" si="225"/>
        <v>4.5666666666666668E-2</v>
      </c>
      <c r="BD144" s="58">
        <v>0</v>
      </c>
      <c r="BE144" s="49">
        <f t="shared" si="226"/>
        <v>2.5025333333333332E-5</v>
      </c>
      <c r="BF144" s="61">
        <f t="shared" si="241"/>
        <v>2.5025333333333332E-5</v>
      </c>
      <c r="BG144" s="58">
        <f t="shared" si="227"/>
        <v>1.4700399999999999E-2</v>
      </c>
      <c r="BH144" s="49">
        <f t="shared" si="228"/>
        <v>1.37E-2</v>
      </c>
      <c r="BI144" s="61">
        <f t="shared" si="229"/>
        <v>2.8400399999999999E-2</v>
      </c>
      <c r="BK144" s="218">
        <f t="shared" si="206"/>
        <v>0</v>
      </c>
      <c r="BL144" s="214">
        <f t="shared" si="207"/>
        <v>0</v>
      </c>
      <c r="BM144" s="214">
        <f t="shared" si="208"/>
        <v>0</v>
      </c>
      <c r="BN144" s="61">
        <f t="shared" ref="BN144:BN157" si="244">IF(EN_OUT_3=1,BK144/BL144,0)</f>
        <v>0</v>
      </c>
      <c r="BO144" s="58">
        <v>0</v>
      </c>
      <c r="BP144" s="49">
        <f t="shared" si="230"/>
        <v>0</v>
      </c>
      <c r="BQ144" s="61">
        <f t="shared" si="242"/>
        <v>0</v>
      </c>
      <c r="BR144" s="58">
        <f t="shared" si="231"/>
        <v>0</v>
      </c>
      <c r="BS144" s="49">
        <f t="shared" si="232"/>
        <v>0</v>
      </c>
      <c r="BT144" s="61">
        <f t="shared" si="243"/>
        <v>0</v>
      </c>
      <c r="BU144" s="58">
        <f t="shared" si="209"/>
        <v>1.4895481537958201E-2</v>
      </c>
      <c r="BV144" s="49">
        <f t="shared" si="210"/>
        <v>2.59875E-2</v>
      </c>
      <c r="BW144" s="61">
        <f t="shared" si="211"/>
        <v>5.4000000000000003E-3</v>
      </c>
      <c r="BX144" s="49">
        <f t="shared" si="233"/>
        <v>0.66779391506937302</v>
      </c>
      <c r="BY144" s="49">
        <f t="shared" si="234"/>
        <v>1.6008442002500849</v>
      </c>
      <c r="BZ144" s="49">
        <f t="shared" si="235"/>
        <v>93.2787560920125</v>
      </c>
    </row>
    <row r="145" spans="17:78" x14ac:dyDescent="0.35">
      <c r="Q145" s="49">
        <v>138</v>
      </c>
      <c r="R145" s="218">
        <f t="shared" si="189"/>
        <v>22.379000000000001</v>
      </c>
      <c r="S145" s="214">
        <f t="shared" si="190"/>
        <v>12</v>
      </c>
      <c r="T145" s="219">
        <f t="shared" si="191"/>
        <v>1.8649166666666668</v>
      </c>
      <c r="U145" s="218">
        <f t="shared" si="192"/>
        <v>2</v>
      </c>
      <c r="V145" s="214">
        <f t="shared" si="193"/>
        <v>0.4825090470446321</v>
      </c>
      <c r="W145" s="214">
        <f t="shared" si="194"/>
        <v>0.51749095295536796</v>
      </c>
      <c r="X145" s="214">
        <f t="shared" si="212"/>
        <v>0</v>
      </c>
      <c r="Y145" s="218">
        <f t="shared" si="213"/>
        <v>3.8650397916666668</v>
      </c>
      <c r="Z145" s="214">
        <f t="shared" si="195"/>
        <v>2.924297254815952</v>
      </c>
      <c r="AA145" s="214">
        <f t="shared" si="214"/>
        <v>5.327188419074643</v>
      </c>
      <c r="AB145" s="219">
        <f t="shared" si="196"/>
        <v>2.7480585355589224</v>
      </c>
      <c r="AC145" s="218">
        <v>0</v>
      </c>
      <c r="AD145" s="214">
        <f t="shared" si="197"/>
        <v>0.22655477144574745</v>
      </c>
      <c r="AE145" s="219">
        <f t="shared" si="215"/>
        <v>0.22655477144574745</v>
      </c>
      <c r="AF145" s="58">
        <f t="shared" si="198"/>
        <v>0.44758000000000003</v>
      </c>
      <c r="AG145" s="61">
        <f t="shared" si="199"/>
        <v>0.44758000000000003</v>
      </c>
      <c r="AH145" s="58">
        <f t="shared" si="200"/>
        <v>6.5700883719266759E-2</v>
      </c>
      <c r="AI145" s="49">
        <f t="shared" si="201"/>
        <v>0.10103650755812935</v>
      </c>
      <c r="AJ145" s="61">
        <f t="shared" si="216"/>
        <v>0.16673739127739612</v>
      </c>
      <c r="AK145" s="218">
        <f t="shared" si="202"/>
        <v>22.080000000000002</v>
      </c>
      <c r="AL145" s="214">
        <f t="shared" si="203"/>
        <v>48</v>
      </c>
      <c r="AM145" s="219">
        <f t="shared" si="217"/>
        <v>0.46</v>
      </c>
      <c r="AN145" s="218">
        <f t="shared" si="218"/>
        <v>2</v>
      </c>
      <c r="AO145" s="214">
        <f t="shared" si="219"/>
        <v>0.51749095295536784</v>
      </c>
      <c r="AP145" s="214">
        <f t="shared" si="220"/>
        <v>0.888904428904429</v>
      </c>
      <c r="AQ145" s="214">
        <f t="shared" si="221"/>
        <v>0.68165437175197008</v>
      </c>
      <c r="AR145" s="214">
        <f t="shared" si="236"/>
        <v>1.229731614780414</v>
      </c>
      <c r="AS145" s="219">
        <f t="shared" si="237"/>
        <v>0.65493040387429891</v>
      </c>
      <c r="AT145" s="218"/>
      <c r="AU145" s="214">
        <f t="shared" si="222"/>
        <v>2.5392000000000001E-3</v>
      </c>
      <c r="AV145" s="219">
        <f t="shared" si="238"/>
        <v>2.5392000000000001E-3</v>
      </c>
      <c r="AW145" s="218">
        <f t="shared" si="223"/>
        <v>0.109428</v>
      </c>
      <c r="AX145" s="214">
        <f t="shared" si="224"/>
        <v>0.13800000000000001</v>
      </c>
      <c r="AY145" s="219">
        <f t="shared" si="239"/>
        <v>0.24742800000000001</v>
      </c>
      <c r="AZ145" s="218">
        <f t="shared" si="204"/>
        <v>0.29899999999999999</v>
      </c>
      <c r="BA145" s="214">
        <f t="shared" si="205"/>
        <v>6.5</v>
      </c>
      <c r="BB145" s="214">
        <f t="shared" si="240"/>
        <v>4.5999999999999999E-2</v>
      </c>
      <c r="BC145" s="61">
        <f t="shared" si="225"/>
        <v>4.5999999999999999E-2</v>
      </c>
      <c r="BD145" s="58">
        <v>0</v>
      </c>
      <c r="BE145" s="49">
        <f t="shared" si="226"/>
        <v>2.5391999999999997E-5</v>
      </c>
      <c r="BF145" s="61">
        <f t="shared" si="241"/>
        <v>2.5391999999999997E-5</v>
      </c>
      <c r="BG145" s="58">
        <f t="shared" si="227"/>
        <v>1.4700399999999999E-2</v>
      </c>
      <c r="BH145" s="49">
        <f t="shared" si="228"/>
        <v>1.38E-2</v>
      </c>
      <c r="BI145" s="61">
        <f t="shared" si="229"/>
        <v>2.8500399999999999E-2</v>
      </c>
      <c r="BK145" s="218">
        <f t="shared" si="206"/>
        <v>0</v>
      </c>
      <c r="BL145" s="214">
        <f t="shared" si="207"/>
        <v>0</v>
      </c>
      <c r="BM145" s="214">
        <f t="shared" si="208"/>
        <v>0</v>
      </c>
      <c r="BN145" s="61">
        <f t="shared" si="244"/>
        <v>0</v>
      </c>
      <c r="BO145" s="58">
        <v>0</v>
      </c>
      <c r="BP145" s="49">
        <f t="shared" si="230"/>
        <v>0</v>
      </c>
      <c r="BQ145" s="61">
        <f t="shared" si="242"/>
        <v>0</v>
      </c>
      <c r="BR145" s="58">
        <f t="shared" si="231"/>
        <v>0</v>
      </c>
      <c r="BS145" s="49">
        <f t="shared" si="232"/>
        <v>0</v>
      </c>
      <c r="BT145" s="61">
        <f t="shared" si="243"/>
        <v>0</v>
      </c>
      <c r="BU145" s="58">
        <f t="shared" si="209"/>
        <v>1.5103651429716498E-2</v>
      </c>
      <c r="BV145" s="49">
        <f t="shared" si="210"/>
        <v>2.59875E-2</v>
      </c>
      <c r="BW145" s="61">
        <f t="shared" si="211"/>
        <v>5.4000000000000003E-3</v>
      </c>
      <c r="BX145" s="49">
        <f t="shared" si="233"/>
        <v>0.67416016344574747</v>
      </c>
      <c r="BY145" s="49">
        <f t="shared" si="234"/>
        <v>1.6134363061528603</v>
      </c>
      <c r="BZ145" s="49">
        <f t="shared" si="235"/>
        <v>93.275229386608416</v>
      </c>
    </row>
    <row r="146" spans="17:78" x14ac:dyDescent="0.35">
      <c r="Q146" s="49">
        <v>139</v>
      </c>
      <c r="R146" s="218">
        <f t="shared" si="189"/>
        <v>22.541166666666669</v>
      </c>
      <c r="S146" s="214">
        <f t="shared" si="190"/>
        <v>12</v>
      </c>
      <c r="T146" s="219">
        <f t="shared" si="191"/>
        <v>1.8784305555555558</v>
      </c>
      <c r="U146" s="218">
        <f t="shared" si="192"/>
        <v>2</v>
      </c>
      <c r="V146" s="214">
        <f t="shared" si="193"/>
        <v>0.4825090470446321</v>
      </c>
      <c r="W146" s="214">
        <f t="shared" si="194"/>
        <v>0.51749095295536796</v>
      </c>
      <c r="X146" s="214">
        <f t="shared" si="212"/>
        <v>0</v>
      </c>
      <c r="Y146" s="218">
        <f t="shared" si="213"/>
        <v>3.893047326388889</v>
      </c>
      <c r="Z146" s="214">
        <f t="shared" si="195"/>
        <v>2.924297254815952</v>
      </c>
      <c r="AA146" s="214">
        <f t="shared" si="214"/>
        <v>5.3551959537968647</v>
      </c>
      <c r="AB146" s="219">
        <f t="shared" si="196"/>
        <v>2.7670684202169582</v>
      </c>
      <c r="AC146" s="218">
        <v>0</v>
      </c>
      <c r="AD146" s="214">
        <f t="shared" si="197"/>
        <v>0.22970002926485919</v>
      </c>
      <c r="AE146" s="219">
        <f t="shared" si="215"/>
        <v>0.22970002926485919</v>
      </c>
      <c r="AF146" s="58">
        <f t="shared" si="198"/>
        <v>0.45082333333333341</v>
      </c>
      <c r="AG146" s="61">
        <f t="shared" si="199"/>
        <v>0.45082333333333341</v>
      </c>
      <c r="AH146" s="58">
        <f t="shared" si="200"/>
        <v>6.6613008486809164E-2</v>
      </c>
      <c r="AI146" s="49">
        <f t="shared" si="201"/>
        <v>0.10176865616362303</v>
      </c>
      <c r="AJ146" s="61">
        <f t="shared" si="216"/>
        <v>0.16838166465043219</v>
      </c>
      <c r="AK146" s="218">
        <f t="shared" si="202"/>
        <v>22.240000000000002</v>
      </c>
      <c r="AL146" s="214">
        <f t="shared" si="203"/>
        <v>48</v>
      </c>
      <c r="AM146" s="219">
        <f t="shared" si="217"/>
        <v>0.46333333333333337</v>
      </c>
      <c r="AN146" s="218">
        <f t="shared" si="218"/>
        <v>2</v>
      </c>
      <c r="AO146" s="214">
        <f t="shared" si="219"/>
        <v>0.51749095295536796</v>
      </c>
      <c r="AP146" s="214">
        <f t="shared" si="220"/>
        <v>0.89534576534576527</v>
      </c>
      <c r="AQ146" s="214">
        <f t="shared" si="221"/>
        <v>0.6816543717519703</v>
      </c>
      <c r="AR146" s="214">
        <f t="shared" si="236"/>
        <v>1.2361729512217505</v>
      </c>
      <c r="AS146" s="219">
        <f t="shared" si="237"/>
        <v>0.65945533174465498</v>
      </c>
      <c r="AT146" s="218"/>
      <c r="AU146" s="214">
        <f t="shared" si="222"/>
        <v>2.576133333333334E-3</v>
      </c>
      <c r="AV146" s="219">
        <f t="shared" si="238"/>
        <v>2.576133333333334E-3</v>
      </c>
      <c r="AW146" s="218">
        <f t="shared" si="223"/>
        <v>0.109428</v>
      </c>
      <c r="AX146" s="214">
        <f t="shared" si="224"/>
        <v>0.13900000000000001</v>
      </c>
      <c r="AY146" s="219">
        <f t="shared" si="239"/>
        <v>0.24842800000000001</v>
      </c>
      <c r="AZ146" s="218">
        <f t="shared" si="204"/>
        <v>0.30116666666666664</v>
      </c>
      <c r="BA146" s="214">
        <f t="shared" si="205"/>
        <v>6.5</v>
      </c>
      <c r="BB146" s="214">
        <f t="shared" si="240"/>
        <v>4.6333333333333331E-2</v>
      </c>
      <c r="BC146" s="61">
        <f t="shared" si="225"/>
        <v>4.6333333333333331E-2</v>
      </c>
      <c r="BD146" s="58">
        <v>0</v>
      </c>
      <c r="BE146" s="49">
        <f t="shared" si="226"/>
        <v>2.576133333333333E-5</v>
      </c>
      <c r="BF146" s="61">
        <f t="shared" si="241"/>
        <v>2.576133333333333E-5</v>
      </c>
      <c r="BG146" s="58">
        <f t="shared" si="227"/>
        <v>1.4700399999999999E-2</v>
      </c>
      <c r="BH146" s="49">
        <f t="shared" si="228"/>
        <v>1.3899999999999999E-2</v>
      </c>
      <c r="BI146" s="61">
        <f t="shared" si="229"/>
        <v>2.8600399999999998E-2</v>
      </c>
      <c r="BK146" s="218">
        <f t="shared" si="206"/>
        <v>0</v>
      </c>
      <c r="BL146" s="214">
        <f t="shared" si="207"/>
        <v>0</v>
      </c>
      <c r="BM146" s="214">
        <f t="shared" si="208"/>
        <v>0</v>
      </c>
      <c r="BN146" s="61">
        <f t="shared" si="244"/>
        <v>0</v>
      </c>
      <c r="BO146" s="58">
        <v>0</v>
      </c>
      <c r="BP146" s="49">
        <f t="shared" si="230"/>
        <v>0</v>
      </c>
      <c r="BQ146" s="61">
        <f t="shared" si="242"/>
        <v>0</v>
      </c>
      <c r="BR146" s="58">
        <f t="shared" si="231"/>
        <v>0</v>
      </c>
      <c r="BS146" s="49">
        <f t="shared" si="232"/>
        <v>0</v>
      </c>
      <c r="BT146" s="61">
        <f t="shared" si="243"/>
        <v>0</v>
      </c>
      <c r="BU146" s="58">
        <f t="shared" si="209"/>
        <v>1.5313335284323947E-2</v>
      </c>
      <c r="BV146" s="49">
        <f t="shared" si="210"/>
        <v>2.59875E-2</v>
      </c>
      <c r="BW146" s="61">
        <f t="shared" si="211"/>
        <v>5.4000000000000003E-3</v>
      </c>
      <c r="BX146" s="49">
        <f t="shared" si="233"/>
        <v>0.680549123931526</v>
      </c>
      <c r="BY146" s="49">
        <f t="shared" si="234"/>
        <v>1.6260594905329488</v>
      </c>
      <c r="BZ146" s="49">
        <f t="shared" si="235"/>
        <v>93.271633740852238</v>
      </c>
    </row>
    <row r="147" spans="17:78" x14ac:dyDescent="0.35">
      <c r="Q147" s="49">
        <v>140</v>
      </c>
      <c r="R147" s="218">
        <f t="shared" si="189"/>
        <v>22.703333333333337</v>
      </c>
      <c r="S147" s="214">
        <f t="shared" si="190"/>
        <v>12</v>
      </c>
      <c r="T147" s="219">
        <f t="shared" si="191"/>
        <v>1.8919444444444447</v>
      </c>
      <c r="U147" s="218">
        <f t="shared" si="192"/>
        <v>2</v>
      </c>
      <c r="V147" s="214">
        <f t="shared" si="193"/>
        <v>0.4825090470446321</v>
      </c>
      <c r="W147" s="214">
        <f t="shared" si="194"/>
        <v>0.51749095295536796</v>
      </c>
      <c r="X147" s="214">
        <f t="shared" si="212"/>
        <v>0</v>
      </c>
      <c r="Y147" s="218">
        <f t="shared" si="213"/>
        <v>3.9210548611111116</v>
      </c>
      <c r="Z147" s="214">
        <f t="shared" si="195"/>
        <v>2.924297254815952</v>
      </c>
      <c r="AA147" s="214">
        <f t="shared" si="214"/>
        <v>5.3832034885190874</v>
      </c>
      <c r="AB147" s="219">
        <f t="shared" si="196"/>
        <v>2.7860844479107723</v>
      </c>
      <c r="AC147" s="218">
        <v>0</v>
      </c>
      <c r="AD147" s="214">
        <f t="shared" si="197"/>
        <v>0.23286799652670817</v>
      </c>
      <c r="AE147" s="219">
        <f t="shared" si="215"/>
        <v>0.23286799652670817</v>
      </c>
      <c r="AF147" s="58">
        <f t="shared" si="198"/>
        <v>0.45406666666666673</v>
      </c>
      <c r="AG147" s="61">
        <f t="shared" si="199"/>
        <v>0.45406666666666673</v>
      </c>
      <c r="AH147" s="58">
        <f t="shared" si="200"/>
        <v>6.7531718992745363E-2</v>
      </c>
      <c r="AI147" s="49">
        <f t="shared" si="201"/>
        <v>0.10250080476911673</v>
      </c>
      <c r="AJ147" s="61">
        <f t="shared" si="216"/>
        <v>0.17003252376186209</v>
      </c>
      <c r="AK147" s="218">
        <f t="shared" si="202"/>
        <v>22.400000000000002</v>
      </c>
      <c r="AL147" s="214">
        <f t="shared" si="203"/>
        <v>48</v>
      </c>
      <c r="AM147" s="219">
        <f t="shared" si="217"/>
        <v>0.46666666666666673</v>
      </c>
      <c r="AN147" s="218">
        <f t="shared" si="218"/>
        <v>2</v>
      </c>
      <c r="AO147" s="214">
        <f t="shared" si="219"/>
        <v>0.51749095295536796</v>
      </c>
      <c r="AP147" s="214">
        <f t="shared" si="220"/>
        <v>0.90178710178710175</v>
      </c>
      <c r="AQ147" s="214">
        <f t="shared" si="221"/>
        <v>0.6816543717519703</v>
      </c>
      <c r="AR147" s="214">
        <f t="shared" si="236"/>
        <v>1.2426142876630868</v>
      </c>
      <c r="AS147" s="219">
        <f t="shared" si="237"/>
        <v>0.66398175988267594</v>
      </c>
      <c r="AT147" s="218"/>
      <c r="AU147" s="214">
        <f t="shared" si="222"/>
        <v>2.6133333333333343E-3</v>
      </c>
      <c r="AV147" s="219">
        <f t="shared" si="238"/>
        <v>2.6133333333333343E-3</v>
      </c>
      <c r="AW147" s="218">
        <f t="shared" si="223"/>
        <v>0.109428</v>
      </c>
      <c r="AX147" s="214">
        <f t="shared" si="224"/>
        <v>0.14000000000000001</v>
      </c>
      <c r="AY147" s="219">
        <f t="shared" si="239"/>
        <v>0.24942800000000001</v>
      </c>
      <c r="AZ147" s="218">
        <f t="shared" si="204"/>
        <v>0.30333333333333334</v>
      </c>
      <c r="BA147" s="214">
        <f t="shared" si="205"/>
        <v>6.5</v>
      </c>
      <c r="BB147" s="214">
        <f t="shared" si="240"/>
        <v>4.6666666666666669E-2</v>
      </c>
      <c r="BC147" s="61">
        <f t="shared" si="225"/>
        <v>4.6666666666666669E-2</v>
      </c>
      <c r="BD147" s="58">
        <v>0</v>
      </c>
      <c r="BE147" s="49">
        <f t="shared" si="226"/>
        <v>2.6133333333333336E-5</v>
      </c>
      <c r="BF147" s="61">
        <f t="shared" si="241"/>
        <v>2.6133333333333336E-5</v>
      </c>
      <c r="BG147" s="58">
        <f t="shared" si="227"/>
        <v>1.4700399999999999E-2</v>
      </c>
      <c r="BH147" s="49">
        <f t="shared" si="228"/>
        <v>1.4E-2</v>
      </c>
      <c r="BI147" s="61">
        <f t="shared" si="229"/>
        <v>2.8700400000000001E-2</v>
      </c>
      <c r="BK147" s="218">
        <f t="shared" si="206"/>
        <v>0</v>
      </c>
      <c r="BL147" s="214">
        <f t="shared" si="207"/>
        <v>0</v>
      </c>
      <c r="BM147" s="214">
        <f t="shared" si="208"/>
        <v>0</v>
      </c>
      <c r="BN147" s="61">
        <f t="shared" si="244"/>
        <v>0</v>
      </c>
      <c r="BO147" s="58">
        <v>0</v>
      </c>
      <c r="BP147" s="49">
        <f t="shared" si="230"/>
        <v>0</v>
      </c>
      <c r="BQ147" s="61">
        <f t="shared" si="242"/>
        <v>0</v>
      </c>
      <c r="BR147" s="58">
        <f t="shared" si="231"/>
        <v>0</v>
      </c>
      <c r="BS147" s="49">
        <f t="shared" si="232"/>
        <v>0</v>
      </c>
      <c r="BT147" s="61">
        <f t="shared" si="243"/>
        <v>0</v>
      </c>
      <c r="BU147" s="58">
        <f t="shared" si="209"/>
        <v>1.5524533101780546E-2</v>
      </c>
      <c r="BV147" s="49">
        <f t="shared" si="210"/>
        <v>2.59875E-2</v>
      </c>
      <c r="BW147" s="61">
        <f t="shared" si="211"/>
        <v>5.4000000000000003E-3</v>
      </c>
      <c r="BX147" s="49">
        <f t="shared" si="233"/>
        <v>0.68696079652670827</v>
      </c>
      <c r="BY147" s="49">
        <f t="shared" si="234"/>
        <v>1.6387137533903511</v>
      </c>
      <c r="BZ147" s="49">
        <f t="shared" si="235"/>
        <v>93.267970653609837</v>
      </c>
    </row>
    <row r="148" spans="17:78" x14ac:dyDescent="0.35">
      <c r="Q148" s="49">
        <v>141</v>
      </c>
      <c r="R148" s="218">
        <f t="shared" si="189"/>
        <v>22.865499999999997</v>
      </c>
      <c r="S148" s="214">
        <f t="shared" si="190"/>
        <v>12</v>
      </c>
      <c r="T148" s="219">
        <f t="shared" si="191"/>
        <v>1.905458333333333</v>
      </c>
      <c r="U148" s="218">
        <f t="shared" si="192"/>
        <v>2</v>
      </c>
      <c r="V148" s="214">
        <f t="shared" si="193"/>
        <v>0.4825090470446321</v>
      </c>
      <c r="W148" s="214">
        <f t="shared" si="194"/>
        <v>0.51749095295536796</v>
      </c>
      <c r="X148" s="214">
        <f t="shared" si="212"/>
        <v>0</v>
      </c>
      <c r="Y148" s="218">
        <f t="shared" si="213"/>
        <v>3.9490623958333324</v>
      </c>
      <c r="Z148" s="214">
        <f t="shared" si="195"/>
        <v>2.924297254815952</v>
      </c>
      <c r="AA148" s="214">
        <f t="shared" si="214"/>
        <v>5.4112110232413082</v>
      </c>
      <c r="AB148" s="219">
        <f t="shared" si="196"/>
        <v>2.8051064937080628</v>
      </c>
      <c r="AC148" s="218">
        <v>0</v>
      </c>
      <c r="AD148" s="214">
        <f t="shared" si="197"/>
        <v>0.23605867323129426</v>
      </c>
      <c r="AE148" s="219">
        <f t="shared" si="215"/>
        <v>0.23605867323129426</v>
      </c>
      <c r="AF148" s="58">
        <f t="shared" si="198"/>
        <v>0.45730999999999994</v>
      </c>
      <c r="AG148" s="61">
        <f t="shared" si="199"/>
        <v>0.45730999999999994</v>
      </c>
      <c r="AH148" s="58">
        <f t="shared" si="200"/>
        <v>6.8457015237075328E-2</v>
      </c>
      <c r="AI148" s="49">
        <f t="shared" si="201"/>
        <v>0.1032329533746104</v>
      </c>
      <c r="AJ148" s="61">
        <f t="shared" si="216"/>
        <v>0.17168996861168573</v>
      </c>
      <c r="AK148" s="218">
        <f t="shared" si="202"/>
        <v>22.56</v>
      </c>
      <c r="AL148" s="214">
        <f t="shared" si="203"/>
        <v>48</v>
      </c>
      <c r="AM148" s="219">
        <f t="shared" si="217"/>
        <v>0.47</v>
      </c>
      <c r="AN148" s="218">
        <f t="shared" si="218"/>
        <v>2</v>
      </c>
      <c r="AO148" s="214">
        <f t="shared" si="219"/>
        <v>0.51749095295536796</v>
      </c>
      <c r="AP148" s="214">
        <f t="shared" si="220"/>
        <v>0.90822843822843802</v>
      </c>
      <c r="AQ148" s="214">
        <f t="shared" si="221"/>
        <v>0.6816543717519703</v>
      </c>
      <c r="AR148" s="214">
        <f t="shared" si="236"/>
        <v>1.2490556241044231</v>
      </c>
      <c r="AS148" s="219">
        <f t="shared" si="237"/>
        <v>0.66850965781376759</v>
      </c>
      <c r="AT148" s="218"/>
      <c r="AU148" s="214">
        <f t="shared" si="222"/>
        <v>2.6508E-3</v>
      </c>
      <c r="AV148" s="219">
        <f t="shared" si="238"/>
        <v>2.6508E-3</v>
      </c>
      <c r="AW148" s="218">
        <f t="shared" si="223"/>
        <v>0.109428</v>
      </c>
      <c r="AX148" s="214">
        <f t="shared" si="224"/>
        <v>0.14099999999999999</v>
      </c>
      <c r="AY148" s="219">
        <f t="shared" si="239"/>
        <v>0.25042799999999998</v>
      </c>
      <c r="AZ148" s="218">
        <f t="shared" si="204"/>
        <v>0.30549999999999999</v>
      </c>
      <c r="BA148" s="214">
        <f t="shared" si="205"/>
        <v>6.5</v>
      </c>
      <c r="BB148" s="214">
        <f t="shared" si="240"/>
        <v>4.7E-2</v>
      </c>
      <c r="BC148" s="61">
        <f t="shared" si="225"/>
        <v>4.7E-2</v>
      </c>
      <c r="BD148" s="58">
        <v>0</v>
      </c>
      <c r="BE148" s="49">
        <f t="shared" si="226"/>
        <v>2.6508000000000001E-5</v>
      </c>
      <c r="BF148" s="61">
        <f t="shared" si="241"/>
        <v>2.6508000000000001E-5</v>
      </c>
      <c r="BG148" s="58">
        <f t="shared" si="227"/>
        <v>1.4700399999999999E-2</v>
      </c>
      <c r="BH148" s="49">
        <f t="shared" si="228"/>
        <v>1.41E-2</v>
      </c>
      <c r="BI148" s="61">
        <f t="shared" si="229"/>
        <v>2.8800399999999997E-2</v>
      </c>
      <c r="BK148" s="218">
        <f t="shared" si="206"/>
        <v>0</v>
      </c>
      <c r="BL148" s="214">
        <f t="shared" si="207"/>
        <v>0</v>
      </c>
      <c r="BM148" s="214">
        <f t="shared" si="208"/>
        <v>0</v>
      </c>
      <c r="BN148" s="61">
        <f t="shared" si="244"/>
        <v>0</v>
      </c>
      <c r="BO148" s="58">
        <v>0</v>
      </c>
      <c r="BP148" s="49">
        <f t="shared" si="230"/>
        <v>0</v>
      </c>
      <c r="BQ148" s="61">
        <f t="shared" si="242"/>
        <v>0</v>
      </c>
      <c r="BR148" s="58">
        <f t="shared" si="231"/>
        <v>0</v>
      </c>
      <c r="BS148" s="49">
        <f t="shared" si="232"/>
        <v>0</v>
      </c>
      <c r="BT148" s="61">
        <f t="shared" si="243"/>
        <v>0</v>
      </c>
      <c r="BU148" s="58">
        <f t="shared" si="209"/>
        <v>1.5737244882086283E-2</v>
      </c>
      <c r="BV148" s="49">
        <f t="shared" si="210"/>
        <v>2.59875E-2</v>
      </c>
      <c r="BW148" s="61">
        <f t="shared" si="211"/>
        <v>5.4000000000000003E-3</v>
      </c>
      <c r="BX148" s="49">
        <f t="shared" si="233"/>
        <v>0.69339518123129418</v>
      </c>
      <c r="BY148" s="49">
        <f t="shared" si="234"/>
        <v>1.6513990947250659</v>
      </c>
      <c r="BZ148" s="49">
        <f t="shared" si="235"/>
        <v>93.264241581512351</v>
      </c>
    </row>
    <row r="149" spans="17:78" x14ac:dyDescent="0.35">
      <c r="Q149" s="49">
        <v>142</v>
      </c>
      <c r="R149" s="218">
        <f t="shared" si="189"/>
        <v>23.027666666666665</v>
      </c>
      <c r="S149" s="214">
        <f t="shared" si="190"/>
        <v>12</v>
      </c>
      <c r="T149" s="219">
        <f t="shared" si="191"/>
        <v>1.9189722222222221</v>
      </c>
      <c r="U149" s="218">
        <f t="shared" si="192"/>
        <v>2</v>
      </c>
      <c r="V149" s="214">
        <f t="shared" si="193"/>
        <v>0.4825090470446321</v>
      </c>
      <c r="W149" s="214">
        <f t="shared" si="194"/>
        <v>0.51749095295536796</v>
      </c>
      <c r="X149" s="214">
        <f t="shared" si="212"/>
        <v>0</v>
      </c>
      <c r="Y149" s="218">
        <f t="shared" si="213"/>
        <v>3.977069930555555</v>
      </c>
      <c r="Z149" s="214">
        <f t="shared" si="195"/>
        <v>2.924297254815952</v>
      </c>
      <c r="AA149" s="214">
        <f t="shared" si="214"/>
        <v>5.4392185579635308</v>
      </c>
      <c r="AB149" s="219">
        <f t="shared" si="196"/>
        <v>2.8241344360034613</v>
      </c>
      <c r="AC149" s="218">
        <v>0</v>
      </c>
      <c r="AD149" s="214">
        <f t="shared" si="197"/>
        <v>0.23927205937861765</v>
      </c>
      <c r="AE149" s="219">
        <f t="shared" si="215"/>
        <v>0.23927205937861765</v>
      </c>
      <c r="AF149" s="58">
        <f t="shared" si="198"/>
        <v>0.46055333333333331</v>
      </c>
      <c r="AG149" s="61">
        <f t="shared" si="199"/>
        <v>0.46055333333333331</v>
      </c>
      <c r="AH149" s="58">
        <f t="shared" si="200"/>
        <v>6.9388897219799114E-2</v>
      </c>
      <c r="AI149" s="49">
        <f t="shared" si="201"/>
        <v>0.10396510198010409</v>
      </c>
      <c r="AJ149" s="61">
        <f t="shared" si="216"/>
        <v>0.17335399919990319</v>
      </c>
      <c r="AK149" s="218">
        <f t="shared" si="202"/>
        <v>22.72</v>
      </c>
      <c r="AL149" s="214">
        <f t="shared" si="203"/>
        <v>48</v>
      </c>
      <c r="AM149" s="219">
        <f t="shared" si="217"/>
        <v>0.47333333333333333</v>
      </c>
      <c r="AN149" s="218">
        <f t="shared" si="218"/>
        <v>2</v>
      </c>
      <c r="AO149" s="214">
        <f t="shared" si="219"/>
        <v>0.51749095295536796</v>
      </c>
      <c r="AP149" s="214">
        <f t="shared" si="220"/>
        <v>0.9146697746697745</v>
      </c>
      <c r="AQ149" s="214">
        <f t="shared" si="221"/>
        <v>0.6816543717519703</v>
      </c>
      <c r="AR149" s="214">
        <f t="shared" si="236"/>
        <v>1.2554969605457598</v>
      </c>
      <c r="AS149" s="219">
        <f t="shared" si="237"/>
        <v>0.67303899587364791</v>
      </c>
      <c r="AT149" s="218"/>
      <c r="AU149" s="214">
        <f t="shared" si="222"/>
        <v>2.6885333333333335E-3</v>
      </c>
      <c r="AV149" s="219">
        <f t="shared" si="238"/>
        <v>2.6885333333333335E-3</v>
      </c>
      <c r="AW149" s="218">
        <f t="shared" si="223"/>
        <v>0.109428</v>
      </c>
      <c r="AX149" s="214">
        <f t="shared" si="224"/>
        <v>0.14199999999999999</v>
      </c>
      <c r="AY149" s="219">
        <f t="shared" si="239"/>
        <v>0.25142799999999998</v>
      </c>
      <c r="AZ149" s="218">
        <f t="shared" si="204"/>
        <v>0.30766666666666664</v>
      </c>
      <c r="BA149" s="214">
        <f t="shared" si="205"/>
        <v>6.5</v>
      </c>
      <c r="BB149" s="214">
        <f t="shared" si="240"/>
        <v>4.7333333333333331E-2</v>
      </c>
      <c r="BC149" s="61">
        <f t="shared" si="225"/>
        <v>4.7333333333333331E-2</v>
      </c>
      <c r="BD149" s="58">
        <v>0</v>
      </c>
      <c r="BE149" s="49">
        <f t="shared" si="226"/>
        <v>2.6885333333333332E-5</v>
      </c>
      <c r="BF149" s="61">
        <f t="shared" si="241"/>
        <v>2.6885333333333332E-5</v>
      </c>
      <c r="BG149" s="58">
        <f t="shared" si="227"/>
        <v>1.4700399999999999E-2</v>
      </c>
      <c r="BH149" s="49">
        <f t="shared" si="228"/>
        <v>1.4199999999999999E-2</v>
      </c>
      <c r="BI149" s="61">
        <f t="shared" si="229"/>
        <v>2.89004E-2</v>
      </c>
      <c r="BK149" s="218">
        <f t="shared" si="206"/>
        <v>0</v>
      </c>
      <c r="BL149" s="214">
        <f t="shared" si="207"/>
        <v>0</v>
      </c>
      <c r="BM149" s="214">
        <f t="shared" si="208"/>
        <v>0</v>
      </c>
      <c r="BN149" s="61">
        <f t="shared" si="244"/>
        <v>0</v>
      </c>
      <c r="BO149" s="58">
        <v>0</v>
      </c>
      <c r="BP149" s="49">
        <f t="shared" si="230"/>
        <v>0</v>
      </c>
      <c r="BQ149" s="61">
        <f t="shared" si="242"/>
        <v>0</v>
      </c>
      <c r="BR149" s="58">
        <f t="shared" si="231"/>
        <v>0</v>
      </c>
      <c r="BS149" s="49">
        <f t="shared" si="232"/>
        <v>0</v>
      </c>
      <c r="BT149" s="61">
        <f t="shared" si="243"/>
        <v>0</v>
      </c>
      <c r="BU149" s="58">
        <f t="shared" si="209"/>
        <v>1.5951470625241177E-2</v>
      </c>
      <c r="BV149" s="49">
        <f t="shared" si="210"/>
        <v>2.59875E-2</v>
      </c>
      <c r="BW149" s="61">
        <f t="shared" si="211"/>
        <v>5.4000000000000003E-3</v>
      </c>
      <c r="BX149" s="49">
        <f t="shared" si="233"/>
        <v>0.69985227804528427</v>
      </c>
      <c r="BY149" s="49">
        <f t="shared" si="234"/>
        <v>1.6641155145370954</v>
      </c>
      <c r="BZ149" s="49">
        <f t="shared" si="235"/>
        <v>93.260447940433096</v>
      </c>
    </row>
    <row r="150" spans="17:78" x14ac:dyDescent="0.35">
      <c r="Q150" s="49">
        <v>143</v>
      </c>
      <c r="R150" s="218">
        <f t="shared" si="189"/>
        <v>23.189833333333333</v>
      </c>
      <c r="S150" s="214">
        <f t="shared" si="190"/>
        <v>12</v>
      </c>
      <c r="T150" s="219">
        <f t="shared" si="191"/>
        <v>1.9324861111111111</v>
      </c>
      <c r="U150" s="218">
        <f t="shared" si="192"/>
        <v>2</v>
      </c>
      <c r="V150" s="214">
        <f t="shared" si="193"/>
        <v>0.4825090470446321</v>
      </c>
      <c r="W150" s="214">
        <f t="shared" si="194"/>
        <v>0.51749095295536796</v>
      </c>
      <c r="X150" s="214">
        <f t="shared" si="212"/>
        <v>0</v>
      </c>
      <c r="Y150" s="218">
        <f t="shared" si="213"/>
        <v>4.0050774652777772</v>
      </c>
      <c r="Z150" s="214">
        <f t="shared" si="195"/>
        <v>2.924297254815952</v>
      </c>
      <c r="AA150" s="214">
        <f t="shared" si="214"/>
        <v>5.4672260926857534</v>
      </c>
      <c r="AB150" s="219">
        <f t="shared" si="196"/>
        <v>2.8431681564097855</v>
      </c>
      <c r="AC150" s="218">
        <v>0</v>
      </c>
      <c r="AD150" s="214">
        <f t="shared" si="197"/>
        <v>0.24250815496867853</v>
      </c>
      <c r="AE150" s="219">
        <f t="shared" si="215"/>
        <v>0.24250815496867853</v>
      </c>
      <c r="AF150" s="58">
        <f t="shared" si="198"/>
        <v>0.46379666666666663</v>
      </c>
      <c r="AG150" s="61">
        <f t="shared" si="199"/>
        <v>0.46379666666666663</v>
      </c>
      <c r="AH150" s="58">
        <f t="shared" si="200"/>
        <v>7.0327364940916778E-2</v>
      </c>
      <c r="AI150" s="49">
        <f t="shared" si="201"/>
        <v>0.10469725058559777</v>
      </c>
      <c r="AJ150" s="61">
        <f t="shared" si="216"/>
        <v>0.17502461552651455</v>
      </c>
      <c r="AK150" s="218">
        <f t="shared" si="202"/>
        <v>22.88</v>
      </c>
      <c r="AL150" s="214">
        <f t="shared" si="203"/>
        <v>48</v>
      </c>
      <c r="AM150" s="219">
        <f t="shared" si="217"/>
        <v>0.47666666666666663</v>
      </c>
      <c r="AN150" s="218">
        <f t="shared" si="218"/>
        <v>2</v>
      </c>
      <c r="AO150" s="214">
        <f t="shared" si="219"/>
        <v>0.51749095295536796</v>
      </c>
      <c r="AP150" s="214">
        <f t="shared" si="220"/>
        <v>0.92111111111111099</v>
      </c>
      <c r="AQ150" s="214">
        <f t="shared" si="221"/>
        <v>0.6816543717519703</v>
      </c>
      <c r="AR150" s="214">
        <f t="shared" si="236"/>
        <v>1.261938296987096</v>
      </c>
      <c r="AS150" s="219">
        <f t="shared" si="237"/>
        <v>0.67756974518190949</v>
      </c>
      <c r="AT150" s="218"/>
      <c r="AU150" s="214">
        <f t="shared" si="222"/>
        <v>2.7265333333333329E-3</v>
      </c>
      <c r="AV150" s="219">
        <f t="shared" si="238"/>
        <v>2.7265333333333329E-3</v>
      </c>
      <c r="AW150" s="218">
        <f t="shared" si="223"/>
        <v>0.109428</v>
      </c>
      <c r="AX150" s="214">
        <f t="shared" si="224"/>
        <v>0.14299999999999999</v>
      </c>
      <c r="AY150" s="219">
        <f t="shared" si="239"/>
        <v>0.25242799999999999</v>
      </c>
      <c r="AZ150" s="218">
        <f t="shared" si="204"/>
        <v>0.30983333333333329</v>
      </c>
      <c r="BA150" s="214">
        <f t="shared" si="205"/>
        <v>6.5</v>
      </c>
      <c r="BB150" s="214">
        <f t="shared" si="240"/>
        <v>4.7666666666666663E-2</v>
      </c>
      <c r="BC150" s="61">
        <f t="shared" si="225"/>
        <v>4.7666666666666663E-2</v>
      </c>
      <c r="BD150" s="58">
        <v>0</v>
      </c>
      <c r="BE150" s="49">
        <f t="shared" si="226"/>
        <v>2.7265333333333328E-5</v>
      </c>
      <c r="BF150" s="61">
        <f t="shared" si="241"/>
        <v>2.7265333333333328E-5</v>
      </c>
      <c r="BG150" s="58">
        <f t="shared" si="227"/>
        <v>1.4700399999999999E-2</v>
      </c>
      <c r="BH150" s="49">
        <f t="shared" si="228"/>
        <v>1.4299999999999998E-2</v>
      </c>
      <c r="BI150" s="61">
        <f t="shared" si="229"/>
        <v>2.9000399999999996E-2</v>
      </c>
      <c r="BK150" s="218">
        <f t="shared" si="206"/>
        <v>0</v>
      </c>
      <c r="BL150" s="214">
        <f t="shared" si="207"/>
        <v>0</v>
      </c>
      <c r="BM150" s="214">
        <f t="shared" si="208"/>
        <v>0</v>
      </c>
      <c r="BN150" s="61">
        <f t="shared" si="244"/>
        <v>0</v>
      </c>
      <c r="BO150" s="58">
        <v>0</v>
      </c>
      <c r="BP150" s="49">
        <f t="shared" si="230"/>
        <v>0</v>
      </c>
      <c r="BQ150" s="61">
        <f t="shared" si="242"/>
        <v>0</v>
      </c>
      <c r="BR150" s="58">
        <f t="shared" si="231"/>
        <v>0</v>
      </c>
      <c r="BS150" s="49">
        <f t="shared" si="232"/>
        <v>0</v>
      </c>
      <c r="BT150" s="61">
        <f t="shared" si="243"/>
        <v>0</v>
      </c>
      <c r="BU150" s="58">
        <f t="shared" si="209"/>
        <v>1.6167210331245237E-2</v>
      </c>
      <c r="BV150" s="49">
        <f t="shared" si="210"/>
        <v>2.59875E-2</v>
      </c>
      <c r="BW150" s="61">
        <f t="shared" si="211"/>
        <v>5.4000000000000003E-3</v>
      </c>
      <c r="BX150" s="49">
        <f t="shared" si="233"/>
        <v>0.70633208696867844</v>
      </c>
      <c r="BY150" s="49">
        <f t="shared" si="234"/>
        <v>1.6768630128264383</v>
      </c>
      <c r="BZ150" s="49">
        <f t="shared" si="235"/>
        <v>93.256591106902704</v>
      </c>
    </row>
    <row r="151" spans="17:78" x14ac:dyDescent="0.35">
      <c r="Q151" s="49">
        <v>144</v>
      </c>
      <c r="R151" s="218">
        <f t="shared" si="189"/>
        <v>23.352</v>
      </c>
      <c r="S151" s="214">
        <f t="shared" si="190"/>
        <v>12</v>
      </c>
      <c r="T151" s="219">
        <f t="shared" si="191"/>
        <v>1.946</v>
      </c>
      <c r="U151" s="218">
        <f t="shared" si="192"/>
        <v>2</v>
      </c>
      <c r="V151" s="214">
        <f t="shared" si="193"/>
        <v>0.4825090470446321</v>
      </c>
      <c r="W151" s="214">
        <f t="shared" si="194"/>
        <v>0.51749095295536796</v>
      </c>
      <c r="X151" s="214">
        <f t="shared" si="212"/>
        <v>0</v>
      </c>
      <c r="Y151" s="218">
        <f t="shared" si="213"/>
        <v>4.0330849999999998</v>
      </c>
      <c r="Z151" s="214">
        <f t="shared" si="195"/>
        <v>2.924297254815952</v>
      </c>
      <c r="AA151" s="214">
        <f t="shared" si="214"/>
        <v>5.4952336274079761</v>
      </c>
      <c r="AB151" s="219">
        <f t="shared" si="196"/>
        <v>2.862207539653479</v>
      </c>
      <c r="AC151" s="218">
        <v>0</v>
      </c>
      <c r="AD151" s="214">
        <f t="shared" si="197"/>
        <v>0.24576696000147663</v>
      </c>
      <c r="AE151" s="219">
        <f t="shared" si="215"/>
        <v>0.24576696000147663</v>
      </c>
      <c r="AF151" s="58">
        <f t="shared" si="198"/>
        <v>0.46704000000000001</v>
      </c>
      <c r="AG151" s="61">
        <f t="shared" si="199"/>
        <v>0.46704000000000001</v>
      </c>
      <c r="AH151" s="58">
        <f t="shared" si="200"/>
        <v>7.1272418400428222E-2</v>
      </c>
      <c r="AI151" s="49">
        <f t="shared" si="201"/>
        <v>0.10542939919109148</v>
      </c>
      <c r="AJ151" s="61">
        <f t="shared" si="216"/>
        <v>0.17670181759151971</v>
      </c>
      <c r="AK151" s="218">
        <f t="shared" si="202"/>
        <v>23.04</v>
      </c>
      <c r="AL151" s="214">
        <f t="shared" si="203"/>
        <v>48</v>
      </c>
      <c r="AM151" s="219">
        <f t="shared" si="217"/>
        <v>0.48</v>
      </c>
      <c r="AN151" s="218">
        <f t="shared" si="218"/>
        <v>2</v>
      </c>
      <c r="AO151" s="214">
        <f t="shared" si="219"/>
        <v>0.51749095295536796</v>
      </c>
      <c r="AP151" s="214">
        <f t="shared" si="220"/>
        <v>0.92755244755244748</v>
      </c>
      <c r="AQ151" s="214">
        <f t="shared" si="221"/>
        <v>0.6816543717519703</v>
      </c>
      <c r="AR151" s="214">
        <f t="shared" si="236"/>
        <v>1.2683796334284327</v>
      </c>
      <c r="AS151" s="219">
        <f t="shared" si="237"/>
        <v>0.68210187761659902</v>
      </c>
      <c r="AT151" s="218"/>
      <c r="AU151" s="214">
        <f t="shared" si="222"/>
        <v>2.7648E-3</v>
      </c>
      <c r="AV151" s="219">
        <f t="shared" si="238"/>
        <v>2.7648E-3</v>
      </c>
      <c r="AW151" s="218">
        <f t="shared" si="223"/>
        <v>0.109428</v>
      </c>
      <c r="AX151" s="214">
        <f t="shared" si="224"/>
        <v>0.14399999999999999</v>
      </c>
      <c r="AY151" s="219">
        <f t="shared" si="239"/>
        <v>0.25342799999999999</v>
      </c>
      <c r="AZ151" s="218">
        <f t="shared" si="204"/>
        <v>0.312</v>
      </c>
      <c r="BA151" s="214">
        <f t="shared" si="205"/>
        <v>6.5</v>
      </c>
      <c r="BB151" s="214">
        <f t="shared" si="240"/>
        <v>4.8000000000000001E-2</v>
      </c>
      <c r="BC151" s="61">
        <f t="shared" si="225"/>
        <v>4.8000000000000001E-2</v>
      </c>
      <c r="BD151" s="58">
        <v>0</v>
      </c>
      <c r="BE151" s="49">
        <f t="shared" si="226"/>
        <v>2.7648E-5</v>
      </c>
      <c r="BF151" s="61">
        <f t="shared" si="241"/>
        <v>2.7648E-5</v>
      </c>
      <c r="BG151" s="58">
        <f t="shared" si="227"/>
        <v>1.4700399999999999E-2</v>
      </c>
      <c r="BH151" s="49">
        <f t="shared" si="228"/>
        <v>1.44E-2</v>
      </c>
      <c r="BI151" s="61">
        <f t="shared" si="229"/>
        <v>2.9100399999999998E-2</v>
      </c>
      <c r="BK151" s="218">
        <f t="shared" si="206"/>
        <v>0</v>
      </c>
      <c r="BL151" s="214">
        <f t="shared" si="207"/>
        <v>0</v>
      </c>
      <c r="BM151" s="214">
        <f t="shared" si="208"/>
        <v>0</v>
      </c>
      <c r="BN151" s="61">
        <f t="shared" si="244"/>
        <v>0</v>
      </c>
      <c r="BO151" s="58">
        <v>0</v>
      </c>
      <c r="BP151" s="49">
        <f t="shared" si="230"/>
        <v>0</v>
      </c>
      <c r="BQ151" s="61">
        <f t="shared" si="242"/>
        <v>0</v>
      </c>
      <c r="BR151" s="58">
        <f t="shared" si="231"/>
        <v>0</v>
      </c>
      <c r="BS151" s="49">
        <f t="shared" si="232"/>
        <v>0</v>
      </c>
      <c r="BT151" s="61">
        <f t="shared" si="243"/>
        <v>0</v>
      </c>
      <c r="BU151" s="58">
        <f t="shared" si="209"/>
        <v>1.6384464000098443E-2</v>
      </c>
      <c r="BV151" s="49">
        <f t="shared" si="210"/>
        <v>2.59875E-2</v>
      </c>
      <c r="BW151" s="61">
        <f t="shared" si="211"/>
        <v>5.4000000000000003E-3</v>
      </c>
      <c r="BX151" s="49">
        <f t="shared" si="233"/>
        <v>0.71283460800147669</v>
      </c>
      <c r="BY151" s="49">
        <f t="shared" si="234"/>
        <v>1.6896415895930947</v>
      </c>
      <c r="BZ151" s="49">
        <f t="shared" si="235"/>
        <v>93.252672419465981</v>
      </c>
    </row>
    <row r="152" spans="17:78" x14ac:dyDescent="0.35">
      <c r="Q152" s="49">
        <v>145</v>
      </c>
      <c r="R152" s="218">
        <f t="shared" si="189"/>
        <v>23.514166666666664</v>
      </c>
      <c r="S152" s="214">
        <f t="shared" si="190"/>
        <v>12</v>
      </c>
      <c r="T152" s="219">
        <f t="shared" si="191"/>
        <v>1.9595138888888888</v>
      </c>
      <c r="U152" s="218">
        <f t="shared" si="192"/>
        <v>2</v>
      </c>
      <c r="V152" s="214">
        <f t="shared" si="193"/>
        <v>0.4825090470446321</v>
      </c>
      <c r="W152" s="214">
        <f t="shared" si="194"/>
        <v>0.51749095295536796</v>
      </c>
      <c r="X152" s="214">
        <f t="shared" si="212"/>
        <v>0</v>
      </c>
      <c r="Y152" s="218">
        <f t="shared" si="213"/>
        <v>4.0610925347222215</v>
      </c>
      <c r="Z152" s="214">
        <f t="shared" si="195"/>
        <v>2.924297254815952</v>
      </c>
      <c r="AA152" s="214">
        <f t="shared" si="214"/>
        <v>5.5232411621301978</v>
      </c>
      <c r="AB152" s="219">
        <f t="shared" si="196"/>
        <v>2.8812524734740608</v>
      </c>
      <c r="AC152" s="218">
        <v>0</v>
      </c>
      <c r="AD152" s="214">
        <f t="shared" si="197"/>
        <v>0.24904847447701176</v>
      </c>
      <c r="AE152" s="219">
        <f t="shared" si="215"/>
        <v>0.24904847447701176</v>
      </c>
      <c r="AF152" s="58">
        <f t="shared" si="198"/>
        <v>0.47028333333333328</v>
      </c>
      <c r="AG152" s="61">
        <f t="shared" si="199"/>
        <v>0.47028333333333328</v>
      </c>
      <c r="AH152" s="58">
        <f t="shared" si="200"/>
        <v>7.2224057598333405E-2</v>
      </c>
      <c r="AI152" s="49">
        <f t="shared" si="201"/>
        <v>0.10616154779658517</v>
      </c>
      <c r="AJ152" s="61">
        <f t="shared" si="216"/>
        <v>0.17838560539491857</v>
      </c>
      <c r="AK152" s="218">
        <f t="shared" si="202"/>
        <v>23.2</v>
      </c>
      <c r="AL152" s="214">
        <f t="shared" si="203"/>
        <v>48</v>
      </c>
      <c r="AM152" s="219">
        <f t="shared" si="217"/>
        <v>0.48333333333333334</v>
      </c>
      <c r="AN152" s="218">
        <f t="shared" si="218"/>
        <v>2</v>
      </c>
      <c r="AO152" s="214">
        <f t="shared" si="219"/>
        <v>0.51749095295536796</v>
      </c>
      <c r="AP152" s="214">
        <f t="shared" si="220"/>
        <v>0.93399378399378385</v>
      </c>
      <c r="AQ152" s="214">
        <f t="shared" si="221"/>
        <v>0.6816543717519703</v>
      </c>
      <c r="AR152" s="214">
        <f t="shared" si="236"/>
        <v>1.274820969869769</v>
      </c>
      <c r="AS152" s="219">
        <f t="shared" si="237"/>
        <v>0.68663536578976458</v>
      </c>
      <c r="AT152" s="218"/>
      <c r="AU152" s="214">
        <f t="shared" si="222"/>
        <v>2.8033333333333335E-3</v>
      </c>
      <c r="AV152" s="219">
        <f t="shared" si="238"/>
        <v>2.8033333333333335E-3</v>
      </c>
      <c r="AW152" s="218">
        <f t="shared" si="223"/>
        <v>0.109428</v>
      </c>
      <c r="AX152" s="214">
        <f t="shared" si="224"/>
        <v>0.14499999999999999</v>
      </c>
      <c r="AY152" s="219">
        <f t="shared" si="239"/>
        <v>0.25442799999999999</v>
      </c>
      <c r="AZ152" s="218">
        <f t="shared" si="204"/>
        <v>0.31416666666666665</v>
      </c>
      <c r="BA152" s="214">
        <f t="shared" si="205"/>
        <v>6.5</v>
      </c>
      <c r="BB152" s="214">
        <f t="shared" si="240"/>
        <v>4.8333333333333332E-2</v>
      </c>
      <c r="BC152" s="61">
        <f t="shared" si="225"/>
        <v>4.8333333333333332E-2</v>
      </c>
      <c r="BD152" s="58">
        <v>0</v>
      </c>
      <c r="BE152" s="49">
        <f t="shared" si="226"/>
        <v>2.8033333333333331E-5</v>
      </c>
      <c r="BF152" s="61">
        <f t="shared" si="241"/>
        <v>2.8033333333333331E-5</v>
      </c>
      <c r="BG152" s="58">
        <f t="shared" si="227"/>
        <v>1.4700399999999999E-2</v>
      </c>
      <c r="BH152" s="49">
        <f t="shared" si="228"/>
        <v>1.4499999999999999E-2</v>
      </c>
      <c r="BI152" s="61">
        <f t="shared" si="229"/>
        <v>2.9200399999999998E-2</v>
      </c>
      <c r="BK152" s="218">
        <f t="shared" si="206"/>
        <v>0</v>
      </c>
      <c r="BL152" s="214">
        <f t="shared" si="207"/>
        <v>0</v>
      </c>
      <c r="BM152" s="214">
        <f t="shared" si="208"/>
        <v>0</v>
      </c>
      <c r="BN152" s="61">
        <f t="shared" si="244"/>
        <v>0</v>
      </c>
      <c r="BO152" s="58">
        <v>0</v>
      </c>
      <c r="BP152" s="49">
        <f t="shared" si="230"/>
        <v>0</v>
      </c>
      <c r="BQ152" s="61">
        <f t="shared" si="242"/>
        <v>0</v>
      </c>
      <c r="BR152" s="58">
        <f t="shared" si="231"/>
        <v>0</v>
      </c>
      <c r="BS152" s="49">
        <f t="shared" si="232"/>
        <v>0</v>
      </c>
      <c r="BT152" s="61">
        <f t="shared" si="243"/>
        <v>0</v>
      </c>
      <c r="BU152" s="58">
        <f t="shared" si="209"/>
        <v>1.6603231631800785E-2</v>
      </c>
      <c r="BV152" s="49">
        <f t="shared" si="210"/>
        <v>2.59875E-2</v>
      </c>
      <c r="BW152" s="61">
        <f t="shared" si="211"/>
        <v>5.4000000000000003E-3</v>
      </c>
      <c r="BX152" s="49">
        <f t="shared" si="233"/>
        <v>0.71935984114367835</v>
      </c>
      <c r="BY152" s="49">
        <f t="shared" si="234"/>
        <v>1.7024512448370643</v>
      </c>
      <c r="BZ152" s="49">
        <f t="shared" si="235"/>
        <v>93.248693179982666</v>
      </c>
    </row>
    <row r="153" spans="17:78" x14ac:dyDescent="0.35">
      <c r="Q153" s="49">
        <v>146</v>
      </c>
      <c r="R153" s="218">
        <f t="shared" si="189"/>
        <v>23.676333333333332</v>
      </c>
      <c r="S153" s="214">
        <f t="shared" si="190"/>
        <v>12</v>
      </c>
      <c r="T153" s="219">
        <f t="shared" si="191"/>
        <v>1.9730277777777776</v>
      </c>
      <c r="U153" s="218">
        <f t="shared" si="192"/>
        <v>2</v>
      </c>
      <c r="V153" s="214">
        <f t="shared" si="193"/>
        <v>0.4825090470446321</v>
      </c>
      <c r="W153" s="214">
        <f t="shared" si="194"/>
        <v>0.51749095295536796</v>
      </c>
      <c r="X153" s="214">
        <f t="shared" si="212"/>
        <v>0</v>
      </c>
      <c r="Y153" s="218">
        <f t="shared" si="213"/>
        <v>4.0891000694444442</v>
      </c>
      <c r="Z153" s="214">
        <f t="shared" si="195"/>
        <v>2.924297254815952</v>
      </c>
      <c r="AA153" s="214">
        <f t="shared" si="214"/>
        <v>5.5512486968524204</v>
      </c>
      <c r="AB153" s="219">
        <f t="shared" si="196"/>
        <v>2.9003028485273998</v>
      </c>
      <c r="AC153" s="218">
        <v>0</v>
      </c>
      <c r="AD153" s="214">
        <f t="shared" si="197"/>
        <v>0.25235269839528451</v>
      </c>
      <c r="AE153" s="219">
        <f t="shared" si="215"/>
        <v>0.25235269839528451</v>
      </c>
      <c r="AF153" s="58">
        <f t="shared" si="198"/>
        <v>0.47352666666666665</v>
      </c>
      <c r="AG153" s="61">
        <f t="shared" si="199"/>
        <v>0.47352666666666665</v>
      </c>
      <c r="AH153" s="58">
        <f t="shared" si="200"/>
        <v>7.3182282534632506E-2</v>
      </c>
      <c r="AI153" s="49">
        <f t="shared" si="201"/>
        <v>0.10689369640207887</v>
      </c>
      <c r="AJ153" s="61">
        <f t="shared" si="216"/>
        <v>0.18007597893671137</v>
      </c>
      <c r="AK153" s="218">
        <f t="shared" si="202"/>
        <v>23.36</v>
      </c>
      <c r="AL153" s="214">
        <f t="shared" si="203"/>
        <v>48</v>
      </c>
      <c r="AM153" s="219">
        <f t="shared" si="217"/>
        <v>0.48666666666666664</v>
      </c>
      <c r="AN153" s="218">
        <f t="shared" si="218"/>
        <v>2</v>
      </c>
      <c r="AO153" s="214">
        <f t="shared" si="219"/>
        <v>0.51749095295536784</v>
      </c>
      <c r="AP153" s="214">
        <f t="shared" si="220"/>
        <v>0.94043512043512045</v>
      </c>
      <c r="AQ153" s="214">
        <f t="shared" si="221"/>
        <v>0.68165437175197008</v>
      </c>
      <c r="AR153" s="214">
        <f t="shared" si="236"/>
        <v>1.2812623063111055</v>
      </c>
      <c r="AS153" s="219">
        <f t="shared" si="237"/>
        <v>0.69117018302393529</v>
      </c>
      <c r="AT153" s="218"/>
      <c r="AU153" s="214">
        <f t="shared" si="222"/>
        <v>2.8421333333333329E-3</v>
      </c>
      <c r="AV153" s="219">
        <f t="shared" si="238"/>
        <v>2.8421333333333329E-3</v>
      </c>
      <c r="AW153" s="218">
        <f t="shared" si="223"/>
        <v>0.109428</v>
      </c>
      <c r="AX153" s="214">
        <f t="shared" si="224"/>
        <v>0.14599999999999999</v>
      </c>
      <c r="AY153" s="219">
        <f t="shared" si="239"/>
        <v>0.25542799999999999</v>
      </c>
      <c r="AZ153" s="218">
        <f t="shared" si="204"/>
        <v>0.3163333333333333</v>
      </c>
      <c r="BA153" s="214">
        <f t="shared" si="205"/>
        <v>6.5</v>
      </c>
      <c r="BB153" s="214">
        <f t="shared" si="240"/>
        <v>4.8666666666666664E-2</v>
      </c>
      <c r="BC153" s="61">
        <f t="shared" si="225"/>
        <v>4.8666666666666664E-2</v>
      </c>
      <c r="BD153" s="58">
        <v>0</v>
      </c>
      <c r="BE153" s="49">
        <f t="shared" si="226"/>
        <v>2.8421333333333332E-5</v>
      </c>
      <c r="BF153" s="61">
        <f t="shared" si="241"/>
        <v>2.8421333333333332E-5</v>
      </c>
      <c r="BG153" s="58">
        <f t="shared" si="227"/>
        <v>1.4700399999999999E-2</v>
      </c>
      <c r="BH153" s="49">
        <f t="shared" si="228"/>
        <v>1.4599999999999998E-2</v>
      </c>
      <c r="BI153" s="61">
        <f t="shared" si="229"/>
        <v>2.9300399999999997E-2</v>
      </c>
      <c r="BK153" s="218">
        <f t="shared" si="206"/>
        <v>0</v>
      </c>
      <c r="BL153" s="214">
        <f t="shared" si="207"/>
        <v>0</v>
      </c>
      <c r="BM153" s="214">
        <f t="shared" si="208"/>
        <v>0</v>
      </c>
      <c r="BN153" s="61">
        <f t="shared" si="244"/>
        <v>0</v>
      </c>
      <c r="BO153" s="58">
        <v>0</v>
      </c>
      <c r="BP153" s="49">
        <f t="shared" si="230"/>
        <v>0</v>
      </c>
      <c r="BQ153" s="61">
        <f t="shared" si="242"/>
        <v>0</v>
      </c>
      <c r="BR153" s="58">
        <f t="shared" si="231"/>
        <v>0</v>
      </c>
      <c r="BS153" s="49">
        <f t="shared" si="232"/>
        <v>0</v>
      </c>
      <c r="BT153" s="61">
        <f t="shared" si="243"/>
        <v>0</v>
      </c>
      <c r="BU153" s="58">
        <f t="shared" si="209"/>
        <v>1.68235132263523E-2</v>
      </c>
      <c r="BV153" s="49">
        <f t="shared" si="210"/>
        <v>2.59875E-2</v>
      </c>
      <c r="BW153" s="61">
        <f t="shared" si="211"/>
        <v>5.4000000000000003E-3</v>
      </c>
      <c r="BX153" s="49">
        <f t="shared" si="233"/>
        <v>0.72590778639528453</v>
      </c>
      <c r="BY153" s="49">
        <f t="shared" si="234"/>
        <v>1.715291978558348</v>
      </c>
      <c r="BZ153" s="49">
        <f t="shared" si="235"/>
        <v>93.244654654875418</v>
      </c>
    </row>
    <row r="154" spans="17:78" x14ac:dyDescent="0.35">
      <c r="Q154" s="49">
        <v>147</v>
      </c>
      <c r="R154" s="218">
        <f t="shared" si="189"/>
        <v>23.8385</v>
      </c>
      <c r="S154" s="214">
        <f t="shared" si="190"/>
        <v>12</v>
      </c>
      <c r="T154" s="219">
        <f t="shared" si="191"/>
        <v>1.9865416666666667</v>
      </c>
      <c r="U154" s="218">
        <f t="shared" si="192"/>
        <v>2</v>
      </c>
      <c r="V154" s="214">
        <f t="shared" si="193"/>
        <v>0.4825090470446321</v>
      </c>
      <c r="W154" s="214">
        <f t="shared" si="194"/>
        <v>0.51749095295536796</v>
      </c>
      <c r="X154" s="214">
        <f t="shared" si="212"/>
        <v>0</v>
      </c>
      <c r="Y154" s="218">
        <f t="shared" si="213"/>
        <v>4.1171076041666668</v>
      </c>
      <c r="Z154" s="214">
        <f t="shared" si="195"/>
        <v>2.924297254815952</v>
      </c>
      <c r="AA154" s="214">
        <f t="shared" si="214"/>
        <v>5.579256231574643</v>
      </c>
      <c r="AB154" s="219">
        <f t="shared" si="196"/>
        <v>2.9193585582926396</v>
      </c>
      <c r="AC154" s="218">
        <v>0</v>
      </c>
      <c r="AD154" s="214">
        <f t="shared" si="197"/>
        <v>0.25567963175629438</v>
      </c>
      <c r="AE154" s="219">
        <f t="shared" si="215"/>
        <v>0.25567963175629438</v>
      </c>
      <c r="AF154" s="58">
        <f t="shared" si="198"/>
        <v>0.47677000000000003</v>
      </c>
      <c r="AG154" s="61">
        <f t="shared" si="199"/>
        <v>0.47677000000000003</v>
      </c>
      <c r="AH154" s="58">
        <f t="shared" si="200"/>
        <v>7.414709320932536E-2</v>
      </c>
      <c r="AI154" s="49">
        <f t="shared" si="201"/>
        <v>0.10762584500757255</v>
      </c>
      <c r="AJ154" s="61">
        <f t="shared" si="216"/>
        <v>0.18177293821689791</v>
      </c>
      <c r="AK154" s="218">
        <f t="shared" si="202"/>
        <v>23.52</v>
      </c>
      <c r="AL154" s="214">
        <f t="shared" si="203"/>
        <v>48</v>
      </c>
      <c r="AM154" s="219">
        <f t="shared" si="217"/>
        <v>0.49</v>
      </c>
      <c r="AN154" s="218">
        <f t="shared" si="218"/>
        <v>2</v>
      </c>
      <c r="AO154" s="214">
        <f t="shared" si="219"/>
        <v>0.51749095295536796</v>
      </c>
      <c r="AP154" s="214">
        <f t="shared" si="220"/>
        <v>0.94687645687645683</v>
      </c>
      <c r="AQ154" s="214">
        <f t="shared" si="221"/>
        <v>0.6816543717519703</v>
      </c>
      <c r="AR154" s="214">
        <f t="shared" si="236"/>
        <v>1.287703642752442</v>
      </c>
      <c r="AS154" s="219">
        <f t="shared" si="237"/>
        <v>0.69570630332948602</v>
      </c>
      <c r="AT154" s="218"/>
      <c r="AU154" s="214">
        <f t="shared" si="222"/>
        <v>2.8812E-3</v>
      </c>
      <c r="AV154" s="219">
        <f t="shared" si="238"/>
        <v>2.8812E-3</v>
      </c>
      <c r="AW154" s="218">
        <f t="shared" si="223"/>
        <v>0.109428</v>
      </c>
      <c r="AX154" s="214">
        <f t="shared" si="224"/>
        <v>0.14699999999999999</v>
      </c>
      <c r="AY154" s="219">
        <f t="shared" si="239"/>
        <v>0.25642799999999999</v>
      </c>
      <c r="AZ154" s="218">
        <f t="shared" si="204"/>
        <v>0.31850000000000001</v>
      </c>
      <c r="BA154" s="214">
        <f t="shared" si="205"/>
        <v>6.5</v>
      </c>
      <c r="BB154" s="214">
        <f t="shared" si="240"/>
        <v>4.9000000000000002E-2</v>
      </c>
      <c r="BC154" s="61">
        <f t="shared" si="225"/>
        <v>4.9000000000000002E-2</v>
      </c>
      <c r="BD154" s="58">
        <v>0</v>
      </c>
      <c r="BE154" s="49">
        <f t="shared" si="226"/>
        <v>2.8812000000000005E-5</v>
      </c>
      <c r="BF154" s="61">
        <f t="shared" si="241"/>
        <v>2.8812000000000005E-5</v>
      </c>
      <c r="BG154" s="58">
        <f t="shared" si="227"/>
        <v>1.4700399999999999E-2</v>
      </c>
      <c r="BH154" s="49">
        <f t="shared" si="228"/>
        <v>1.47E-2</v>
      </c>
      <c r="BI154" s="61">
        <f t="shared" si="229"/>
        <v>2.94004E-2</v>
      </c>
      <c r="BK154" s="218">
        <f t="shared" si="206"/>
        <v>0</v>
      </c>
      <c r="BL154" s="214">
        <f t="shared" si="207"/>
        <v>0</v>
      </c>
      <c r="BM154" s="214">
        <f t="shared" si="208"/>
        <v>0</v>
      </c>
      <c r="BN154" s="61">
        <f t="shared" si="244"/>
        <v>0</v>
      </c>
      <c r="BO154" s="58">
        <v>0</v>
      </c>
      <c r="BP154" s="49">
        <f t="shared" si="230"/>
        <v>0</v>
      </c>
      <c r="BQ154" s="61">
        <f t="shared" si="242"/>
        <v>0</v>
      </c>
      <c r="BR154" s="58">
        <f t="shared" si="231"/>
        <v>0</v>
      </c>
      <c r="BS154" s="49">
        <f t="shared" si="232"/>
        <v>0</v>
      </c>
      <c r="BT154" s="61">
        <f t="shared" si="243"/>
        <v>0</v>
      </c>
      <c r="BU154" s="58">
        <f t="shared" si="209"/>
        <v>1.7045308783752957E-2</v>
      </c>
      <c r="BV154" s="49">
        <f t="shared" si="210"/>
        <v>2.59875E-2</v>
      </c>
      <c r="BW154" s="61">
        <f t="shared" si="211"/>
        <v>5.4000000000000003E-3</v>
      </c>
      <c r="BX154" s="49">
        <f t="shared" si="233"/>
        <v>0.73247844375629434</v>
      </c>
      <c r="BY154" s="49">
        <f t="shared" si="234"/>
        <v>1.7281637907569452</v>
      </c>
      <c r="BZ154" s="49">
        <f t="shared" si="235"/>
        <v>93.240558076327019</v>
      </c>
    </row>
    <row r="155" spans="17:78" x14ac:dyDescent="0.35">
      <c r="Q155" s="49">
        <v>148</v>
      </c>
      <c r="R155" s="218">
        <f t="shared" si="189"/>
        <v>24.000666666666667</v>
      </c>
      <c r="S155" s="214">
        <f t="shared" si="190"/>
        <v>12</v>
      </c>
      <c r="T155" s="219">
        <f t="shared" si="191"/>
        <v>2.0000555555555555</v>
      </c>
      <c r="U155" s="218">
        <f t="shared" si="192"/>
        <v>2</v>
      </c>
      <c r="V155" s="214">
        <f t="shared" si="193"/>
        <v>0.4825090470446321</v>
      </c>
      <c r="W155" s="214">
        <f t="shared" si="194"/>
        <v>0.51749095295536796</v>
      </c>
      <c r="X155" s="214">
        <f t="shared" si="212"/>
        <v>0</v>
      </c>
      <c r="Y155" s="218">
        <f t="shared" si="213"/>
        <v>4.1451151388888885</v>
      </c>
      <c r="Z155" s="214">
        <f t="shared" si="195"/>
        <v>2.924297254815952</v>
      </c>
      <c r="AA155" s="214">
        <f t="shared" si="214"/>
        <v>5.6072637662968647</v>
      </c>
      <c r="AB155" s="219">
        <f t="shared" si="196"/>
        <v>2.9384194989826384</v>
      </c>
      <c r="AC155" s="218">
        <v>0</v>
      </c>
      <c r="AD155" s="214">
        <f t="shared" si="197"/>
        <v>0.25902927456004138</v>
      </c>
      <c r="AE155" s="219">
        <f t="shared" si="215"/>
        <v>0.25902927456004138</v>
      </c>
      <c r="AF155" s="58">
        <f t="shared" si="198"/>
        <v>0.48001333333333335</v>
      </c>
      <c r="AG155" s="61">
        <f t="shared" si="199"/>
        <v>0.48001333333333335</v>
      </c>
      <c r="AH155" s="58">
        <f t="shared" si="200"/>
        <v>7.5118489622412007E-2</v>
      </c>
      <c r="AI155" s="49">
        <f t="shared" si="201"/>
        <v>0.10835799361306624</v>
      </c>
      <c r="AJ155" s="61">
        <f t="shared" si="216"/>
        <v>0.18347648323547824</v>
      </c>
      <c r="AK155" s="218">
        <f t="shared" si="202"/>
        <v>23.68</v>
      </c>
      <c r="AL155" s="214">
        <f t="shared" si="203"/>
        <v>48</v>
      </c>
      <c r="AM155" s="219">
        <f t="shared" si="217"/>
        <v>0.49333333333333335</v>
      </c>
      <c r="AN155" s="218">
        <f t="shared" si="218"/>
        <v>2</v>
      </c>
      <c r="AO155" s="214">
        <f t="shared" si="219"/>
        <v>0.51749095295536796</v>
      </c>
      <c r="AP155" s="214">
        <f t="shared" si="220"/>
        <v>0.95331779331779321</v>
      </c>
      <c r="AQ155" s="214">
        <f t="shared" si="221"/>
        <v>0.6816543717519703</v>
      </c>
      <c r="AR155" s="214">
        <f t="shared" si="236"/>
        <v>1.2941449791937782</v>
      </c>
      <c r="AS155" s="219">
        <f t="shared" si="237"/>
        <v>0.70024370138285386</v>
      </c>
      <c r="AT155" s="218"/>
      <c r="AU155" s="214">
        <f t="shared" si="222"/>
        <v>2.9205333333333339E-3</v>
      </c>
      <c r="AV155" s="219">
        <f t="shared" si="238"/>
        <v>2.9205333333333339E-3</v>
      </c>
      <c r="AW155" s="218">
        <f t="shared" si="223"/>
        <v>0.109428</v>
      </c>
      <c r="AX155" s="214">
        <f t="shared" si="224"/>
        <v>0.14799999999999999</v>
      </c>
      <c r="AY155" s="219">
        <f t="shared" si="239"/>
        <v>0.25742799999999999</v>
      </c>
      <c r="AZ155" s="218">
        <f t="shared" si="204"/>
        <v>0.32066666666666666</v>
      </c>
      <c r="BA155" s="214">
        <f t="shared" si="205"/>
        <v>6.5</v>
      </c>
      <c r="BB155" s="214">
        <f t="shared" si="240"/>
        <v>4.9333333333333333E-2</v>
      </c>
      <c r="BC155" s="61">
        <f t="shared" si="225"/>
        <v>4.9333333333333333E-2</v>
      </c>
      <c r="BD155" s="58">
        <v>0</v>
      </c>
      <c r="BE155" s="49">
        <f t="shared" si="226"/>
        <v>2.9205333333333333E-5</v>
      </c>
      <c r="BF155" s="61">
        <f t="shared" si="241"/>
        <v>2.9205333333333333E-5</v>
      </c>
      <c r="BG155" s="58">
        <f t="shared" si="227"/>
        <v>1.4700399999999999E-2</v>
      </c>
      <c r="BH155" s="49">
        <f t="shared" si="228"/>
        <v>1.4799999999999999E-2</v>
      </c>
      <c r="BI155" s="61">
        <f t="shared" si="229"/>
        <v>2.9500399999999996E-2</v>
      </c>
      <c r="BK155" s="218">
        <f t="shared" si="206"/>
        <v>0</v>
      </c>
      <c r="BL155" s="214">
        <f t="shared" si="207"/>
        <v>0</v>
      </c>
      <c r="BM155" s="214">
        <f t="shared" si="208"/>
        <v>0</v>
      </c>
      <c r="BN155" s="61">
        <f t="shared" si="244"/>
        <v>0</v>
      </c>
      <c r="BO155" s="58">
        <v>0</v>
      </c>
      <c r="BP155" s="49">
        <f t="shared" si="230"/>
        <v>0</v>
      </c>
      <c r="BQ155" s="61">
        <f t="shared" si="242"/>
        <v>0</v>
      </c>
      <c r="BR155" s="58">
        <f t="shared" si="231"/>
        <v>0</v>
      </c>
      <c r="BS155" s="49">
        <f t="shared" si="232"/>
        <v>0</v>
      </c>
      <c r="BT155" s="61">
        <f t="shared" si="243"/>
        <v>0</v>
      </c>
      <c r="BU155" s="58">
        <f t="shared" si="209"/>
        <v>1.726861830400276E-2</v>
      </c>
      <c r="BV155" s="49">
        <f t="shared" si="210"/>
        <v>2.59875E-2</v>
      </c>
      <c r="BW155" s="61">
        <f t="shared" si="211"/>
        <v>5.4000000000000003E-3</v>
      </c>
      <c r="BX155" s="49">
        <f t="shared" si="233"/>
        <v>0.73907181322670801</v>
      </c>
      <c r="BY155" s="49">
        <f t="shared" si="234"/>
        <v>1.7410666814328557</v>
      </c>
      <c r="BZ155" s="49">
        <f t="shared" si="235"/>
        <v>93.236404643429367</v>
      </c>
    </row>
    <row r="156" spans="17:78" x14ac:dyDescent="0.35">
      <c r="Q156" s="49">
        <v>149</v>
      </c>
      <c r="R156" s="218">
        <f t="shared" si="189"/>
        <v>24.162833333333332</v>
      </c>
      <c r="S156" s="214">
        <f t="shared" si="190"/>
        <v>12</v>
      </c>
      <c r="T156" s="219">
        <f t="shared" si="191"/>
        <v>2.0135694444444443</v>
      </c>
      <c r="U156" s="218">
        <f t="shared" si="192"/>
        <v>2</v>
      </c>
      <c r="V156" s="214">
        <f t="shared" si="193"/>
        <v>0.4825090470446321</v>
      </c>
      <c r="W156" s="214">
        <f t="shared" si="194"/>
        <v>0.51749095295536796</v>
      </c>
      <c r="X156" s="214">
        <f t="shared" si="212"/>
        <v>0</v>
      </c>
      <c r="Y156" s="218">
        <f t="shared" si="213"/>
        <v>4.1731226736111102</v>
      </c>
      <c r="Z156" s="214">
        <f t="shared" si="195"/>
        <v>2.924297254815952</v>
      </c>
      <c r="AA156" s="214">
        <f t="shared" si="214"/>
        <v>5.6352713010190865</v>
      </c>
      <c r="AB156" s="219">
        <f t="shared" si="196"/>
        <v>2.9574855694577544</v>
      </c>
      <c r="AC156" s="218">
        <v>0</v>
      </c>
      <c r="AD156" s="214">
        <f t="shared" si="197"/>
        <v>0.26240162680652573</v>
      </c>
      <c r="AE156" s="219">
        <f t="shared" si="215"/>
        <v>0.26240162680652573</v>
      </c>
      <c r="AF156" s="58">
        <f t="shared" si="198"/>
        <v>0.48325666666666667</v>
      </c>
      <c r="AG156" s="61">
        <f t="shared" si="199"/>
        <v>0.48325666666666667</v>
      </c>
      <c r="AH156" s="58">
        <f t="shared" si="200"/>
        <v>7.6096471773892463E-2</v>
      </c>
      <c r="AI156" s="49">
        <f t="shared" si="201"/>
        <v>0.10909014221855992</v>
      </c>
      <c r="AJ156" s="61">
        <f t="shared" si="216"/>
        <v>0.1851866139924524</v>
      </c>
      <c r="AK156" s="218">
        <f t="shared" si="202"/>
        <v>23.84</v>
      </c>
      <c r="AL156" s="214">
        <f t="shared" si="203"/>
        <v>48</v>
      </c>
      <c r="AM156" s="219">
        <f t="shared" si="217"/>
        <v>0.49666666666666665</v>
      </c>
      <c r="AN156" s="218">
        <f t="shared" si="218"/>
        <v>2</v>
      </c>
      <c r="AO156" s="214">
        <f t="shared" si="219"/>
        <v>0.51749095295536796</v>
      </c>
      <c r="AP156" s="214">
        <f t="shared" si="220"/>
        <v>0.95975912975912969</v>
      </c>
      <c r="AQ156" s="214">
        <f t="shared" si="221"/>
        <v>0.6816543717519703</v>
      </c>
      <c r="AR156" s="214">
        <f t="shared" si="236"/>
        <v>1.300586315635115</v>
      </c>
      <c r="AS156" s="219">
        <f t="shared" si="237"/>
        <v>0.70478235250556798</v>
      </c>
      <c r="AT156" s="218"/>
      <c r="AU156" s="214">
        <f t="shared" si="222"/>
        <v>2.9601333333333329E-3</v>
      </c>
      <c r="AV156" s="219">
        <f t="shared" si="238"/>
        <v>2.9601333333333329E-3</v>
      </c>
      <c r="AW156" s="218">
        <f t="shared" si="223"/>
        <v>0.109428</v>
      </c>
      <c r="AX156" s="214">
        <f t="shared" si="224"/>
        <v>0.14899999999999999</v>
      </c>
      <c r="AY156" s="219">
        <f t="shared" si="239"/>
        <v>0.25842799999999999</v>
      </c>
      <c r="AZ156" s="218">
        <f t="shared" si="204"/>
        <v>0.32283333333333331</v>
      </c>
      <c r="BA156" s="214">
        <f t="shared" si="205"/>
        <v>6.5</v>
      </c>
      <c r="BB156" s="214">
        <f t="shared" si="240"/>
        <v>4.9666666666666665E-2</v>
      </c>
      <c r="BC156" s="61">
        <f t="shared" si="225"/>
        <v>4.9666666666666665E-2</v>
      </c>
      <c r="BD156" s="58">
        <v>0</v>
      </c>
      <c r="BE156" s="49">
        <f t="shared" si="226"/>
        <v>2.9601333333333331E-5</v>
      </c>
      <c r="BF156" s="61">
        <f t="shared" si="241"/>
        <v>2.9601333333333331E-5</v>
      </c>
      <c r="BG156" s="58">
        <f t="shared" si="227"/>
        <v>1.4700399999999999E-2</v>
      </c>
      <c r="BH156" s="49">
        <f t="shared" si="228"/>
        <v>1.4899999999999998E-2</v>
      </c>
      <c r="BI156" s="61">
        <f t="shared" si="229"/>
        <v>2.9600399999999999E-2</v>
      </c>
      <c r="BK156" s="218">
        <f t="shared" si="206"/>
        <v>0</v>
      </c>
      <c r="BL156" s="214">
        <f t="shared" si="207"/>
        <v>0</v>
      </c>
      <c r="BM156" s="214">
        <f t="shared" si="208"/>
        <v>0</v>
      </c>
      <c r="BN156" s="61">
        <f t="shared" si="244"/>
        <v>0</v>
      </c>
      <c r="BO156" s="58">
        <v>0</v>
      </c>
      <c r="BP156" s="49">
        <f t="shared" si="230"/>
        <v>0</v>
      </c>
      <c r="BQ156" s="61">
        <f t="shared" si="242"/>
        <v>0</v>
      </c>
      <c r="BR156" s="58">
        <f t="shared" si="231"/>
        <v>0</v>
      </c>
      <c r="BS156" s="49">
        <f t="shared" si="232"/>
        <v>0</v>
      </c>
      <c r="BT156" s="61">
        <f t="shared" si="243"/>
        <v>0</v>
      </c>
      <c r="BU156" s="58">
        <f t="shared" si="209"/>
        <v>1.7493441787101716E-2</v>
      </c>
      <c r="BV156" s="49">
        <f t="shared" si="210"/>
        <v>2.59875E-2</v>
      </c>
      <c r="BW156" s="61">
        <f t="shared" si="211"/>
        <v>5.4000000000000003E-3</v>
      </c>
      <c r="BX156" s="49">
        <f t="shared" si="233"/>
        <v>0.74568789480652575</v>
      </c>
      <c r="BY156" s="49">
        <f t="shared" si="234"/>
        <v>1.7540006505860799</v>
      </c>
      <c r="BZ156" s="49">
        <f t="shared" si="235"/>
        <v>93.232195523286592</v>
      </c>
    </row>
    <row r="157" spans="17:78" ht="15" thickBot="1" x14ac:dyDescent="0.4">
      <c r="Q157" s="49">
        <v>150</v>
      </c>
      <c r="R157" s="220">
        <f t="shared" si="189"/>
        <v>24.324999999999999</v>
      </c>
      <c r="S157" s="221">
        <f t="shared" si="190"/>
        <v>12</v>
      </c>
      <c r="T157" s="222">
        <f t="shared" si="191"/>
        <v>2.0270833333333331</v>
      </c>
      <c r="U157" s="220">
        <f t="shared" si="192"/>
        <v>2</v>
      </c>
      <c r="V157" s="221">
        <f t="shared" si="193"/>
        <v>0.4825090470446321</v>
      </c>
      <c r="W157" s="221">
        <f t="shared" si="194"/>
        <v>0.51749095295536796</v>
      </c>
      <c r="X157" s="221">
        <f t="shared" si="212"/>
        <v>0</v>
      </c>
      <c r="Y157" s="220">
        <f t="shared" si="213"/>
        <v>4.2011302083333328</v>
      </c>
      <c r="Z157" s="221">
        <f t="shared" si="195"/>
        <v>2.924297254815952</v>
      </c>
      <c r="AA157" s="221">
        <f>Y157+(Z157/2)</f>
        <v>5.6632788357413091</v>
      </c>
      <c r="AB157" s="222">
        <f t="shared" si="196"/>
        <v>2.9765566711428351</v>
      </c>
      <c r="AC157" s="220">
        <v>0</v>
      </c>
      <c r="AD157" s="221">
        <f t="shared" si="197"/>
        <v>0.26579668849574745</v>
      </c>
      <c r="AE157" s="222">
        <f t="shared" si="215"/>
        <v>0.26579668849574745</v>
      </c>
      <c r="AF157" s="58">
        <f t="shared" si="198"/>
        <v>0.48649999999999999</v>
      </c>
      <c r="AG157" s="63">
        <f t="shared" si="199"/>
        <v>0.48649999999999999</v>
      </c>
      <c r="AH157" s="62">
        <f t="shared" si="200"/>
        <v>7.7081039663766754E-2</v>
      </c>
      <c r="AI157" s="49">
        <f t="shared" si="201"/>
        <v>0.10982229082405361</v>
      </c>
      <c r="AJ157" s="63">
        <f t="shared" si="216"/>
        <v>0.18690333048782037</v>
      </c>
      <c r="AK157" s="220">
        <f t="shared" si="202"/>
        <v>24</v>
      </c>
      <c r="AL157" s="221">
        <f t="shared" si="203"/>
        <v>48</v>
      </c>
      <c r="AM157" s="222">
        <f t="shared" si="217"/>
        <v>0.5</v>
      </c>
      <c r="AN157" s="220">
        <f t="shared" si="218"/>
        <v>2</v>
      </c>
      <c r="AO157" s="221">
        <f t="shared" si="219"/>
        <v>0.51749095295536796</v>
      </c>
      <c r="AP157" s="221">
        <f t="shared" si="220"/>
        <v>0.96620046620046618</v>
      </c>
      <c r="AQ157" s="221">
        <f t="shared" si="221"/>
        <v>0.6816543717519703</v>
      </c>
      <c r="AR157" s="221">
        <f t="shared" si="236"/>
        <v>1.3070276520764512</v>
      </c>
      <c r="AS157" s="222">
        <f t="shared" si="237"/>
        <v>0.70932223264405569</v>
      </c>
      <c r="AT157" s="218"/>
      <c r="AU157" s="214">
        <f t="shared" si="222"/>
        <v>3.0000000000000001E-3</v>
      </c>
      <c r="AV157" s="219">
        <f t="shared" si="238"/>
        <v>3.0000000000000001E-3</v>
      </c>
      <c r="AW157" s="218">
        <f t="shared" si="223"/>
        <v>0.109428</v>
      </c>
      <c r="AX157" s="214">
        <f t="shared" si="224"/>
        <v>0.15</v>
      </c>
      <c r="AY157" s="219">
        <f t="shared" si="239"/>
        <v>0.25942799999999999</v>
      </c>
      <c r="AZ157" s="220">
        <f t="shared" si="204"/>
        <v>0.32500000000000001</v>
      </c>
      <c r="BA157" s="221">
        <f t="shared" si="205"/>
        <v>6.5</v>
      </c>
      <c r="BB157" s="214">
        <f t="shared" si="240"/>
        <v>0.05</v>
      </c>
      <c r="BC157" s="61">
        <f t="shared" si="225"/>
        <v>0.05</v>
      </c>
      <c r="BD157" s="58">
        <v>0</v>
      </c>
      <c r="BE157" s="49">
        <f t="shared" si="226"/>
        <v>3.0000000000000008E-5</v>
      </c>
      <c r="BF157" s="61">
        <f t="shared" si="241"/>
        <v>3.0000000000000008E-5</v>
      </c>
      <c r="BG157" s="58">
        <f t="shared" si="227"/>
        <v>1.4700399999999999E-2</v>
      </c>
      <c r="BH157" s="49">
        <f t="shared" si="228"/>
        <v>1.4999999999999999E-2</v>
      </c>
      <c r="BI157" s="63">
        <f t="shared" si="229"/>
        <v>2.9700399999999998E-2</v>
      </c>
      <c r="BJ157" s="55"/>
      <c r="BK157" s="220">
        <f t="shared" si="206"/>
        <v>0</v>
      </c>
      <c r="BL157" s="221">
        <f t="shared" si="207"/>
        <v>0</v>
      </c>
      <c r="BM157" s="221">
        <f t="shared" si="208"/>
        <v>0</v>
      </c>
      <c r="BN157" s="61">
        <f t="shared" si="244"/>
        <v>0</v>
      </c>
      <c r="BO157" s="58">
        <v>0</v>
      </c>
      <c r="BP157" s="49">
        <f t="shared" si="230"/>
        <v>0</v>
      </c>
      <c r="BQ157" s="61">
        <f t="shared" si="242"/>
        <v>0</v>
      </c>
      <c r="BR157" s="58">
        <f t="shared" si="231"/>
        <v>0</v>
      </c>
      <c r="BS157" s="49">
        <f t="shared" si="232"/>
        <v>0</v>
      </c>
      <c r="BT157" s="61">
        <f t="shared" si="243"/>
        <v>0</v>
      </c>
      <c r="BU157" s="58">
        <f t="shared" si="209"/>
        <v>1.7719779233049831E-2</v>
      </c>
      <c r="BV157" s="49">
        <f t="shared" si="210"/>
        <v>2.59875E-2</v>
      </c>
      <c r="BW157" s="61">
        <f t="shared" si="211"/>
        <v>5.4000000000000003E-3</v>
      </c>
      <c r="BX157" s="49">
        <f t="shared" si="233"/>
        <v>0.75232668849574735</v>
      </c>
      <c r="BY157" s="49">
        <f t="shared" si="234"/>
        <v>1.7669656982166175</v>
      </c>
      <c r="BZ157" s="49">
        <f t="shared" si="235"/>
        <v>93.227931852074335</v>
      </c>
    </row>
  </sheetData>
  <mergeCells count="19">
    <mergeCell ref="BK4:BT4"/>
    <mergeCell ref="AF5:AG5"/>
    <mergeCell ref="R4:T5"/>
    <mergeCell ref="BK5:BN5"/>
    <mergeCell ref="BU5:BW5"/>
    <mergeCell ref="BD5:BF5"/>
    <mergeCell ref="AZ5:BC5"/>
    <mergeCell ref="BG5:BI5"/>
    <mergeCell ref="AZ4:BI4"/>
    <mergeCell ref="BO5:BQ5"/>
    <mergeCell ref="BR5:BT5"/>
    <mergeCell ref="A1:M1"/>
    <mergeCell ref="AH5:AJ5"/>
    <mergeCell ref="U4:AE4"/>
    <mergeCell ref="AK4:AY4"/>
    <mergeCell ref="AK5:AM5"/>
    <mergeCell ref="AN5:AS5"/>
    <mergeCell ref="AT5:AV5"/>
    <mergeCell ref="AW5:AY5"/>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1"/>
  <sheetViews>
    <sheetView topLeftCell="A34" zoomScaleNormal="100" workbookViewId="0">
      <selection activeCell="B59" sqref="B59"/>
    </sheetView>
  </sheetViews>
  <sheetFormatPr defaultRowHeight="14.5" x14ac:dyDescent="0.35"/>
  <cols>
    <col min="1" max="1" width="26.7265625" customWidth="1"/>
    <col min="2" max="2" width="25.54296875" customWidth="1"/>
    <col min="3" max="3" width="10.1796875" customWidth="1"/>
  </cols>
  <sheetData>
    <row r="1" spans="1:9" ht="28" x14ac:dyDescent="0.6">
      <c r="A1" s="280" t="s">
        <v>71</v>
      </c>
      <c r="B1" s="280"/>
      <c r="C1" s="280"/>
      <c r="D1" s="280"/>
      <c r="E1" s="280"/>
      <c r="F1" s="280"/>
      <c r="G1" s="280"/>
      <c r="H1" s="280"/>
      <c r="I1" s="280"/>
    </row>
    <row r="2" spans="1:9" x14ac:dyDescent="0.35">
      <c r="A2" s="11"/>
      <c r="B2" s="11" t="s">
        <v>17</v>
      </c>
      <c r="C2" s="12"/>
      <c r="D2" s="17"/>
      <c r="E2" s="11"/>
      <c r="F2" s="11"/>
      <c r="G2" s="11"/>
      <c r="H2" s="11"/>
      <c r="I2" s="11"/>
    </row>
    <row r="3" spans="1:9" x14ac:dyDescent="0.35">
      <c r="A3" s="11"/>
      <c r="B3" s="11" t="s">
        <v>18</v>
      </c>
      <c r="C3" s="13"/>
      <c r="D3" s="17"/>
      <c r="E3" s="11"/>
      <c r="F3" s="11"/>
      <c r="G3" s="11"/>
      <c r="H3" s="11"/>
      <c r="I3" s="11"/>
    </row>
    <row r="4" spans="1:9" x14ac:dyDescent="0.35">
      <c r="A4" s="11"/>
      <c r="B4" s="11" t="s">
        <v>19</v>
      </c>
      <c r="C4" s="14"/>
      <c r="D4" s="17"/>
      <c r="E4" s="11"/>
      <c r="F4" s="11"/>
      <c r="G4" s="11"/>
      <c r="H4" s="11"/>
      <c r="I4" s="11"/>
    </row>
    <row r="5" spans="1:9" x14ac:dyDescent="0.35">
      <c r="A5" s="10" t="s">
        <v>20</v>
      </c>
      <c r="B5" s="10" t="s">
        <v>21</v>
      </c>
      <c r="C5" s="10" t="s">
        <v>22</v>
      </c>
      <c r="D5" s="17"/>
      <c r="E5" s="281" t="s">
        <v>23</v>
      </c>
      <c r="F5" s="281"/>
      <c r="G5" s="281"/>
      <c r="H5" s="281"/>
      <c r="I5" s="10"/>
    </row>
    <row r="6" spans="1:9" s="4" customFormat="1" x14ac:dyDescent="0.35">
      <c r="A6" s="10"/>
      <c r="B6" s="10"/>
      <c r="C6" s="10"/>
      <c r="D6" s="17"/>
      <c r="E6" s="19"/>
      <c r="F6" s="19"/>
      <c r="G6" s="19"/>
      <c r="H6" s="19"/>
      <c r="I6" s="10"/>
    </row>
    <row r="7" spans="1:9" s="31" customFormat="1" x14ac:dyDescent="0.35">
      <c r="A7" s="10" t="s">
        <v>446</v>
      </c>
      <c r="B7" s="10"/>
      <c r="C7" s="10"/>
      <c r="D7" s="17"/>
      <c r="E7" s="176"/>
      <c r="F7" s="176"/>
      <c r="G7" s="176"/>
      <c r="H7" s="176"/>
      <c r="I7" s="10"/>
    </row>
    <row r="8" spans="1:9" s="31" customFormat="1" x14ac:dyDescent="0.35">
      <c r="A8" s="180" t="s">
        <v>447</v>
      </c>
      <c r="B8" s="181">
        <v>0</v>
      </c>
      <c r="C8" s="180" t="s">
        <v>11</v>
      </c>
      <c r="D8" s="180" t="s">
        <v>448</v>
      </c>
      <c r="E8" s="176"/>
      <c r="F8" s="176"/>
      <c r="G8" s="176"/>
      <c r="H8" s="176"/>
      <c r="I8" s="10"/>
    </row>
    <row r="9" spans="1:9" s="4" customFormat="1" x14ac:dyDescent="0.35">
      <c r="A9" s="10" t="s">
        <v>51</v>
      </c>
      <c r="B9" s="10"/>
      <c r="C9" s="10"/>
      <c r="D9" s="17"/>
      <c r="E9" s="19"/>
      <c r="F9" s="19"/>
      <c r="G9" s="19"/>
      <c r="H9" s="19"/>
      <c r="I9" s="10"/>
    </row>
    <row r="10" spans="1:9" s="4" customFormat="1" x14ac:dyDescent="0.35">
      <c r="A10" s="10"/>
      <c r="B10" s="10"/>
      <c r="C10" s="10"/>
      <c r="D10" s="17"/>
      <c r="E10" s="19"/>
      <c r="F10" s="19"/>
      <c r="G10" s="19"/>
      <c r="H10" s="19"/>
      <c r="I10" s="10"/>
    </row>
    <row r="11" spans="1:9" x14ac:dyDescent="0.35">
      <c r="A11" t="s">
        <v>40</v>
      </c>
      <c r="B11" s="21">
        <v>0.8</v>
      </c>
      <c r="D11" t="s">
        <v>43</v>
      </c>
    </row>
    <row r="12" spans="1:9" s="4" customFormat="1" x14ac:dyDescent="0.35">
      <c r="A12" s="4" t="s">
        <v>44</v>
      </c>
      <c r="B12" s="22">
        <f>(1-B11)/(2.2*10^6)</f>
        <v>9.0909090909090888E-8</v>
      </c>
      <c r="C12" s="4" t="s">
        <v>47</v>
      </c>
      <c r="D12" s="4" t="s">
        <v>50</v>
      </c>
    </row>
    <row r="13" spans="1:9" x14ac:dyDescent="0.35">
      <c r="A13" s="4" t="s">
        <v>41</v>
      </c>
      <c r="B13" s="21">
        <v>0.85</v>
      </c>
      <c r="D13" s="4" t="s">
        <v>43</v>
      </c>
    </row>
    <row r="14" spans="1:9" s="4" customFormat="1" x14ac:dyDescent="0.35">
      <c r="A14" s="4" t="s">
        <v>45</v>
      </c>
      <c r="B14" s="22">
        <f>(1-B13)/(2.2*10^6)</f>
        <v>6.8181818181818186E-8</v>
      </c>
      <c r="C14" s="4" t="s">
        <v>47</v>
      </c>
      <c r="D14" s="4" t="s">
        <v>49</v>
      </c>
    </row>
    <row r="15" spans="1:9" x14ac:dyDescent="0.35">
      <c r="A15" s="4" t="s">
        <v>42</v>
      </c>
      <c r="B15" s="21">
        <v>0.9</v>
      </c>
      <c r="D15" s="4" t="s">
        <v>43</v>
      </c>
    </row>
    <row r="16" spans="1:9" x14ac:dyDescent="0.35">
      <c r="A16" t="s">
        <v>46</v>
      </c>
      <c r="B16" s="22">
        <f>(1-B15)/(2.2*10^6)</f>
        <v>4.5454545454545444E-8</v>
      </c>
      <c r="C16" t="s">
        <v>47</v>
      </c>
      <c r="D16" t="s">
        <v>48</v>
      </c>
    </row>
    <row r="18" spans="1:4" x14ac:dyDescent="0.35">
      <c r="A18" t="s">
        <v>52</v>
      </c>
      <c r="B18" s="21">
        <v>0.9</v>
      </c>
      <c r="D18" s="4" t="s">
        <v>57</v>
      </c>
    </row>
    <row r="19" spans="1:4" x14ac:dyDescent="0.35">
      <c r="A19" t="s">
        <v>53</v>
      </c>
      <c r="B19" s="21">
        <v>0.93</v>
      </c>
      <c r="D19" t="s">
        <v>55</v>
      </c>
    </row>
    <row r="20" spans="1:4" x14ac:dyDescent="0.35">
      <c r="A20" t="s">
        <v>54</v>
      </c>
      <c r="B20" s="21">
        <v>0.96</v>
      </c>
      <c r="D20" s="4" t="s">
        <v>58</v>
      </c>
    </row>
    <row r="21" spans="1:4" x14ac:dyDescent="0.35">
      <c r="B21" s="4">
        <f>IF(((1-D_limit_nom)/Constants!B14)&lt;Fsw,2,1)</f>
        <v>1</v>
      </c>
      <c r="D21" s="4" t="s">
        <v>64</v>
      </c>
    </row>
    <row r="22" spans="1:4" x14ac:dyDescent="0.35">
      <c r="A22" t="s">
        <v>69</v>
      </c>
      <c r="B22" s="1">
        <f>CHOOSE(B21,D_limit_nom,(1-Constants!B14*Fsw))</f>
        <v>0.93</v>
      </c>
      <c r="D22" s="4" t="s">
        <v>70</v>
      </c>
    </row>
    <row r="24" spans="1:4" x14ac:dyDescent="0.35">
      <c r="A24" t="s">
        <v>72</v>
      </c>
      <c r="B24" s="21">
        <f>50*10^-9</f>
        <v>5.0000000000000004E-8</v>
      </c>
      <c r="C24" t="s">
        <v>47</v>
      </c>
      <c r="D24" t="s">
        <v>73</v>
      </c>
    </row>
    <row r="25" spans="1:4" s="31" customFormat="1" x14ac:dyDescent="0.35">
      <c r="B25" s="21"/>
    </row>
    <row r="26" spans="1:4" ht="15.5" x14ac:dyDescent="0.35">
      <c r="A26" s="41" t="s">
        <v>135</v>
      </c>
    </row>
    <row r="27" spans="1:4" x14ac:dyDescent="0.35">
      <c r="A27" t="s">
        <v>109</v>
      </c>
      <c r="B27" s="21">
        <f>30*10^-6</f>
        <v>2.9999999999999997E-5</v>
      </c>
      <c r="C27" t="s">
        <v>12</v>
      </c>
      <c r="D27" t="s">
        <v>110</v>
      </c>
    </row>
    <row r="28" spans="1:4" x14ac:dyDescent="0.35">
      <c r="A28" t="s">
        <v>111</v>
      </c>
      <c r="B28" s="21">
        <v>1333</v>
      </c>
      <c r="C28" s="2" t="s">
        <v>35</v>
      </c>
      <c r="D28" t="s">
        <v>112</v>
      </c>
    </row>
    <row r="29" spans="1:4" x14ac:dyDescent="0.35">
      <c r="A29" t="s">
        <v>115</v>
      </c>
      <c r="B29" s="21">
        <f>0.1</f>
        <v>0.1</v>
      </c>
      <c r="C29" s="2" t="s">
        <v>11</v>
      </c>
      <c r="D29" t="s">
        <v>116</v>
      </c>
    </row>
    <row r="31" spans="1:4" x14ac:dyDescent="0.35">
      <c r="A31" t="s">
        <v>190</v>
      </c>
      <c r="B31" s="21">
        <v>0.14199999999999999</v>
      </c>
      <c r="C31" t="s">
        <v>144</v>
      </c>
      <c r="D31" t="s">
        <v>192</v>
      </c>
    </row>
    <row r="32" spans="1:4" x14ac:dyDescent="0.35">
      <c r="A32" t="s">
        <v>194</v>
      </c>
      <c r="B32" s="21">
        <v>1</v>
      </c>
      <c r="C32" t="s">
        <v>144</v>
      </c>
      <c r="D32" t="s">
        <v>195</v>
      </c>
    </row>
    <row r="34" spans="1:4" s="31" customFormat="1" x14ac:dyDescent="0.35">
      <c r="A34" s="46" t="s">
        <v>215</v>
      </c>
    </row>
    <row r="35" spans="1:4" s="31" customFormat="1" x14ac:dyDescent="0.35">
      <c r="A35" s="31" t="s">
        <v>234</v>
      </c>
      <c r="B35" s="31">
        <v>1</v>
      </c>
      <c r="C35" s="31" t="s">
        <v>11</v>
      </c>
      <c r="D35" s="31" t="s">
        <v>235</v>
      </c>
    </row>
    <row r="36" spans="1:4" x14ac:dyDescent="0.35">
      <c r="A36" t="s">
        <v>219</v>
      </c>
      <c r="B36">
        <f>(2*10^-3)/1</f>
        <v>2E-3</v>
      </c>
      <c r="C36" t="s">
        <v>221</v>
      </c>
      <c r="D36" t="s">
        <v>220</v>
      </c>
    </row>
    <row r="37" spans="1:4" s="31" customFormat="1" x14ac:dyDescent="0.35">
      <c r="A37" s="31" t="s">
        <v>540</v>
      </c>
      <c r="B37" s="31">
        <v>2.5</v>
      </c>
      <c r="C37" s="31" t="s">
        <v>11</v>
      </c>
      <c r="D37" s="31" t="s">
        <v>541</v>
      </c>
    </row>
    <row r="38" spans="1:4" s="31" customFormat="1" x14ac:dyDescent="0.35">
      <c r="A38" s="31" t="s">
        <v>542</v>
      </c>
      <c r="B38" s="31">
        <f>1.6*10^-3</f>
        <v>1.6000000000000001E-3</v>
      </c>
      <c r="C38" s="31" t="s">
        <v>12</v>
      </c>
      <c r="D38" s="31" t="s">
        <v>543</v>
      </c>
    </row>
    <row r="39" spans="1:4" s="31" customFormat="1" x14ac:dyDescent="0.35"/>
    <row r="40" spans="1:4" s="31" customFormat="1" x14ac:dyDescent="0.35"/>
    <row r="41" spans="1:4" s="31" customFormat="1" x14ac:dyDescent="0.35"/>
    <row r="42" spans="1:4" s="31" customFormat="1" x14ac:dyDescent="0.35"/>
    <row r="44" spans="1:4" x14ac:dyDescent="0.35">
      <c r="A44" s="46" t="s">
        <v>286</v>
      </c>
    </row>
    <row r="45" spans="1:4" x14ac:dyDescent="0.35">
      <c r="A45" t="s">
        <v>287</v>
      </c>
      <c r="B45">
        <f>10*10^-6</f>
        <v>9.9999999999999991E-6</v>
      </c>
      <c r="C45" t="s">
        <v>12</v>
      </c>
      <c r="D45" t="s">
        <v>288</v>
      </c>
    </row>
    <row r="47" spans="1:4" x14ac:dyDescent="0.35">
      <c r="A47" s="46" t="s">
        <v>308</v>
      </c>
    </row>
    <row r="48" spans="1:4" x14ac:dyDescent="0.35">
      <c r="A48" t="s">
        <v>309</v>
      </c>
      <c r="B48">
        <v>1.5</v>
      </c>
      <c r="C48" t="s">
        <v>11</v>
      </c>
      <c r="D48" t="s">
        <v>312</v>
      </c>
    </row>
    <row r="49" spans="1:4" x14ac:dyDescent="0.35">
      <c r="A49" t="s">
        <v>310</v>
      </c>
      <c r="B49">
        <v>1.45</v>
      </c>
      <c r="C49" t="s">
        <v>11</v>
      </c>
      <c r="D49" t="s">
        <v>311</v>
      </c>
    </row>
    <row r="50" spans="1:4" x14ac:dyDescent="0.35">
      <c r="A50" t="s">
        <v>315</v>
      </c>
      <c r="B50">
        <f>5*10^-6</f>
        <v>4.9999999999999996E-6</v>
      </c>
      <c r="C50" t="s">
        <v>12</v>
      </c>
      <c r="D50" t="s">
        <v>316</v>
      </c>
    </row>
    <row r="52" spans="1:4" x14ac:dyDescent="0.35">
      <c r="A52" s="46" t="s">
        <v>361</v>
      </c>
    </row>
    <row r="53" spans="1:4" x14ac:dyDescent="0.35">
      <c r="A53" t="s">
        <v>362</v>
      </c>
      <c r="B53">
        <v>6.75</v>
      </c>
      <c r="C53" t="s">
        <v>11</v>
      </c>
      <c r="D53" t="s">
        <v>363</v>
      </c>
    </row>
    <row r="55" spans="1:4" x14ac:dyDescent="0.35">
      <c r="A55" s="46" t="s">
        <v>375</v>
      </c>
    </row>
    <row r="56" spans="1:4" x14ac:dyDescent="0.35">
      <c r="A56" t="s">
        <v>376</v>
      </c>
      <c r="B56">
        <f>450*(10^-6)</f>
        <v>4.4999999999999999E-4</v>
      </c>
      <c r="C56" t="s">
        <v>12</v>
      </c>
      <c r="D56" t="s">
        <v>377</v>
      </c>
    </row>
    <row r="58" spans="1:4" x14ac:dyDescent="0.35">
      <c r="A58" t="s">
        <v>407</v>
      </c>
    </row>
    <row r="59" spans="1:4" x14ac:dyDescent="0.35">
      <c r="A59" t="s">
        <v>408</v>
      </c>
      <c r="B59">
        <v>1.5</v>
      </c>
      <c r="C59" t="s">
        <v>11</v>
      </c>
      <c r="D59" t="s">
        <v>409</v>
      </c>
    </row>
    <row r="60" spans="1:4" x14ac:dyDescent="0.35">
      <c r="A60" s="31" t="s">
        <v>411</v>
      </c>
      <c r="B60">
        <v>45</v>
      </c>
      <c r="C60" t="s">
        <v>11</v>
      </c>
      <c r="D60" t="s">
        <v>410</v>
      </c>
    </row>
    <row r="61" spans="1:4" x14ac:dyDescent="0.35">
      <c r="A61" t="s">
        <v>707</v>
      </c>
      <c r="B61">
        <v>60</v>
      </c>
      <c r="C61" t="s">
        <v>11</v>
      </c>
      <c r="D61" t="s">
        <v>708</v>
      </c>
    </row>
  </sheetData>
  <mergeCells count="2">
    <mergeCell ref="A1:I1"/>
    <mergeCell ref="E5:H5"/>
  </mergeCells>
  <conditionalFormatting sqref="H14">
    <cfRule type="cellIs" priority="1" operator="lessThan">
      <formula>100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C9"/>
  <sheetViews>
    <sheetView topLeftCell="B4" zoomScale="70" zoomScaleNormal="70" workbookViewId="0">
      <selection activeCell="C14" sqref="C14"/>
    </sheetView>
  </sheetViews>
  <sheetFormatPr defaultColWidth="9.26953125" defaultRowHeight="14.5" x14ac:dyDescent="0.35"/>
  <cols>
    <col min="1" max="2" width="9.26953125" style="49"/>
    <col min="3" max="3" width="145.81640625" style="207" customWidth="1"/>
    <col min="4" max="16384" width="9.26953125" style="49"/>
  </cols>
  <sheetData>
    <row r="2" spans="2:2" x14ac:dyDescent="0.35">
      <c r="B2" s="49" t="str">
        <f>CHOOSE(Variable_Management!B13,"Eff_OUT_1","Eff_OUT_2","Eff_OUT_3")</f>
        <v>Eff_OUT_2</v>
      </c>
    </row>
    <row r="3" spans="2:2" ht="379.75" customHeight="1" x14ac:dyDescent="0.35"/>
    <row r="6" spans="2:2" ht="379.75" customHeight="1" x14ac:dyDescent="0.35"/>
    <row r="9" spans="2:2" ht="379.9" customHeight="1" x14ac:dyDescent="0.35"/>
  </sheetData>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
  <sheetViews>
    <sheetView workbookViewId="0">
      <selection activeCell="F15" sqref="F15"/>
    </sheetView>
  </sheetViews>
  <sheetFormatPr defaultRowHeight="14.5" x14ac:dyDescent="0.35"/>
  <sheetData>
    <row r="1" spans="1:12" x14ac:dyDescent="0.35">
      <c r="I1" t="s">
        <v>514</v>
      </c>
    </row>
    <row r="2" spans="1:12" ht="18.5" x14ac:dyDescent="0.45">
      <c r="A2" t="s">
        <v>387</v>
      </c>
      <c r="F2" t="s">
        <v>432</v>
      </c>
      <c r="I2" s="240" t="s">
        <v>515</v>
      </c>
      <c r="L2" t="s">
        <v>635</v>
      </c>
    </row>
    <row r="3" spans="1:12" ht="18.5" x14ac:dyDescent="0.45">
      <c r="B3">
        <f>VIN_min</f>
        <v>10</v>
      </c>
      <c r="F3" t="s">
        <v>432</v>
      </c>
      <c r="G3">
        <v>1</v>
      </c>
      <c r="I3" s="240" t="s">
        <v>516</v>
      </c>
      <c r="L3" t="s">
        <v>636</v>
      </c>
    </row>
    <row r="4" spans="1:12" x14ac:dyDescent="0.35">
      <c r="B4">
        <f>VIN_nom</f>
        <v>12</v>
      </c>
      <c r="D4">
        <v>2.5</v>
      </c>
      <c r="G4">
        <v>0</v>
      </c>
      <c r="L4" t="s">
        <v>637</v>
      </c>
    </row>
    <row r="5" spans="1:12" x14ac:dyDescent="0.35">
      <c r="B5">
        <f>VIN_max</f>
        <v>16</v>
      </c>
    </row>
  </sheetData>
  <dataValidations count="3">
    <dataValidation type="list" allowBlank="1" showInputMessage="1" showErrorMessage="1" sqref="D4" xr:uid="{00000000-0002-0000-0700-000000000000}">
      <formula1>$B$3:$B$5</formula1>
    </dataValidation>
    <dataValidation type="decimal" allowBlank="1" showInputMessage="1" showErrorMessage="1" sqref="F4" xr:uid="{00000000-0002-0000-0700-000001000000}">
      <formula1>B3</formula1>
      <formula2>B5</formula2>
    </dataValidation>
    <dataValidation type="list" showDropDown="1" showInputMessage="1" showErrorMessage="1" sqref="I15" xr:uid="{00000000-0002-0000-0700-000002000000}">
      <formula1>$B$3:$B$5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202</vt:i4>
      </vt:variant>
    </vt:vector>
  </HeadingPairs>
  <TitlesOfParts>
    <vt:vector size="213" baseType="lpstr">
      <vt:lpstr>Design Converter</vt:lpstr>
      <vt:lpstr>Licenses</vt:lpstr>
      <vt:lpstr>Variable_Management</vt:lpstr>
      <vt:lpstr>CCM_Loop_Modeling_Isolated</vt:lpstr>
      <vt:lpstr>CCM_Loop_Modeling_non_isolated</vt:lpstr>
      <vt:lpstr>Eff_vs_IOUT</vt:lpstr>
      <vt:lpstr>Constants</vt:lpstr>
      <vt:lpstr>Plot_Management_Eff</vt:lpstr>
      <vt:lpstr>Lists</vt:lpstr>
      <vt:lpstr>Plot Management_Loop</vt:lpstr>
      <vt:lpstr>Plot Management_Sch</vt:lpstr>
      <vt:lpstr>Acs</vt:lpstr>
      <vt:lpstr>CCM_Loop_Modeling_Isolated!Adc</vt:lpstr>
      <vt:lpstr>Adc</vt:lpstr>
      <vt:lpstr>Adc_ea</vt:lpstr>
      <vt:lpstr>CCM_Loop_Modeling_Isolated!Adc_ea_iso</vt:lpstr>
      <vt:lpstr>ADC_VINmin</vt:lpstr>
      <vt:lpstr>CCOMP</vt:lpstr>
      <vt:lpstr>CComp_calc</vt:lpstr>
      <vt:lpstr>Ccomp_iso</vt:lpstr>
      <vt:lpstr>Ccomp_iso_calc</vt:lpstr>
      <vt:lpstr>CD3_</vt:lpstr>
      <vt:lpstr>CHF</vt:lpstr>
      <vt:lpstr>Comp_calc</vt:lpstr>
      <vt:lpstr>Copto</vt:lpstr>
      <vt:lpstr>Cout_total</vt:lpstr>
      <vt:lpstr>Cout1</vt:lpstr>
      <vt:lpstr>Cout1_min</vt:lpstr>
      <vt:lpstr>Cout2</vt:lpstr>
      <vt:lpstr>Cout2_min</vt:lpstr>
      <vt:lpstr>Cout3</vt:lpstr>
      <vt:lpstr>Cout3_min</vt:lpstr>
      <vt:lpstr>D_limit_max</vt:lpstr>
      <vt:lpstr>D_limit_min</vt:lpstr>
      <vt:lpstr>D_limit_nom</vt:lpstr>
      <vt:lpstr>CCM_Loop_Modeling_Isolated!Dc_var_ccm</vt:lpstr>
      <vt:lpstr>Dc_var_ccm</vt:lpstr>
      <vt:lpstr>Dc_VIN_max</vt:lpstr>
      <vt:lpstr>Dc_VIN_min</vt:lpstr>
      <vt:lpstr>Dc_VIN_nom</vt:lpstr>
      <vt:lpstr>Dmax_limit</vt:lpstr>
      <vt:lpstr>EFF_est</vt:lpstr>
      <vt:lpstr>Eff_OUT_1</vt:lpstr>
      <vt:lpstr>Eff_OUT_2</vt:lpstr>
      <vt:lpstr>Eff_OUT_3</vt:lpstr>
      <vt:lpstr>Eff_vs_IOUT</vt:lpstr>
      <vt:lpstr>EN_OUT_2</vt:lpstr>
      <vt:lpstr>EN_OUT_3</vt:lpstr>
      <vt:lpstr>FB_type</vt:lpstr>
      <vt:lpstr>fcross</vt:lpstr>
      <vt:lpstr>fcross_est</vt:lpstr>
      <vt:lpstr>fcross_iso</vt:lpstr>
      <vt:lpstr>fcross_iso_est</vt:lpstr>
      <vt:lpstr>fopto</vt:lpstr>
      <vt:lpstr>fp_ea_est</vt:lpstr>
      <vt:lpstr>Fsw</vt:lpstr>
      <vt:lpstr>fz_ea_est</vt:lpstr>
      <vt:lpstr>fz_rhp</vt:lpstr>
      <vt:lpstr>Gcomp</vt:lpstr>
      <vt:lpstr>Gea_mid_calc</vt:lpstr>
      <vt:lpstr>gfs</vt:lpstr>
      <vt:lpstr>gm_ea</vt:lpstr>
      <vt:lpstr>CCM_Loop_Modeling_Isolated!Gplant_fc_dB</vt:lpstr>
      <vt:lpstr>Gplant_fc_dB</vt:lpstr>
      <vt:lpstr>Icomp_sink_max</vt:lpstr>
      <vt:lpstr>IL_avg_VIN_max</vt:lpstr>
      <vt:lpstr>IL_avg_VIN_min</vt:lpstr>
      <vt:lpstr>IL_avg_VIN_nom</vt:lpstr>
      <vt:lpstr>IL_pk</vt:lpstr>
      <vt:lpstr>IL_pk_max</vt:lpstr>
      <vt:lpstr>ILp_VINmax</vt:lpstr>
      <vt:lpstr>ILp_VINmin</vt:lpstr>
      <vt:lpstr>ILp_VINnom</vt:lpstr>
      <vt:lpstr>ILrip</vt:lpstr>
      <vt:lpstr>ILrip_VINmax</vt:lpstr>
      <vt:lpstr>ILrip_VINmin</vt:lpstr>
      <vt:lpstr>ILrip_VINnom</vt:lpstr>
      <vt:lpstr>IOUT1</vt:lpstr>
      <vt:lpstr>IOUT2</vt:lpstr>
      <vt:lpstr>IOUT3</vt:lpstr>
      <vt:lpstr>Ipk_margin</vt:lpstr>
      <vt:lpstr>Ipk_selected</vt:lpstr>
      <vt:lpstr>IQ</vt:lpstr>
      <vt:lpstr>IRMS_COUT</vt:lpstr>
      <vt:lpstr>Isl</vt:lpstr>
      <vt:lpstr>Iss</vt:lpstr>
      <vt:lpstr>kopto_max</vt:lpstr>
      <vt:lpstr>kopto_min</vt:lpstr>
      <vt:lpstr>Kslope</vt:lpstr>
      <vt:lpstr>Lm</vt:lpstr>
      <vt:lpstr>LOOP_ISO</vt:lpstr>
      <vt:lpstr>LOOP_nISO</vt:lpstr>
      <vt:lpstr>CCM_Loop_Modeling_Isolated!mc</vt:lpstr>
      <vt:lpstr>mc</vt:lpstr>
      <vt:lpstr>Np</vt:lpstr>
      <vt:lpstr>NS1_</vt:lpstr>
      <vt:lpstr>NS2_</vt:lpstr>
      <vt:lpstr>NS3_</vt:lpstr>
      <vt:lpstr>POUT_Total</vt:lpstr>
      <vt:lpstr>CCM_Loop_Modeling_Isolated!Pout_var</vt:lpstr>
      <vt:lpstr>Pout_var</vt:lpstr>
      <vt:lpstr>POUT1</vt:lpstr>
      <vt:lpstr>POUT2</vt:lpstr>
      <vt:lpstr>POUT3</vt:lpstr>
      <vt:lpstr>'Design Converter'!Print_Area</vt:lpstr>
      <vt:lpstr>CCM_Loop_Modeling_Isolated!Q</vt:lpstr>
      <vt:lpstr>Q</vt:lpstr>
      <vt:lpstr>Q_VINmin</vt:lpstr>
      <vt:lpstr>Qg_tot</vt:lpstr>
      <vt:lpstr>Qgd</vt:lpstr>
      <vt:lpstr>Qgs</vt:lpstr>
      <vt:lpstr>QRR1_</vt:lpstr>
      <vt:lpstr>QRR2_</vt:lpstr>
      <vt:lpstr>QRR3_</vt:lpstr>
      <vt:lpstr>R_cs</vt:lpstr>
      <vt:lpstr>R_sl</vt:lpstr>
      <vt:lpstr>RCOMP</vt:lpstr>
      <vt:lpstr>Rcomp_calc</vt:lpstr>
      <vt:lpstr>Rcomp_iso</vt:lpstr>
      <vt:lpstr>Rcs_max</vt:lpstr>
      <vt:lpstr>Rcs_w_sl</vt:lpstr>
      <vt:lpstr>Rcs_wo_sl</vt:lpstr>
      <vt:lpstr>Rdcr</vt:lpstr>
      <vt:lpstr>Rdcr1</vt:lpstr>
      <vt:lpstr>Rdcr2</vt:lpstr>
      <vt:lpstr>Rdcr3</vt:lpstr>
      <vt:lpstr>RDS_on</vt:lpstr>
      <vt:lpstr>Resr_total</vt:lpstr>
      <vt:lpstr>Resr1</vt:lpstr>
      <vt:lpstr>Resr2</vt:lpstr>
      <vt:lpstr>Resr2_Trans</vt:lpstr>
      <vt:lpstr>Resr3</vt:lpstr>
      <vt:lpstr>Resr3_Trans</vt:lpstr>
      <vt:lpstr>RFBB</vt:lpstr>
      <vt:lpstr>RFBB_calc</vt:lpstr>
      <vt:lpstr>RFBB_iso</vt:lpstr>
      <vt:lpstr>RFBB_iso_calc</vt:lpstr>
      <vt:lpstr>RFBT</vt:lpstr>
      <vt:lpstr>RFBT_iso</vt:lpstr>
      <vt:lpstr>Rgate</vt:lpstr>
      <vt:lpstr>RLED</vt:lpstr>
      <vt:lpstr>ROUT1</vt:lpstr>
      <vt:lpstr>ROUT2</vt:lpstr>
      <vt:lpstr>ROUT3</vt:lpstr>
      <vt:lpstr>Rpullup</vt:lpstr>
      <vt:lpstr>Rpullup_min</vt:lpstr>
      <vt:lpstr>Rsl_int</vt:lpstr>
      <vt:lpstr>RT</vt:lpstr>
      <vt:lpstr>Ruvlo_bottom_calc</vt:lpstr>
      <vt:lpstr>Ruvlo_top</vt:lpstr>
      <vt:lpstr>Ruvlo_top_calc</vt:lpstr>
      <vt:lpstr>sch_ISO_1</vt:lpstr>
      <vt:lpstr>sch_ISO_2</vt:lpstr>
      <vt:lpstr>sch_ISO_3</vt:lpstr>
      <vt:lpstr>sch_nISO_1</vt:lpstr>
      <vt:lpstr>sch_nISO_2</vt:lpstr>
      <vt:lpstr>sch_nISO_3</vt:lpstr>
      <vt:lpstr>Se_VINmin</vt:lpstr>
      <vt:lpstr>Sn_VINmin</vt:lpstr>
      <vt:lpstr>tf_sw</vt:lpstr>
      <vt:lpstr>tr_sw</vt:lpstr>
      <vt:lpstr>tss</vt:lpstr>
      <vt:lpstr>UV_fall</vt:lpstr>
      <vt:lpstr>UV_I_hyst</vt:lpstr>
      <vt:lpstr>UV_rise</vt:lpstr>
      <vt:lpstr>Vcc</vt:lpstr>
      <vt:lpstr>VCE_sat</vt:lpstr>
      <vt:lpstr>Vcl</vt:lpstr>
      <vt:lpstr>Vcomp_max</vt:lpstr>
      <vt:lpstr>VD</vt:lpstr>
      <vt:lpstr>Vd_opto</vt:lpstr>
      <vt:lpstr>VD1_</vt:lpstr>
      <vt:lpstr>VD2_</vt:lpstr>
      <vt:lpstr>VD3_</vt:lpstr>
      <vt:lpstr>VIN_max</vt:lpstr>
      <vt:lpstr>VIN_min</vt:lpstr>
      <vt:lpstr>VIN_nom</vt:lpstr>
      <vt:lpstr>VIN_op_max</vt:lpstr>
      <vt:lpstr>VIN_op_max_56</vt:lpstr>
      <vt:lpstr>VIN_op_min</vt:lpstr>
      <vt:lpstr>VIN_var</vt:lpstr>
      <vt:lpstr>VOUT1</vt:lpstr>
      <vt:lpstr>Vout1_rip_sel</vt:lpstr>
      <vt:lpstr>VOUT2</vt:lpstr>
      <vt:lpstr>Vout2_rip_sel</vt:lpstr>
      <vt:lpstr>VOUT3</vt:lpstr>
      <vt:lpstr>Vout3_rip_sel</vt:lpstr>
      <vt:lpstr>Vpullup</vt:lpstr>
      <vt:lpstr>Vref</vt:lpstr>
      <vt:lpstr>Vref_iso</vt:lpstr>
      <vt:lpstr>Vth</vt:lpstr>
      <vt:lpstr>Vuvlo_off</vt:lpstr>
      <vt:lpstr>Vuvlo_on</vt:lpstr>
      <vt:lpstr>CCM_Loop_Modeling_Isolated!wp_lf</vt:lpstr>
      <vt:lpstr>wp_lf</vt:lpstr>
      <vt:lpstr>wp_lf_VINmin</vt:lpstr>
      <vt:lpstr>wp0_ea</vt:lpstr>
      <vt:lpstr>wp1_ea</vt:lpstr>
      <vt:lpstr>CCM_Loop_Modeling_Isolated!wpA_ea_iso</vt:lpstr>
      <vt:lpstr>CCM_Loop_Modeling_Isolated!wpB_ea_iso</vt:lpstr>
      <vt:lpstr>wpC_ea_iso</vt:lpstr>
      <vt:lpstr>CCM_Loop_Modeling_Isolated!wsl</vt:lpstr>
      <vt:lpstr>wsl</vt:lpstr>
      <vt:lpstr>wsl_VINmin</vt:lpstr>
      <vt:lpstr>wz_ea</vt:lpstr>
      <vt:lpstr>CCM_Loop_Modeling_Isolated!wz_esr</vt:lpstr>
      <vt:lpstr>wz_esr</vt:lpstr>
      <vt:lpstr>wz_esr_VINmin</vt:lpstr>
      <vt:lpstr>CCM_Loop_Modeling_Isolated!wz_rhp</vt:lpstr>
      <vt:lpstr>wz_rhp</vt:lpstr>
      <vt:lpstr>wz_RHP_VINmin</vt:lpstr>
      <vt:lpstr>wz1_ea_iso</vt:lpstr>
      <vt:lpstr>CCM_Loop_Modeling_Isolated!wz2_ea_iso</vt:lpstr>
    </vt:vector>
  </TitlesOfParts>
  <Company>Texas Instruments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BMC-BCS</dc:creator>
  <cp:lastModifiedBy>Schwarz, Niklas</cp:lastModifiedBy>
  <cp:lastPrinted>2018-08-09T07:13:51Z</cp:lastPrinted>
  <dcterms:created xsi:type="dcterms:W3CDTF">2018-06-26T09:13:29Z</dcterms:created>
  <dcterms:modified xsi:type="dcterms:W3CDTF">2024-01-15T15:38:30Z</dcterms:modified>
</cp:coreProperties>
</file>