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408" windowHeight="3900" activeTab="0"/>
  </bookViews>
  <sheets>
    <sheet name="LM(2)5117" sheetId="1" r:id="rId1"/>
  </sheets>
  <definedNames>
    <definedName name="_xlfn.SINGLE" hidden="1">#NAME?</definedName>
    <definedName name="absmin">'LM(2)5117'!$W$24</definedName>
    <definedName name="Afb">'LM(2)5117'!$S$74</definedName>
    <definedName name="Am">'LM(2)5117'!$S$66</definedName>
    <definedName name="as">'LM(2)5117'!$W$16</definedName>
    <definedName name="CCOMP">'LM(2)5117'!$I$105</definedName>
    <definedName name="ccomp_chf">'LM(2)5117'!$S$69</definedName>
    <definedName name="CFT">'LM(2)5117'!$I$56</definedName>
    <definedName name="CGD_H">'LM(2)5117'!$I$115</definedName>
    <definedName name="CGD_L">'LM(2)5117'!$I$117</definedName>
    <definedName name="CGS_H">'LM(2)5117'!$I$114</definedName>
    <definedName name="CGS_L">'LM(2)5117'!$I$116</definedName>
    <definedName name="CHB">'LM(2)5117'!$I$66</definedName>
    <definedName name="CHF">'LM(2)5117'!$I$108</definedName>
    <definedName name="CIN">'LM(2)5117'!$I$80</definedName>
    <definedName name="CL_p">'LM(2)5117'!$I$36</definedName>
    <definedName name="COUT">'LM(2)5117'!$I$74</definedName>
    <definedName name="COUT1">'LM(2)5117'!$I$71</definedName>
    <definedName name="cout1_cout2">'LM(2)5117'!$S$57</definedName>
    <definedName name="COUT2">'LM(2)5117'!$I$72</definedName>
    <definedName name="CRAMP">'LM(2)5117'!$I$47</definedName>
    <definedName name="CRES">'LM(2)5117'!$I$92</definedName>
    <definedName name="CSS">'LM(2)5117'!$I$87</definedName>
    <definedName name="CVCC">'LM(2)5117'!$I$67</definedName>
    <definedName name="DMAX">'LM(2)5117'!$I$22</definedName>
    <definedName name="DMIN">'LM(2)5117'!$I$23</definedName>
    <definedName name="EXT">'LM(2)5117'!$I$112</definedName>
    <definedName name="EXTVCC">'LM(2)5117'!$I$113</definedName>
    <definedName name="FCROSS">'LM(2)5117'!$I$101</definedName>
    <definedName name="fcrossmax">'LM(2)5117'!$W$32</definedName>
    <definedName name="Fp_lf">'LM(2)5117'!$W$29</definedName>
    <definedName name="FSW">'LM(2)5117'!$I$21</definedName>
    <definedName name="Fz_esr">'LM(2)5117'!$W$28</definedName>
    <definedName name="IC">'LM(2)5117'!$I$17</definedName>
    <definedName name="icclimit">'LM(2)5117'!$W$25</definedName>
    <definedName name="ihys">'LM(2)5117'!$W$17</definedName>
    <definedName name="IMAX_VINMAX">'LM(2)5117'!$I$41</definedName>
    <definedName name="IMAX_VINMIN">'LM(2)5117'!$I$40</definedName>
    <definedName name="IOUT">'LM(2)5117'!$I$16</definedName>
    <definedName name="IPEAK">'LM(2)5117'!$I$42</definedName>
    <definedName name="ires">'LM(2)5117'!$W$20</definedName>
    <definedName name="iss">'LM(2)5117'!$W$19</definedName>
    <definedName name="ivcc">'LM(2)5117'!$W$37</definedName>
    <definedName name="Ivin_oper">'LM(2)5117'!$W$34</definedName>
    <definedName name="K">'LM(2)5117'!$I$37</definedName>
    <definedName name="LO">'LM(2)5117'!$I$30</definedName>
    <definedName name="LO_">'LM(2)5117'!$I$29</definedName>
    <definedName name="mintoff">'LM(2)5117'!$W$13</definedName>
    <definedName name="minton">'LM(2)5117'!$W$14</definedName>
    <definedName name="PLOSSIC">'LM(2)5117'!$I$118</definedName>
    <definedName name="_xlnm.Print_Area" localSheetId="0">'LM(2)5117'!$A$1:$O$128</definedName>
    <definedName name="PRS">'LM(2)5117'!$I$43</definedName>
    <definedName name="Q">'LM(2)5117'!$W$31</definedName>
    <definedName name="QGH">'LM(2)5117'!$I$60</definedName>
    <definedName name="QGL">'LM(2)5117'!$I$61</definedName>
    <definedName name="RCOMP">'LM(2)5117'!$I$103</definedName>
    <definedName name="RESR">'LM(2)5117'!$I$73</definedName>
    <definedName name="RESR2">'LM(2)5117'!$W$41</definedName>
    <definedName name="resth">'LM(2)5117'!$W$21</definedName>
    <definedName name="RFB1">'LM(2)5117'!$I$97</definedName>
    <definedName name="RFB2">'LM(2)5117'!$I$96</definedName>
    <definedName name="Rload">'LM(2)5117'!$S$56</definedName>
    <definedName name="RR">'LM(2)5117'!$I$28</definedName>
    <definedName name="RRAMP">'LM(2)5117'!$I$48</definedName>
    <definedName name="RS">'LM(2)5117'!$I$39</definedName>
    <definedName name="RS_">'LM(2)5117'!$I$38</definedName>
    <definedName name="RT">'LM(2)5117'!$I$24</definedName>
    <definedName name="RUV1">'LM(2)5117'!$I$55</definedName>
    <definedName name="RUV2">'LM(2)5117'!$I$54</definedName>
    <definedName name="rvcc">'LM(2)5117'!$W$36</definedName>
    <definedName name="TAMB">'LM(2)5117'!$I$111</definedName>
    <definedName name="theta_llp">'LM(2)5117'!$W$39</definedName>
    <definedName name="theta_tssop">'LM(2)5117'!$W$38</definedName>
    <definedName name="TRES">'LM(2)5117'!$I$91</definedName>
    <definedName name="TSS">'LM(2)5117'!$I$86</definedName>
    <definedName name="tsslimit">'LM(2)5117'!$W$26</definedName>
    <definedName name="uvloth">'LM(2)5117'!$W$18</definedName>
    <definedName name="vcsth">'LM(2)5117'!$W$15</definedName>
    <definedName name="VHYS">'LM(2)5117'!$I$53</definedName>
    <definedName name="VINMAX">'LM(2)5117'!$I$13</definedName>
    <definedName name="VINMIN">'LM(2)5117'!$I$14</definedName>
    <definedName name="VINSTARTUP">'LM(2)5117'!$I$52</definedName>
    <definedName name="VOUT">'LM(2)5117'!$I$15</definedName>
    <definedName name="VPP">'LM(2)5117'!$I$75</definedName>
    <definedName name="vrt">'LM(2)5117'!$W$35</definedName>
    <definedName name="wlc">'LM(2)5117'!$S$78</definedName>
    <definedName name="wn">'LM(2)5117'!$S$64</definedName>
    <definedName name="wp_ea">'LM(2)5117'!$S$72</definedName>
    <definedName name="wp_esr">'LM(2)5117'!$S$63</definedName>
    <definedName name="wp_esr2">'LM(2)5117'!$X$63</definedName>
    <definedName name="wp_hf">'LM(2)5117'!$S$61</definedName>
    <definedName name="wp_lf">'LM(2)5117'!$S$60</definedName>
    <definedName name="wp_lf2">'LM(2)5117'!$X$60</definedName>
    <definedName name="wz_ea">'LM(2)5117'!$S$71</definedName>
    <definedName name="wz_esr">'LM(2)5117'!$S$62</definedName>
    <definedName name="wz_esr2">'LM(2)5117'!$X$62</definedName>
  </definedNames>
  <calcPr fullCalcOnLoad="1"/>
</workbook>
</file>

<file path=xl/comments1.xml><?xml version="1.0" encoding="utf-8"?>
<comments xmlns="http://schemas.openxmlformats.org/spreadsheetml/2006/main">
  <authors>
    <author>c</author>
    <author>csylhk</author>
  </authors>
  <commentList>
    <comment ref="I36" authorId="0">
      <text>
        <r>
          <rPr>
            <sz val="8"/>
            <rFont val="Tahoma"/>
            <family val="2"/>
          </rPr>
          <t>Some margin beyond the maximum load current is recommended for the current limit threshold.  Usually, 20% is a safe minimum number to guarantee desired current capability with normal tolerances.</t>
        </r>
      </text>
    </comment>
    <comment ref="I16" authorId="1">
      <text>
        <r>
          <rPr>
            <sz val="8"/>
            <rFont val="Tahoma"/>
            <family val="2"/>
          </rPr>
          <t xml:space="preserve">This is the maximum average load current required by the application.  </t>
        </r>
      </text>
    </comment>
    <comment ref="I28" authorId="1">
      <text>
        <r>
          <rPr>
            <sz val="8"/>
            <rFont val="Tahoma"/>
            <family val="2"/>
          </rPr>
          <t xml:space="preserve">The maximum inductor ripple current occurs at the maximum input voltage. Typically, 20% to 40% of the full load current is a good compromise between core loss and copper loss of the inductor. Higher ripple current allows for a smaller inductor size, but places more of a burden on the output capacitor to smooth the ripple voltage on the output. </t>
        </r>
      </text>
    </comment>
    <comment ref="I21" authorId="1">
      <text>
        <r>
          <rPr>
            <sz val="8"/>
            <rFont val="Tahoma"/>
            <family val="2"/>
          </rPr>
          <t xml:space="preserve">Selection of the operating frequency is a trade-off between the conversion efficiency and component sizes.  Operating at a high frequency with a relatively high input voltage will reduce the efficiency and generate more heat. In some applications, the selection of a high operating frequency will limint the maximum and minimum input voltage. The maximum switching frequency of LM(2)5117 is 750kHz.
</t>
        </r>
      </text>
    </comment>
    <comment ref="I30" authorId="1">
      <text>
        <r>
          <rPr>
            <sz val="8"/>
            <rFont val="Tahoma"/>
            <family val="2"/>
          </rPr>
          <t>Select the nearest standard inductor value.  During an overload condition the peak inductor current will reach the current limit threshold.  The selected inductor must have sufficient current capability to withstand a short curcuit condition.</t>
        </r>
      </text>
    </comment>
    <comment ref="I37" authorId="1">
      <text>
        <r>
          <rPr>
            <sz val="8"/>
            <rFont val="Tahoma"/>
            <family val="2"/>
          </rPr>
          <t>The recommended value of the K factor is between 1 and 3.  The larger the number, the greater the slope compensation.  See the datasheet for details.</t>
        </r>
      </text>
    </comment>
    <comment ref="I47" authorId="1">
      <text>
        <r>
          <rPr>
            <sz val="8"/>
            <rFont val="Tahoma"/>
            <family val="2"/>
          </rPr>
          <t>Maximum allowable value is 2nF.</t>
        </r>
      </text>
    </comment>
    <comment ref="I71" authorId="1">
      <text>
        <r>
          <rPr>
            <sz val="8"/>
            <rFont val="Tahoma"/>
            <family val="2"/>
          </rPr>
          <t>The output capacitor(s) smooth the inductor ripple current and provide a source of charge for transient loads.  The output capacitor voltage rating should be greater than Vout plus some safety margin.  The output capacitor(s) and associated ESR set the output ripple voltage.</t>
        </r>
      </text>
    </comment>
    <comment ref="I73" authorId="1">
      <text>
        <r>
          <rPr>
            <sz val="8"/>
            <rFont val="Tahoma"/>
            <family val="2"/>
          </rPr>
          <t>The value of ESR is used to calculate the output ripple voltage and is used in the closed loop compensation calculations.</t>
        </r>
      </text>
    </comment>
    <comment ref="I75" authorId="1">
      <text>
        <r>
          <rPr>
            <sz val="8"/>
            <rFont val="Tahoma"/>
            <family val="2"/>
          </rPr>
          <t>A small ripple voltage requires some combination of  larger output capacitors,  higher switching frequency or a lower ESR.</t>
        </r>
      </text>
    </comment>
    <comment ref="I101" authorId="1">
      <text>
        <r>
          <rPr>
            <sz val="8"/>
            <rFont val="Tahoma"/>
            <family val="2"/>
          </rPr>
          <t>Enter the bandwith for the converter.  The bandwidth should be at least an order of magnitude less than the switching frequency.</t>
        </r>
      </text>
    </comment>
    <comment ref="I86" authorId="1">
      <text>
        <r>
          <rPr>
            <sz val="8"/>
            <rFont val="Tahoma"/>
            <family val="2"/>
          </rPr>
          <t>This is the time for the reference voltage and output voltage to reach their final value.  It should be substantially longer than the time required to charge Cout to Vout at the maximum output current.</t>
        </r>
      </text>
    </comment>
    <comment ref="I114" authorId="1">
      <text>
        <r>
          <rPr>
            <sz val="8"/>
            <rFont val="Tahoma"/>
            <family val="2"/>
          </rPr>
          <t>Enter this value from the MOSFET datasheet.</t>
        </r>
      </text>
    </comment>
    <comment ref="I115" authorId="1">
      <text>
        <r>
          <rPr>
            <sz val="8"/>
            <rFont val="Tahoma"/>
            <family val="2"/>
          </rPr>
          <t>Enter this value from the MOSFET datasheet.</t>
        </r>
      </text>
    </comment>
    <comment ref="I116" authorId="1">
      <text>
        <r>
          <rPr>
            <sz val="8"/>
            <rFont val="Tahoma"/>
            <family val="2"/>
          </rPr>
          <t>Enter this value from the MOSFET datasheet.</t>
        </r>
      </text>
    </comment>
    <comment ref="I117" authorId="1">
      <text>
        <r>
          <rPr>
            <sz val="8"/>
            <rFont val="Tahoma"/>
            <family val="2"/>
          </rPr>
          <t>Enter this value from the MOSFET datasheet.</t>
        </r>
      </text>
    </comment>
    <comment ref="I91" authorId="1">
      <text>
        <r>
          <rPr>
            <sz val="8"/>
            <rFont val="Tahoma"/>
            <family val="2"/>
          </rPr>
          <t>Restart time is the off time between hiccup cycles and determines the power dissipation in current limit.</t>
        </r>
      </text>
    </comment>
    <comment ref="I13" authorId="1">
      <text>
        <r>
          <rPr>
            <sz val="8"/>
            <rFont val="Tahoma"/>
            <family val="2"/>
          </rPr>
          <t xml:space="preserve">The maximum operating voltage of LM5117 is 65V.
The maximum operating voltage of LM25117 is 42V.
</t>
        </r>
      </text>
    </comment>
    <comment ref="I14" authorId="1">
      <text>
        <r>
          <rPr>
            <sz val="8"/>
            <rFont val="Tahoma"/>
            <family val="2"/>
          </rPr>
          <t xml:space="preserve">The minimum input voltage of LM5117 is 5.5V.See LM5117 datasheet If the minimum input voltage is below 6.0V. 
The minimum input voltage of LM25117 is 4.5V.See LM25117 datasheet if the minimum input voltage is below 5.0V
</t>
        </r>
      </text>
    </comment>
    <comment ref="I15" authorId="1">
      <text>
        <r>
          <rPr>
            <sz val="8"/>
            <rFont val="Tahoma"/>
            <family val="2"/>
          </rPr>
          <t xml:space="preserve">Maximum and minimum output voltage is limited by minimum HO on-time and minimum HO off-time 
</t>
        </r>
      </text>
    </comment>
    <comment ref="I31" authorId="1">
      <text>
        <r>
          <rPr>
            <sz val="8"/>
            <rFont val="Tahoma"/>
            <family val="2"/>
          </rPr>
          <t>In Diode Emulation Mode, the regulator works in discontinuous conduction mode if output current is below this level.</t>
        </r>
      </text>
    </comment>
    <comment ref="I32" authorId="1">
      <text>
        <r>
          <rPr>
            <sz val="8"/>
            <rFont val="Tahoma"/>
            <family val="2"/>
          </rPr>
          <t>In Diode Emulation Mode, the regulator works in discontinuous conduction mode if output current is below this level.</t>
        </r>
      </text>
    </comment>
    <comment ref="I43" authorId="1">
      <text>
        <r>
          <rPr>
            <sz val="8"/>
            <rFont val="Tahoma"/>
            <family val="2"/>
          </rPr>
          <t>This is the maximum power dissipation at full load. The power rating of the sense resistor should be high enough to handle the power dissipation in a fault condition. Hiccup mode overload protection helps to derate the required power rating.</t>
        </r>
      </text>
    </comment>
    <comment ref="I42" authorId="1">
      <text>
        <r>
          <rPr>
            <sz val="8"/>
            <rFont val="Tahoma"/>
            <family val="2"/>
          </rPr>
          <t xml:space="preserve">If the saturation current of the inductor is less than this value , the peak inductor current during output short condition may be higher than this value. The temperatures of NMOSs, current sense resistor and inductor should be checked under this condition. For the case where the switch current overshoots when the inductor is saturated or the output is shorted to ground, the sample-and-hold circuit detects the excess recirculating current before the high-side NMOS is turned on again. The high-side NMOS is disabled and will skip pulses until the current has decayed below the current limit threshold. This approach prevents current runaway conditions since the inductor current is forced to decay to a controlled level following any current overshoot.
</t>
        </r>
      </text>
    </comment>
    <comment ref="I52" authorId="1">
      <text>
        <r>
          <rPr>
            <sz val="8"/>
            <rFont val="Tahoma"/>
            <family val="2"/>
          </rPr>
          <t xml:space="preserve">The desired minimum start-up voltage should be lower than the minimum input voltage. </t>
        </r>
      </text>
    </comment>
    <comment ref="I53" authorId="1">
      <text>
        <r>
          <rPr>
            <sz val="8"/>
            <rFont val="Tahoma"/>
            <family val="2"/>
          </rPr>
          <t>The full-load to no-load or no-load-to full-load trasient performance of the  source power supply determines the desired UV hysteresis.</t>
        </r>
      </text>
    </comment>
    <comment ref="I54" authorId="1">
      <text>
        <r>
          <rPr>
            <sz val="8"/>
            <rFont val="Tahoma"/>
            <family val="2"/>
          </rPr>
          <t>The larger value of RUV2 resistor helps to minimize the loss at no load current.</t>
        </r>
      </text>
    </comment>
    <comment ref="I56" authorId="1">
      <text>
        <r>
          <rPr>
            <sz val="8"/>
            <rFont val="Tahoma"/>
            <family val="2"/>
          </rPr>
          <t xml:space="preserve">The CFT capacitor helps reduce switching noise injection into the UVLO pin, but may slow the rate at which the voltage on the UVLO pin decreases when the 20μA current source is disabled. The recommended range for CFT is 10pF to 220pF. </t>
        </r>
      </text>
    </comment>
    <comment ref="I67" authorId="1">
      <text>
        <r>
          <rPr>
            <sz val="8"/>
            <rFont val="Tahoma"/>
            <family val="2"/>
          </rPr>
          <t>The VCC capacitor (CVCC) supplies the peak transient currents for the LO driver and bootstrap diode and provides stability for the VCC regulator. These peak currents can be several amperes. CVCC should be  greater than 0.47μF, and should be a good quality, low ESR, ceramic capacitor.</t>
        </r>
      </text>
    </comment>
    <comment ref="I66" authorId="1">
      <text>
        <r>
          <rPr>
            <sz val="8"/>
            <rFont val="Tahoma"/>
            <family val="2"/>
          </rPr>
          <t>The bootstrap capacitor the gate current to charge the high-side NMOS device gate during each cycle’s turn-on and also supplies recovery charge for the bootstrap diode. These current peaks can be several amperes. The bootstrap capacitor should be at least 0.1μF. CHB should be a good quality, low ESR, ceramic capacitor.</t>
        </r>
      </text>
    </comment>
    <comment ref="I82" authorId="1">
      <text>
        <r>
          <rPr>
            <sz val="8"/>
            <rFont val="Tahoma"/>
            <family val="2"/>
          </rPr>
          <t>Capacitors connected in parallel should be evaluated for RMS current rating. The current will split between the input capacitors based on the relative impedance of the capacitors at the switching frequency.</t>
        </r>
      </text>
    </comment>
    <comment ref="I96" authorId="1">
      <text>
        <r>
          <rPr>
            <sz val="8"/>
            <rFont val="Tahoma"/>
            <family val="2"/>
          </rPr>
          <t xml:space="preserve">RFB2 should be large enough to keep the total divider power dissipation small.
</t>
        </r>
      </text>
    </comment>
    <comment ref="I103" authorId="1">
      <text>
        <r>
          <rPr>
            <sz val="8"/>
            <rFont val="Tahoma"/>
            <family val="2"/>
          </rPr>
          <t xml:space="preserve">Select the nearest standard value. The value between 2K to 40K ohm is recommended.
</t>
        </r>
      </text>
    </comment>
    <comment ref="I105" authorId="1">
      <text>
        <r>
          <rPr>
            <sz val="8"/>
            <rFont val="Tahoma"/>
            <family val="2"/>
          </rPr>
          <t>Select the nearest standard value.</t>
        </r>
      </text>
    </comment>
    <comment ref="I108" authorId="1">
      <text>
        <r>
          <rPr>
            <sz val="8"/>
            <rFont val="Tahoma"/>
            <family val="2"/>
          </rPr>
          <t xml:space="preserve">Select a standard value for CHF that is between Min CHF and Max CHF. Check the stability by the ESR.
</t>
        </r>
      </text>
    </comment>
    <comment ref="G112" authorId="1">
      <text>
        <r>
          <rPr>
            <sz val="8"/>
            <rFont val="Tahoma"/>
            <family val="2"/>
          </rPr>
          <t>By using an external VCC supply, the temperature and the loss of LM(2)5117 are reduced, especially at high input voltage.</t>
        </r>
      </text>
    </comment>
    <comment ref="I60" authorId="1">
      <text>
        <r>
          <rPr>
            <sz val="8"/>
            <rFont val="Tahoma"/>
            <family val="2"/>
          </rPr>
          <t>Enter this value from the MOSFET datasheet.</t>
        </r>
      </text>
    </comment>
    <comment ref="I61" authorId="1">
      <text>
        <r>
          <rPr>
            <sz val="8"/>
            <rFont val="Tahoma"/>
            <family val="2"/>
          </rPr>
          <t>Enter this value from the MOSFET datasheet.</t>
        </r>
      </text>
    </comment>
    <comment ref="I81" authorId="0">
      <text>
        <r>
          <rPr>
            <sz val="8"/>
            <rFont val="Tahoma"/>
            <family val="2"/>
          </rPr>
          <t>Peak-to-peak input voltage ripple is recommended to be below 0.7V</t>
        </r>
      </text>
    </comment>
    <comment ref="I80" authorId="0">
      <text>
        <r>
          <rPr>
            <sz val="8"/>
            <rFont val="Tahoma"/>
            <family val="2"/>
          </rPr>
          <t xml:space="preserve">The input capacitor(s) smooth the input ripple voltage. </t>
        </r>
      </text>
    </comment>
  </commentList>
</comments>
</file>

<file path=xl/sharedStrings.xml><?xml version="1.0" encoding="utf-8"?>
<sst xmlns="http://schemas.openxmlformats.org/spreadsheetml/2006/main" count="227" uniqueCount="211">
  <si>
    <t>LM(2)5117 Wide Input Range Synchronous Buck Controller with Analog Current Monitor</t>
  </si>
  <si>
    <t>Step 1 - General  Requirements</t>
  </si>
  <si>
    <r>
      <t>Target output voltage, V</t>
    </r>
    <r>
      <rPr>
        <vertAlign val="subscript"/>
        <sz val="10"/>
        <rFont val="Arial"/>
        <family val="2"/>
      </rPr>
      <t>OUT</t>
    </r>
    <r>
      <rPr>
        <sz val="10"/>
        <rFont val="Arial"/>
        <family val="0"/>
      </rPr>
      <t xml:space="preserve"> [V]</t>
    </r>
  </si>
  <si>
    <r>
      <t>Full load current , I</t>
    </r>
    <r>
      <rPr>
        <vertAlign val="subscript"/>
        <sz val="10"/>
        <rFont val="Arial"/>
        <family val="2"/>
      </rPr>
      <t>OUT</t>
    </r>
    <r>
      <rPr>
        <sz val="10"/>
        <rFont val="Arial"/>
        <family val="0"/>
      </rPr>
      <t xml:space="preserve"> [A]</t>
    </r>
  </si>
  <si>
    <t>Recommended IC</t>
  </si>
  <si>
    <t>Step 2 - Switching Frequency</t>
  </si>
  <si>
    <r>
      <t>Switching frequency, F</t>
    </r>
    <r>
      <rPr>
        <vertAlign val="subscript"/>
        <sz val="10"/>
        <rFont val="Arial"/>
        <family val="2"/>
      </rPr>
      <t>SW</t>
    </r>
    <r>
      <rPr>
        <sz val="10"/>
        <rFont val="Arial"/>
        <family val="0"/>
      </rPr>
      <t xml:space="preserve"> [kHz]</t>
    </r>
  </si>
  <si>
    <t>Step 3 - Inductor Value</t>
  </si>
  <si>
    <t>Step 4 - Current Limit</t>
  </si>
  <si>
    <t>K Factor</t>
  </si>
  <si>
    <r>
      <t>Recommended current sense resistor , R</t>
    </r>
    <r>
      <rPr>
        <vertAlign val="subscript"/>
        <sz val="10"/>
        <rFont val="Arial"/>
        <family val="2"/>
      </rPr>
      <t>S</t>
    </r>
    <r>
      <rPr>
        <sz val="10"/>
        <rFont val="Arial"/>
        <family val="0"/>
      </rPr>
      <t xml:space="preserve"> [Ω]</t>
    </r>
  </si>
  <si>
    <r>
      <t>User selection , R</t>
    </r>
    <r>
      <rPr>
        <vertAlign val="subscript"/>
        <sz val="10"/>
        <rFont val="Arial"/>
        <family val="2"/>
      </rPr>
      <t>S</t>
    </r>
    <r>
      <rPr>
        <sz val="10"/>
        <rFont val="Arial"/>
        <family val="0"/>
      </rPr>
      <t xml:space="preserve"> [Ω]</t>
    </r>
  </si>
  <si>
    <r>
      <t>Max output current @V</t>
    </r>
    <r>
      <rPr>
        <vertAlign val="subscript"/>
        <sz val="10"/>
        <rFont val="Arial"/>
        <family val="2"/>
      </rPr>
      <t>IN(MAX)</t>
    </r>
    <r>
      <rPr>
        <sz val="10"/>
        <rFont val="Arial"/>
        <family val="2"/>
      </rPr>
      <t xml:space="preserve"> [A]</t>
    </r>
  </si>
  <si>
    <r>
      <t>Max output current @V</t>
    </r>
    <r>
      <rPr>
        <vertAlign val="subscript"/>
        <sz val="10"/>
        <rFont val="Arial"/>
        <family val="2"/>
      </rPr>
      <t>IN(MIN)</t>
    </r>
    <r>
      <rPr>
        <sz val="10"/>
        <rFont val="Arial"/>
        <family val="2"/>
      </rPr>
      <t xml:space="preserve"> [A]</t>
    </r>
  </si>
  <si>
    <t>Step 5 - Ramp Configuration</t>
  </si>
  <si>
    <r>
      <t>Ramp capacitor, C</t>
    </r>
    <r>
      <rPr>
        <vertAlign val="subscript"/>
        <sz val="10"/>
        <rFont val="Arial"/>
        <family val="2"/>
      </rPr>
      <t>RAMP</t>
    </r>
    <r>
      <rPr>
        <sz val="10"/>
        <rFont val="Arial"/>
        <family val="0"/>
      </rPr>
      <t xml:space="preserve"> [pF]</t>
    </r>
  </si>
  <si>
    <r>
      <t>Ramp resistor, R</t>
    </r>
    <r>
      <rPr>
        <vertAlign val="subscript"/>
        <sz val="10"/>
        <rFont val="Arial"/>
        <family val="2"/>
      </rPr>
      <t>RAMP</t>
    </r>
    <r>
      <rPr>
        <sz val="10"/>
        <rFont val="Arial"/>
        <family val="0"/>
      </rPr>
      <t xml:space="preserve"> [kΩ]</t>
    </r>
  </si>
  <si>
    <t>Step 6 -VIN UV Shutdown</t>
  </si>
  <si>
    <r>
      <t>Desired UV hysteresis, V</t>
    </r>
    <r>
      <rPr>
        <vertAlign val="subscript"/>
        <sz val="10"/>
        <rFont val="Arial"/>
        <family val="2"/>
      </rPr>
      <t>HYS</t>
    </r>
    <r>
      <rPr>
        <sz val="10"/>
        <rFont val="Arial"/>
        <family val="0"/>
      </rPr>
      <t xml:space="preserve"> [V]</t>
    </r>
  </si>
  <si>
    <r>
      <t>R</t>
    </r>
    <r>
      <rPr>
        <vertAlign val="subscript"/>
        <sz val="10"/>
        <rFont val="Arial"/>
        <family val="2"/>
      </rPr>
      <t>UV2</t>
    </r>
    <r>
      <rPr>
        <sz val="10"/>
        <rFont val="Arial"/>
        <family val="0"/>
      </rPr>
      <t xml:space="preserve"> [kΩ]</t>
    </r>
  </si>
  <si>
    <r>
      <t>R</t>
    </r>
    <r>
      <rPr>
        <vertAlign val="subscript"/>
        <sz val="10"/>
        <rFont val="Arial"/>
        <family val="2"/>
      </rPr>
      <t>UV1</t>
    </r>
    <r>
      <rPr>
        <sz val="10"/>
        <rFont val="Arial"/>
        <family val="0"/>
      </rPr>
      <t xml:space="preserve"> [kΩ]</t>
    </r>
  </si>
  <si>
    <r>
      <t>Desired minimum start-up voltage, V</t>
    </r>
    <r>
      <rPr>
        <vertAlign val="subscript"/>
        <sz val="10"/>
        <rFont val="Arial"/>
        <family val="2"/>
      </rPr>
      <t>IN(STARTUP)</t>
    </r>
    <r>
      <rPr>
        <sz val="10"/>
        <rFont val="Arial"/>
        <family val="0"/>
      </rPr>
      <t xml:space="preserve"> [V]</t>
    </r>
  </si>
  <si>
    <t>Gate charging current [mA]</t>
  </si>
  <si>
    <t>Step 7 -NMOS gate charge</t>
  </si>
  <si>
    <t>Step 8 -Bootstrap capacitor and VCC capacitor</t>
  </si>
  <si>
    <t>Step 9 -Output Capacitors</t>
  </si>
  <si>
    <r>
      <t>Ceramic output capacitor, C</t>
    </r>
    <r>
      <rPr>
        <vertAlign val="subscript"/>
        <sz val="10"/>
        <rFont val="Arial"/>
        <family val="2"/>
      </rPr>
      <t>OUT2</t>
    </r>
    <r>
      <rPr>
        <sz val="10"/>
        <rFont val="Arial"/>
        <family val="0"/>
      </rPr>
      <t xml:space="preserve"> [µF]</t>
    </r>
  </si>
  <si>
    <r>
      <t>Output capacitor with ESR, C</t>
    </r>
    <r>
      <rPr>
        <vertAlign val="subscript"/>
        <sz val="10"/>
        <rFont val="Arial"/>
        <family val="2"/>
      </rPr>
      <t>OUT1</t>
    </r>
    <r>
      <rPr>
        <sz val="10"/>
        <rFont val="Arial"/>
        <family val="0"/>
      </rPr>
      <t xml:space="preserve"> [µF]</t>
    </r>
  </si>
  <si>
    <t>Step 10 -Input Capacitors</t>
  </si>
  <si>
    <t>Step 11 -Soft Start</t>
  </si>
  <si>
    <r>
      <t>Soft-start capacitor, C</t>
    </r>
    <r>
      <rPr>
        <vertAlign val="subscript"/>
        <sz val="10"/>
        <rFont val="Arial"/>
        <family val="2"/>
      </rPr>
      <t>SS</t>
    </r>
    <r>
      <rPr>
        <sz val="10"/>
        <rFont val="Arial"/>
        <family val="2"/>
      </rPr>
      <t xml:space="preserve"> [µF]</t>
    </r>
  </si>
  <si>
    <r>
      <t>Desired soft-start time, T</t>
    </r>
    <r>
      <rPr>
        <vertAlign val="subscript"/>
        <sz val="10"/>
        <rFont val="Arial"/>
        <family val="2"/>
      </rPr>
      <t>SS</t>
    </r>
    <r>
      <rPr>
        <sz val="10"/>
        <rFont val="Arial"/>
        <family val="2"/>
      </rPr>
      <t xml:space="preserve"> [ms]</t>
    </r>
  </si>
  <si>
    <r>
      <t>Desired restart time, T</t>
    </r>
    <r>
      <rPr>
        <vertAlign val="subscript"/>
        <sz val="10"/>
        <rFont val="Arial"/>
        <family val="2"/>
      </rPr>
      <t>RES</t>
    </r>
    <r>
      <rPr>
        <sz val="10"/>
        <rFont val="Arial"/>
        <family val="2"/>
      </rPr>
      <t xml:space="preserve"> [ms]</t>
    </r>
  </si>
  <si>
    <r>
      <t>Restart capacitor, C</t>
    </r>
    <r>
      <rPr>
        <vertAlign val="subscript"/>
        <sz val="10"/>
        <rFont val="Arial"/>
        <family val="2"/>
      </rPr>
      <t>RES</t>
    </r>
    <r>
      <rPr>
        <sz val="10"/>
        <rFont val="Arial"/>
        <family val="2"/>
      </rPr>
      <t xml:space="preserve"> [µF]</t>
    </r>
  </si>
  <si>
    <r>
      <t>Effective total C</t>
    </r>
    <r>
      <rPr>
        <vertAlign val="subscript"/>
        <sz val="10"/>
        <rFont val="Arial"/>
        <family val="2"/>
      </rPr>
      <t xml:space="preserve">OUT </t>
    </r>
    <r>
      <rPr>
        <sz val="10"/>
        <rFont val="Arial"/>
        <family val="0"/>
      </rPr>
      <t>[µF]</t>
    </r>
  </si>
  <si>
    <t>Step 12 - Hiccup mode restart time</t>
  </si>
  <si>
    <t>Step 14 - Compensation Network</t>
  </si>
  <si>
    <t>Step 13 - Feedback Resistors</t>
  </si>
  <si>
    <r>
      <t>Openloop crossover frequency, F</t>
    </r>
    <r>
      <rPr>
        <vertAlign val="subscript"/>
        <sz val="10"/>
        <rFont val="Arial"/>
        <family val="2"/>
      </rPr>
      <t>CROSS</t>
    </r>
    <r>
      <rPr>
        <sz val="10"/>
        <rFont val="Arial"/>
        <family val="0"/>
      </rPr>
      <t xml:space="preserve"> [kHz]</t>
    </r>
  </si>
  <si>
    <t>Step 14 - Controller Power Dissipation</t>
  </si>
  <si>
    <r>
      <t>Total power loss @V</t>
    </r>
    <r>
      <rPr>
        <vertAlign val="subscript"/>
        <sz val="10"/>
        <rFont val="Arial"/>
        <family val="2"/>
      </rPr>
      <t>IN(MAX)</t>
    </r>
    <r>
      <rPr>
        <sz val="10"/>
        <rFont val="Arial"/>
        <family val="0"/>
      </rPr>
      <t xml:space="preserve"> [W]</t>
    </r>
  </si>
  <si>
    <t>Ambient temperature [ºC]</t>
  </si>
  <si>
    <r>
      <t xml:space="preserve"> External VCC Select "</t>
    </r>
    <r>
      <rPr>
        <b/>
        <sz val="10"/>
        <rFont val="Arial"/>
        <family val="2"/>
      </rPr>
      <t>Yes</t>
    </r>
    <r>
      <rPr>
        <sz val="10"/>
        <rFont val="Arial"/>
        <family val="0"/>
      </rPr>
      <t>" or "</t>
    </r>
    <r>
      <rPr>
        <b/>
        <sz val="10"/>
        <rFont val="Arial"/>
        <family val="2"/>
      </rPr>
      <t>No</t>
    </r>
    <r>
      <rPr>
        <sz val="10"/>
        <rFont val="Arial"/>
        <family val="0"/>
      </rPr>
      <t xml:space="preserve">" </t>
    </r>
  </si>
  <si>
    <t>RMS output current ripple [A]</t>
  </si>
  <si>
    <t>Peak-Peak input voltage ripple [V]</t>
  </si>
  <si>
    <t>RMS input current ripple [A]</t>
  </si>
  <si>
    <t>mintoff</t>
  </si>
  <si>
    <t>minton</t>
  </si>
  <si>
    <t>vcsth</t>
  </si>
  <si>
    <r>
      <t>Recommended output inductor, L</t>
    </r>
    <r>
      <rPr>
        <vertAlign val="subscript"/>
        <sz val="10"/>
        <rFont val="Arial"/>
        <family val="2"/>
      </rPr>
      <t>O</t>
    </r>
    <r>
      <rPr>
        <sz val="10"/>
        <rFont val="Arial"/>
        <family val="0"/>
      </rPr>
      <t xml:space="preserve"> [uH]</t>
    </r>
  </si>
  <si>
    <r>
      <t>User selection, L</t>
    </r>
    <r>
      <rPr>
        <vertAlign val="subscript"/>
        <sz val="10"/>
        <rFont val="Arial"/>
        <family val="2"/>
      </rPr>
      <t>O</t>
    </r>
    <r>
      <rPr>
        <sz val="10"/>
        <rFont val="Arial"/>
        <family val="0"/>
      </rPr>
      <t xml:space="preserve"> [uH]</t>
    </r>
  </si>
  <si>
    <r>
      <t xml:space="preserve"> Target (% beyond full load  @V</t>
    </r>
    <r>
      <rPr>
        <vertAlign val="subscript"/>
        <sz val="10"/>
        <rFont val="Arial"/>
        <family val="2"/>
      </rPr>
      <t>IN(MIN)</t>
    </r>
    <r>
      <rPr>
        <sz val="10"/>
        <rFont val="Arial"/>
        <family val="2"/>
      </rPr>
      <t xml:space="preserve"> )</t>
    </r>
  </si>
  <si>
    <r>
      <t>Min load current in CCM @V</t>
    </r>
    <r>
      <rPr>
        <vertAlign val="subscript"/>
        <sz val="10"/>
        <rFont val="Arial"/>
        <family val="2"/>
      </rPr>
      <t>IN(MAX)</t>
    </r>
    <r>
      <rPr>
        <sz val="10"/>
        <rFont val="Arial"/>
        <family val="0"/>
      </rPr>
      <t xml:space="preserve"> [A]</t>
    </r>
  </si>
  <si>
    <r>
      <t>Min load current in CCM @V</t>
    </r>
    <r>
      <rPr>
        <vertAlign val="subscript"/>
        <sz val="10"/>
        <rFont val="Arial"/>
        <family val="2"/>
      </rPr>
      <t>IN(MIN)</t>
    </r>
    <r>
      <rPr>
        <sz val="10"/>
        <rFont val="Arial"/>
        <family val="0"/>
      </rPr>
      <t xml:space="preserve"> [A]</t>
    </r>
  </si>
  <si>
    <t>Max ripple current % of full load current [%]</t>
  </si>
  <si>
    <r>
      <t>Max duty cycle, D</t>
    </r>
    <r>
      <rPr>
        <vertAlign val="subscript"/>
        <sz val="10"/>
        <rFont val="Arial"/>
        <family val="2"/>
      </rPr>
      <t>MAX</t>
    </r>
  </si>
  <si>
    <r>
      <t>Min duty cycle, D</t>
    </r>
    <r>
      <rPr>
        <vertAlign val="subscript"/>
        <sz val="10"/>
        <rFont val="Arial"/>
        <family val="2"/>
      </rPr>
      <t>MIN</t>
    </r>
  </si>
  <si>
    <r>
      <t>Max input voltage, V</t>
    </r>
    <r>
      <rPr>
        <vertAlign val="subscript"/>
        <sz val="10"/>
        <rFont val="Arial"/>
        <family val="2"/>
      </rPr>
      <t>IN(MAX)</t>
    </r>
    <r>
      <rPr>
        <sz val="10"/>
        <rFont val="Arial"/>
        <family val="0"/>
      </rPr>
      <t xml:space="preserve"> [V]</t>
    </r>
  </si>
  <si>
    <r>
      <t>Min input voltage, V</t>
    </r>
    <r>
      <rPr>
        <vertAlign val="subscript"/>
        <sz val="10"/>
        <rFont val="Arial"/>
        <family val="2"/>
      </rPr>
      <t>IN(MIN)</t>
    </r>
    <r>
      <rPr>
        <sz val="10"/>
        <rFont val="Arial"/>
        <family val="0"/>
      </rPr>
      <t xml:space="preserve"> [V]</t>
    </r>
  </si>
  <si>
    <r>
      <t>Min C</t>
    </r>
    <r>
      <rPr>
        <vertAlign val="subscript"/>
        <sz val="10"/>
        <rFont val="Arial"/>
        <family val="2"/>
      </rPr>
      <t>HB</t>
    </r>
    <r>
      <rPr>
        <sz val="10"/>
        <rFont val="Arial"/>
        <family val="0"/>
      </rPr>
      <t xml:space="preserve"> [µF]</t>
    </r>
  </si>
  <si>
    <r>
      <t>Min C</t>
    </r>
    <r>
      <rPr>
        <vertAlign val="subscript"/>
        <sz val="10"/>
        <rFont val="Arial"/>
        <family val="2"/>
      </rPr>
      <t>VCC</t>
    </r>
    <r>
      <rPr>
        <sz val="10"/>
        <rFont val="Arial"/>
        <family val="0"/>
      </rPr>
      <t xml:space="preserve"> [µF]</t>
    </r>
  </si>
  <si>
    <r>
      <t>Max ESR of  C</t>
    </r>
    <r>
      <rPr>
        <vertAlign val="subscript"/>
        <sz val="10"/>
        <rFont val="Arial"/>
        <family val="2"/>
      </rPr>
      <t>OUT1</t>
    </r>
    <r>
      <rPr>
        <sz val="10"/>
        <rFont val="Arial"/>
        <family val="0"/>
      </rPr>
      <t>, R</t>
    </r>
    <r>
      <rPr>
        <vertAlign val="subscript"/>
        <sz val="10"/>
        <rFont val="Arial"/>
        <family val="2"/>
      </rPr>
      <t>ESR</t>
    </r>
    <r>
      <rPr>
        <sz val="10"/>
        <rFont val="Arial"/>
        <family val="0"/>
      </rPr>
      <t xml:space="preserve"> [Ω]</t>
    </r>
  </si>
  <si>
    <t>as</t>
  </si>
  <si>
    <t>ihys</t>
  </si>
  <si>
    <t>uvloth</t>
  </si>
  <si>
    <r>
      <t>Max C</t>
    </r>
    <r>
      <rPr>
        <vertAlign val="subscript"/>
        <sz val="10"/>
        <rFont val="Arial"/>
        <family val="2"/>
      </rPr>
      <t>FT</t>
    </r>
    <r>
      <rPr>
        <sz val="10"/>
        <rFont val="Arial"/>
        <family val="0"/>
      </rPr>
      <t xml:space="preserve"> (optional) [pF]</t>
    </r>
  </si>
  <si>
    <t>Peak-Peak output voltage ripple @VIN(MAX) [mV]</t>
  </si>
  <si>
    <t>iss</t>
  </si>
  <si>
    <t>ires</t>
  </si>
  <si>
    <t>resth</t>
  </si>
  <si>
    <r>
      <t>R</t>
    </r>
    <r>
      <rPr>
        <vertAlign val="subscript"/>
        <sz val="10"/>
        <rFont val="Arial"/>
        <family val="2"/>
      </rPr>
      <t>FB2</t>
    </r>
    <r>
      <rPr>
        <sz val="10"/>
        <rFont val="Arial"/>
        <family val="2"/>
      </rPr>
      <t xml:space="preserve"> [Ω]</t>
    </r>
  </si>
  <si>
    <r>
      <t>R</t>
    </r>
    <r>
      <rPr>
        <vertAlign val="subscript"/>
        <sz val="10"/>
        <rFont val="Arial"/>
        <family val="2"/>
      </rPr>
      <t>FB1</t>
    </r>
    <r>
      <rPr>
        <sz val="10"/>
        <rFont val="Arial"/>
        <family val="2"/>
      </rPr>
      <t xml:space="preserve"> [Ω]</t>
    </r>
  </si>
  <si>
    <t>absmin</t>
  </si>
  <si>
    <r>
      <t>Full load power dissipation of R</t>
    </r>
    <r>
      <rPr>
        <vertAlign val="subscript"/>
        <sz val="10"/>
        <rFont val="Arial"/>
        <family val="2"/>
      </rPr>
      <t xml:space="preserve">S </t>
    </r>
    <r>
      <rPr>
        <sz val="10"/>
        <rFont val="Arial"/>
        <family val="0"/>
      </rPr>
      <t>@V</t>
    </r>
    <r>
      <rPr>
        <vertAlign val="subscript"/>
        <sz val="10"/>
        <rFont val="Arial"/>
        <family val="2"/>
      </rPr>
      <t>IN(MAX)</t>
    </r>
    <r>
      <rPr>
        <sz val="10"/>
        <rFont val="Arial"/>
        <family val="0"/>
      </rPr>
      <t>, P</t>
    </r>
    <r>
      <rPr>
        <vertAlign val="subscript"/>
        <sz val="10"/>
        <rFont val="Arial"/>
        <family val="2"/>
      </rPr>
      <t>RS</t>
    </r>
    <r>
      <rPr>
        <sz val="10"/>
        <rFont val="Arial"/>
        <family val="0"/>
      </rPr>
      <t xml:space="preserve"> [W]</t>
    </r>
  </si>
  <si>
    <t>icclimit</t>
  </si>
  <si>
    <t>tsslimit</t>
  </si>
  <si>
    <t>treslimit</t>
  </si>
  <si>
    <t>Fz_esr</t>
  </si>
  <si>
    <t xml:space="preserve">To further optimize the design, please visit: </t>
  </si>
  <si>
    <t>http://webench.national.com/</t>
  </si>
  <si>
    <t xml:space="preserve">Optimization graphs, charts, and electrical/thermal simulation capabilites are available. </t>
  </si>
  <si>
    <t xml:space="preserve">Note: The WEBENCH recommended BOM may be different than what is recommended in this spreadsheet. </t>
  </si>
  <si>
    <t>LIST OF COMPONENTS AND PARAMETERS</t>
  </si>
  <si>
    <r>
      <t>Simulate This Design Using WEBENCH®</t>
    </r>
    <r>
      <rPr>
        <b/>
        <sz val="8.5"/>
        <color indexed="9"/>
        <rFont val="Arial"/>
        <family val="2"/>
      </rPr>
      <t xml:space="preserve"> </t>
    </r>
    <r>
      <rPr>
        <b/>
        <sz val="10"/>
        <color indexed="9"/>
        <rFont val="Arial"/>
        <family val="2"/>
      </rPr>
      <t>Tools</t>
    </r>
  </si>
  <si>
    <t>Yes</t>
  </si>
  <si>
    <t>No</t>
  </si>
  <si>
    <t>Fp_lf</t>
  </si>
  <si>
    <t>fsw*1000</t>
  </si>
  <si>
    <t>Q</t>
  </si>
  <si>
    <t>fcrossmax</t>
  </si>
  <si>
    <t>flc</t>
  </si>
  <si>
    <t>Ivin_oper</t>
  </si>
  <si>
    <t>vrt</t>
  </si>
  <si>
    <t>rvcc</t>
  </si>
  <si>
    <t>Ivcc</t>
  </si>
  <si>
    <t>theta_tssop</t>
  </si>
  <si>
    <t>theta_llp</t>
  </si>
  <si>
    <r>
      <t xml:space="preserve"> C</t>
    </r>
    <r>
      <rPr>
        <vertAlign val="subscript"/>
        <sz val="10"/>
        <color indexed="8"/>
        <rFont val="Arial"/>
        <family val="2"/>
      </rPr>
      <t xml:space="preserve">COMP </t>
    </r>
    <r>
      <rPr>
        <sz val="10"/>
        <color indexed="8"/>
        <rFont val="Arial"/>
        <family val="2"/>
      </rPr>
      <t>[pF]</t>
    </r>
  </si>
  <si>
    <r>
      <t>R</t>
    </r>
    <r>
      <rPr>
        <vertAlign val="subscript"/>
        <sz val="10"/>
        <color indexed="8"/>
        <rFont val="Arial"/>
        <family val="2"/>
      </rPr>
      <t xml:space="preserve">COMP </t>
    </r>
    <r>
      <rPr>
        <sz val="10"/>
        <color indexed="8"/>
        <rFont val="Arial"/>
        <family val="2"/>
      </rPr>
      <t>[Ω]</t>
    </r>
  </si>
  <si>
    <t>Typical High-side MOSFET Cgs (pF)</t>
  </si>
  <si>
    <t>Typical High-side MOSFET Cgd (pF)</t>
  </si>
  <si>
    <t>Typical Low-side MOSFET Cgs (pF)</t>
  </si>
  <si>
    <t>Typical Low-side MOSFET Cgd (pF)</t>
  </si>
  <si>
    <t>VIN</t>
  </si>
  <si>
    <t>ICLOSS</t>
  </si>
  <si>
    <t>TSSOP</t>
  </si>
  <si>
    <t>LLP</t>
  </si>
  <si>
    <t>Description</t>
  </si>
  <si>
    <t>Value</t>
  </si>
  <si>
    <t>Min Rating</t>
  </si>
  <si>
    <t>Components</t>
  </si>
  <si>
    <t>IC</t>
  </si>
  <si>
    <t>Optional filter capacitor</t>
  </si>
  <si>
    <t>RAMP capacitor</t>
  </si>
  <si>
    <t>Compensation Capacitor</t>
  </si>
  <si>
    <t>Softstart capacitor</t>
  </si>
  <si>
    <t>Restart capacitor</t>
  </si>
  <si>
    <t>VCC capacitor</t>
  </si>
  <si>
    <t>Bootstrap capacitor</t>
  </si>
  <si>
    <t>Output capacitor</t>
  </si>
  <si>
    <t>UVLO divider resistor</t>
  </si>
  <si>
    <t>RAMP resistor</t>
  </si>
  <si>
    <t>Feedback divider resistor</t>
  </si>
  <si>
    <t>Compensation Resistor</t>
  </si>
  <si>
    <t>Oscillator timing resistor</t>
  </si>
  <si>
    <t>Current sense resistor</t>
  </si>
  <si>
    <t>Input capacitor</t>
  </si>
  <si>
    <t>Output inductor</t>
  </si>
  <si>
    <t>Bootstrap diode</t>
  </si>
  <si>
    <t>NMOS</t>
  </si>
  <si>
    <t>Buck controller</t>
  </si>
  <si>
    <t>FSW/100</t>
  </si>
  <si>
    <t>1/16W</t>
  </si>
  <si>
    <t>Am</t>
  </si>
  <si>
    <t>Rload</t>
  </si>
  <si>
    <t>wp_hf</t>
  </si>
  <si>
    <t>wp_lf</t>
  </si>
  <si>
    <t>fp_hf</t>
  </si>
  <si>
    <t>fp_lf</t>
  </si>
  <si>
    <t>wz_esr</t>
  </si>
  <si>
    <t>wp_esr</t>
  </si>
  <si>
    <t>cout1_cout2</t>
  </si>
  <si>
    <t>wn</t>
  </si>
  <si>
    <t>fz_esr</t>
  </si>
  <si>
    <t>fp_esr</t>
  </si>
  <si>
    <t>fn</t>
  </si>
  <si>
    <t>K</t>
  </si>
  <si>
    <t>Modulator Transfer Function</t>
  </si>
  <si>
    <t>Feedback Transfer Function</t>
  </si>
  <si>
    <t>Afb</t>
  </si>
  <si>
    <t>wp_ea</t>
  </si>
  <si>
    <t>wz_ea</t>
  </si>
  <si>
    <t>ccomp_chf</t>
  </si>
  <si>
    <t>fp_ea</t>
  </si>
  <si>
    <t>fz_ea</t>
  </si>
  <si>
    <t>References</t>
  </si>
  <si>
    <t>f_lc</t>
  </si>
  <si>
    <t>wlc</t>
  </si>
  <si>
    <t>frequency</t>
  </si>
  <si>
    <t>(Hz)</t>
  </si>
  <si>
    <t>(rad/sec)</t>
  </si>
  <si>
    <t>Gain</t>
  </si>
  <si>
    <t>Mogulator</t>
  </si>
  <si>
    <t>Phase</t>
  </si>
  <si>
    <t>Feedback</t>
  </si>
  <si>
    <t>Openloop</t>
  </si>
  <si>
    <r>
      <t>User selection, R</t>
    </r>
    <r>
      <rPr>
        <vertAlign val="subscript"/>
        <sz val="10"/>
        <color indexed="8"/>
        <rFont val="Arial"/>
        <family val="2"/>
      </rPr>
      <t xml:space="preserve">COMP </t>
    </r>
    <r>
      <rPr>
        <sz val="10"/>
        <color indexed="8"/>
        <rFont val="Arial"/>
        <family val="2"/>
      </rPr>
      <t>[Ω]</t>
    </r>
  </si>
  <si>
    <r>
      <t xml:space="preserve"> User selection, C</t>
    </r>
    <r>
      <rPr>
        <vertAlign val="subscript"/>
        <sz val="10"/>
        <color indexed="8"/>
        <rFont val="Arial"/>
        <family val="2"/>
      </rPr>
      <t xml:space="preserve">COMP </t>
    </r>
    <r>
      <rPr>
        <sz val="10"/>
        <color indexed="8"/>
        <rFont val="Arial"/>
        <family val="2"/>
      </rPr>
      <t>[pF]</t>
    </r>
  </si>
  <si>
    <r>
      <t>C</t>
    </r>
    <r>
      <rPr>
        <b/>
        <vertAlign val="subscript"/>
        <sz val="10"/>
        <rFont val="Arial"/>
        <family val="2"/>
      </rPr>
      <t>IN</t>
    </r>
  </si>
  <si>
    <r>
      <t>C</t>
    </r>
    <r>
      <rPr>
        <b/>
        <vertAlign val="subscript"/>
        <sz val="10"/>
        <rFont val="Arial"/>
        <family val="2"/>
      </rPr>
      <t>OUT1</t>
    </r>
  </si>
  <si>
    <r>
      <t>C</t>
    </r>
    <r>
      <rPr>
        <b/>
        <vertAlign val="subscript"/>
        <sz val="10"/>
        <rFont val="Arial"/>
        <family val="2"/>
      </rPr>
      <t>OUT2</t>
    </r>
  </si>
  <si>
    <r>
      <t>C</t>
    </r>
    <r>
      <rPr>
        <b/>
        <vertAlign val="subscript"/>
        <sz val="10"/>
        <rFont val="Arial"/>
        <family val="2"/>
      </rPr>
      <t>VCC</t>
    </r>
  </si>
  <si>
    <r>
      <t>C</t>
    </r>
    <r>
      <rPr>
        <b/>
        <vertAlign val="subscript"/>
        <sz val="10"/>
        <rFont val="Arial"/>
        <family val="2"/>
      </rPr>
      <t>HB</t>
    </r>
  </si>
  <si>
    <r>
      <t>C</t>
    </r>
    <r>
      <rPr>
        <b/>
        <vertAlign val="subscript"/>
        <sz val="10"/>
        <rFont val="Arial"/>
        <family val="2"/>
      </rPr>
      <t>SS</t>
    </r>
  </si>
  <si>
    <r>
      <t>C</t>
    </r>
    <r>
      <rPr>
        <b/>
        <vertAlign val="subscript"/>
        <sz val="10"/>
        <rFont val="Arial"/>
        <family val="2"/>
      </rPr>
      <t>RES</t>
    </r>
  </si>
  <si>
    <r>
      <t>C</t>
    </r>
    <r>
      <rPr>
        <b/>
        <vertAlign val="subscript"/>
        <sz val="10"/>
        <rFont val="Arial"/>
        <family val="2"/>
      </rPr>
      <t>RAMP</t>
    </r>
  </si>
  <si>
    <r>
      <t>C</t>
    </r>
    <r>
      <rPr>
        <b/>
        <vertAlign val="subscript"/>
        <sz val="10"/>
        <rFont val="Arial"/>
        <family val="2"/>
      </rPr>
      <t>COMP</t>
    </r>
  </si>
  <si>
    <r>
      <t>C</t>
    </r>
    <r>
      <rPr>
        <b/>
        <vertAlign val="subscript"/>
        <sz val="10"/>
        <rFont val="Arial"/>
        <family val="2"/>
      </rPr>
      <t>HF</t>
    </r>
  </si>
  <si>
    <r>
      <t>C</t>
    </r>
    <r>
      <rPr>
        <b/>
        <vertAlign val="subscript"/>
        <sz val="10"/>
        <rFont val="Arial"/>
        <family val="2"/>
      </rPr>
      <t>FT</t>
    </r>
  </si>
  <si>
    <r>
      <t>R</t>
    </r>
    <r>
      <rPr>
        <b/>
        <vertAlign val="subscript"/>
        <sz val="10"/>
        <rFont val="Arial"/>
        <family val="2"/>
      </rPr>
      <t>UV1</t>
    </r>
  </si>
  <si>
    <r>
      <t>R</t>
    </r>
    <r>
      <rPr>
        <b/>
        <vertAlign val="subscript"/>
        <sz val="10"/>
        <rFont val="Arial"/>
        <family val="2"/>
      </rPr>
      <t>UV2</t>
    </r>
  </si>
  <si>
    <r>
      <t>R</t>
    </r>
    <r>
      <rPr>
        <b/>
        <vertAlign val="subscript"/>
        <sz val="10"/>
        <rFont val="Arial"/>
        <family val="2"/>
      </rPr>
      <t>FB1</t>
    </r>
  </si>
  <si>
    <r>
      <t>R</t>
    </r>
    <r>
      <rPr>
        <b/>
        <vertAlign val="subscript"/>
        <sz val="10"/>
        <rFont val="Arial"/>
        <family val="2"/>
      </rPr>
      <t>FB2</t>
    </r>
  </si>
  <si>
    <r>
      <t>R</t>
    </r>
    <r>
      <rPr>
        <b/>
        <vertAlign val="subscript"/>
        <sz val="10"/>
        <rFont val="Arial"/>
        <family val="2"/>
      </rPr>
      <t>S</t>
    </r>
  </si>
  <si>
    <r>
      <t>R</t>
    </r>
    <r>
      <rPr>
        <b/>
        <vertAlign val="subscript"/>
        <sz val="10"/>
        <rFont val="Arial"/>
        <family val="2"/>
      </rPr>
      <t>T</t>
    </r>
  </si>
  <si>
    <r>
      <t>R</t>
    </r>
    <r>
      <rPr>
        <b/>
        <vertAlign val="subscript"/>
        <sz val="10"/>
        <rFont val="Arial"/>
        <family val="2"/>
      </rPr>
      <t>RAMP</t>
    </r>
  </si>
  <si>
    <r>
      <t>R</t>
    </r>
    <r>
      <rPr>
        <b/>
        <vertAlign val="subscript"/>
        <sz val="10"/>
        <rFont val="Arial"/>
        <family val="2"/>
      </rPr>
      <t>COMP</t>
    </r>
  </si>
  <si>
    <r>
      <t>L</t>
    </r>
    <r>
      <rPr>
        <b/>
        <vertAlign val="subscript"/>
        <sz val="10"/>
        <rFont val="Arial"/>
        <family val="2"/>
      </rPr>
      <t>O</t>
    </r>
  </si>
  <si>
    <r>
      <t>D</t>
    </r>
    <r>
      <rPr>
        <b/>
        <vertAlign val="subscript"/>
        <sz val="10"/>
        <rFont val="Arial"/>
        <family val="2"/>
      </rPr>
      <t>HB</t>
    </r>
  </si>
  <si>
    <r>
      <t>Q</t>
    </r>
    <r>
      <rPr>
        <b/>
        <vertAlign val="subscript"/>
        <sz val="10"/>
        <rFont val="Arial"/>
        <family val="2"/>
      </rPr>
      <t>H</t>
    </r>
    <r>
      <rPr>
        <b/>
        <sz val="10"/>
        <rFont val="Arial"/>
        <family val="2"/>
      </rPr>
      <t xml:space="preserve"> and Q</t>
    </r>
    <r>
      <rPr>
        <b/>
        <vertAlign val="subscript"/>
        <sz val="10"/>
        <rFont val="Arial"/>
        <family val="2"/>
      </rPr>
      <t>L</t>
    </r>
  </si>
  <si>
    <t>IC TEMPERATURE</t>
  </si>
  <si>
    <t>TYPICAL APPLICATION CIRCUIT</t>
  </si>
  <si>
    <t>FREQUENCY RESPONSE</t>
  </si>
  <si>
    <t>Mogulator2</t>
  </si>
  <si>
    <t>Openloop2</t>
  </si>
  <si>
    <t>wp_lf2</t>
  </si>
  <si>
    <t>wz_esr2</t>
  </si>
  <si>
    <t>wp_esr2</t>
  </si>
  <si>
    <t>RESR2</t>
  </si>
  <si>
    <r>
      <t>RT resistor, R</t>
    </r>
    <r>
      <rPr>
        <vertAlign val="subscript"/>
        <sz val="10"/>
        <rFont val="Arial"/>
        <family val="2"/>
      </rPr>
      <t>T</t>
    </r>
    <r>
      <rPr>
        <sz val="10"/>
        <rFont val="Arial"/>
        <family val="0"/>
      </rPr>
      <t xml:space="preserve"> [kΩ]</t>
    </r>
  </si>
  <si>
    <r>
      <t>IC temperature @V</t>
    </r>
    <r>
      <rPr>
        <vertAlign val="subscript"/>
        <sz val="10"/>
        <rFont val="Arial"/>
        <family val="2"/>
      </rPr>
      <t>IN(MAX)</t>
    </r>
    <r>
      <rPr>
        <sz val="10"/>
        <rFont val="Arial"/>
        <family val="0"/>
      </rPr>
      <t xml:space="preserve"> [ºC]</t>
    </r>
  </si>
  <si>
    <t>25V</t>
  </si>
  <si>
    <t>1A</t>
  </si>
  <si>
    <r>
      <t>High-side MOSFET Qg @V</t>
    </r>
    <r>
      <rPr>
        <vertAlign val="subscript"/>
        <sz val="10"/>
        <rFont val="Arial"/>
        <family val="2"/>
      </rPr>
      <t>VCC</t>
    </r>
    <r>
      <rPr>
        <sz val="10"/>
        <rFont val="Arial"/>
        <family val="2"/>
      </rPr>
      <t xml:space="preserve"> (nC)</t>
    </r>
  </si>
  <si>
    <r>
      <t>Low-side MOSFET Qg @V</t>
    </r>
    <r>
      <rPr>
        <vertAlign val="subscript"/>
        <sz val="10"/>
        <rFont val="Arial"/>
        <family val="2"/>
      </rPr>
      <t>VCC</t>
    </r>
    <r>
      <rPr>
        <sz val="10"/>
        <rFont val="Arial"/>
        <family val="2"/>
      </rPr>
      <t xml:space="preserve"> (nC)</t>
    </r>
  </si>
  <si>
    <t>Peak inductor current with output hard short [A]</t>
  </si>
  <si>
    <r>
      <t>Input capacitor(ceramic), C</t>
    </r>
    <r>
      <rPr>
        <vertAlign val="subscript"/>
        <sz val="10"/>
        <rFont val="Arial"/>
        <family val="2"/>
      </rPr>
      <t>IN</t>
    </r>
    <r>
      <rPr>
        <sz val="10"/>
        <rFont val="Arial"/>
        <family val="0"/>
      </rPr>
      <t xml:space="preserve"> [µF]</t>
    </r>
  </si>
  <si>
    <r>
      <t>Max C</t>
    </r>
    <r>
      <rPr>
        <vertAlign val="subscript"/>
        <sz val="10"/>
        <color indexed="8"/>
        <rFont val="Arial"/>
        <family val="2"/>
      </rPr>
      <t>HF</t>
    </r>
    <r>
      <rPr>
        <sz val="10"/>
        <color indexed="8"/>
        <rFont val="Arial"/>
        <family val="2"/>
      </rPr>
      <t xml:space="preserve"> [pF]</t>
    </r>
  </si>
  <si>
    <r>
      <t>Min C</t>
    </r>
    <r>
      <rPr>
        <vertAlign val="subscript"/>
        <sz val="10"/>
        <color indexed="8"/>
        <rFont val="Arial"/>
        <family val="2"/>
      </rPr>
      <t>HF</t>
    </r>
    <r>
      <rPr>
        <sz val="10"/>
        <color indexed="8"/>
        <rFont val="Arial"/>
        <family val="2"/>
      </rPr>
      <t xml:space="preserve"> [pF]</t>
    </r>
  </si>
  <si>
    <r>
      <t>User selection, C</t>
    </r>
    <r>
      <rPr>
        <vertAlign val="subscript"/>
        <sz val="10"/>
        <color indexed="8"/>
        <rFont val="Arial"/>
        <family val="2"/>
      </rPr>
      <t>HF</t>
    </r>
    <r>
      <rPr>
        <sz val="10"/>
        <color indexed="8"/>
        <rFont val="Arial"/>
        <family val="2"/>
      </rPr>
      <t xml:space="preserve"> [pF]</t>
    </r>
  </si>
  <si>
    <t>Revision: 09/20/2013 ver 1.5 by Eric Lee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</si>
</sst>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0.0"/>
    <numFmt numFmtId="170" formatCode="#.0&quot;&quot;"/>
    <numFmt numFmtId="171" formatCode="#.0&quot;µF&quot;"/>
    <numFmt numFmtId="172" formatCode="#.0&quot;µH&quot;"/>
    <numFmt numFmtId="173" formatCode="#&quot;µF&quot;"/>
    <numFmt numFmtId="174" formatCode="#.00&quot;µF&quot;"/>
    <numFmt numFmtId="175" formatCode="0.00&quot;µF&quot;"/>
    <numFmt numFmtId="176" formatCode="#&quot;pF&quot;"/>
    <numFmt numFmtId="177" formatCode="0.00&quot;kΩ&quot;"/>
    <numFmt numFmtId="178" formatCode="0.0&quot;kΩ&quot;"/>
    <numFmt numFmtId="179" formatCode="#&quot;Ω&quot;"/>
    <numFmt numFmtId="180" formatCode="0.000&quot;Ω&quot;"/>
    <numFmt numFmtId="181" formatCode="0.0000&quot;Ω&quot;"/>
    <numFmt numFmtId="182" formatCode="#&quot;kΩ&quot;"/>
    <numFmt numFmtId="183" formatCode="#&quot;V&quot;"/>
    <numFmt numFmtId="184" formatCode="0.00&quot;W&quot;"/>
    <numFmt numFmtId="185" formatCode="0.00&quot;nF&quot;"/>
    <numFmt numFmtId="186" formatCode="0.00&quot;µF Min&quot;"/>
    <numFmt numFmtId="187" formatCode="#&quot;pF Max&quot;"/>
    <numFmt numFmtId="188" formatCode="0.00&quot;W Min&quot;"/>
  </numFmts>
  <fonts count="66">
    <font>
      <sz val="10"/>
      <name val="Arial"/>
      <family val="0"/>
    </font>
    <font>
      <sz val="8"/>
      <name val="Arial"/>
      <family val="2"/>
    </font>
    <font>
      <b/>
      <sz val="14"/>
      <name val="Arial"/>
      <family val="2"/>
    </font>
    <font>
      <sz val="8"/>
      <color indexed="22"/>
      <name val="Arial"/>
      <family val="2"/>
    </font>
    <font>
      <b/>
      <sz val="10"/>
      <name val="Arial"/>
      <family val="2"/>
    </font>
    <font>
      <vertAlign val="subscript"/>
      <sz val="10"/>
      <name val="Arial"/>
      <family val="2"/>
    </font>
    <font>
      <u val="single"/>
      <sz val="8.5"/>
      <color indexed="12"/>
      <name val="Arial"/>
      <family val="2"/>
    </font>
    <font>
      <u val="single"/>
      <sz val="8.5"/>
      <color indexed="36"/>
      <name val="Arial"/>
      <family val="2"/>
    </font>
    <font>
      <b/>
      <sz val="10"/>
      <color indexed="48"/>
      <name val="Arial"/>
      <family val="2"/>
    </font>
    <font>
      <b/>
      <sz val="10"/>
      <color indexed="9"/>
      <name val="Arial"/>
      <family val="2"/>
    </font>
    <font>
      <b/>
      <sz val="8.5"/>
      <color indexed="9"/>
      <name val="Arial"/>
      <family val="2"/>
    </font>
    <font>
      <u val="single"/>
      <sz val="10"/>
      <color indexed="12"/>
      <name val="Arial"/>
      <family val="2"/>
    </font>
    <font>
      <sz val="10"/>
      <color indexed="8"/>
      <name val="Arial"/>
      <family val="2"/>
    </font>
    <font>
      <vertAlign val="subscript"/>
      <sz val="10"/>
      <color indexed="8"/>
      <name val="Arial"/>
      <family val="2"/>
    </font>
    <font>
      <b/>
      <vertAlign val="subscript"/>
      <sz val="10"/>
      <name val="Arial"/>
      <family val="2"/>
    </font>
    <font>
      <sz val="10"/>
      <color indexed="9"/>
      <name val="Arial"/>
      <family val="2"/>
    </font>
    <font>
      <sz val="8"/>
      <name val="Tahoma"/>
      <family val="2"/>
    </font>
    <font>
      <sz val="10"/>
      <color indexed="10"/>
      <name val="Arial"/>
      <family val="2"/>
    </font>
    <font>
      <sz val="9.25"/>
      <color indexed="8"/>
      <name val="Arial"/>
      <family val="0"/>
    </font>
    <font>
      <sz val="6"/>
      <color indexed="8"/>
      <name val="Arial"/>
      <family val="0"/>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0"/>
    </font>
    <font>
      <b/>
      <sz val="8"/>
      <color indexed="10"/>
      <name val="Arial"/>
      <family val="0"/>
    </font>
    <font>
      <b/>
      <sz val="10"/>
      <color indexed="8"/>
      <name val="Arial"/>
      <family val="0"/>
    </font>
    <font>
      <b/>
      <sz val="10"/>
      <color indexed="12"/>
      <name val="Arial"/>
      <family val="0"/>
    </font>
    <font>
      <b/>
      <sz val="8"/>
      <color indexed="8"/>
      <name val="Arial"/>
      <family val="0"/>
    </font>
    <font>
      <b/>
      <sz val="8"/>
      <color indexed="12"/>
      <name val="Arial"/>
      <family val="0"/>
    </font>
    <font>
      <sz val="8.5"/>
      <color indexed="8"/>
      <name val="Arial"/>
      <family val="0"/>
    </font>
    <font>
      <b/>
      <sz val="9.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3">
    <xf numFmtId="0" fontId="0" fillId="0" borderId="0" xfId="0" applyAlignment="1">
      <alignment/>
    </xf>
    <xf numFmtId="0" fontId="3" fillId="32" borderId="10" xfId="0" applyFont="1" applyFill="1" applyBorder="1" applyAlignment="1" applyProtection="1">
      <alignment/>
      <protection/>
    </xf>
    <xf numFmtId="0" fontId="4" fillId="32" borderId="10" xfId="57" applyFont="1" applyFill="1" applyBorder="1" applyProtection="1">
      <alignment/>
      <protection/>
    </xf>
    <xf numFmtId="0" fontId="4" fillId="32" borderId="0" xfId="57" applyFont="1" applyFill="1" applyBorder="1" applyProtection="1">
      <alignment/>
      <protection/>
    </xf>
    <xf numFmtId="0" fontId="11" fillId="32" borderId="11" xfId="53" applyFont="1" applyFill="1" applyBorder="1" applyAlignment="1" applyProtection="1">
      <alignment horizontal="left"/>
      <protection/>
    </xf>
    <xf numFmtId="0" fontId="0" fillId="32" borderId="0" xfId="0" applyFill="1" applyAlignment="1" applyProtection="1">
      <alignment/>
      <protection/>
    </xf>
    <xf numFmtId="0" fontId="0" fillId="32" borderId="0" xfId="0" applyFill="1" applyAlignment="1" applyProtection="1">
      <alignment horizontal="right"/>
      <protection/>
    </xf>
    <xf numFmtId="0" fontId="15" fillId="32" borderId="0" xfId="0" applyFont="1" applyFill="1" applyAlignment="1" applyProtection="1">
      <alignment/>
      <protection/>
    </xf>
    <xf numFmtId="0" fontId="2" fillId="32" borderId="10" xfId="0" applyFont="1" applyFill="1" applyBorder="1" applyAlignment="1" applyProtection="1">
      <alignment/>
      <protection/>
    </xf>
    <xf numFmtId="0" fontId="8" fillId="32" borderId="0" xfId="0" applyFont="1" applyFill="1" applyAlignment="1" applyProtection="1">
      <alignment/>
      <protection/>
    </xf>
    <xf numFmtId="0" fontId="0" fillId="33" borderId="12" xfId="0" applyFill="1" applyBorder="1" applyAlignment="1" applyProtection="1">
      <alignment horizontal="right"/>
      <protection/>
    </xf>
    <xf numFmtId="11" fontId="15" fillId="32" borderId="0" xfId="0" applyNumberFormat="1" applyFont="1" applyFill="1" applyAlignment="1" applyProtection="1">
      <alignment/>
      <protection/>
    </xf>
    <xf numFmtId="0" fontId="0" fillId="33" borderId="13" xfId="0" applyFill="1" applyBorder="1" applyAlignment="1" applyProtection="1">
      <alignment horizontal="right"/>
      <protection/>
    </xf>
    <xf numFmtId="0" fontId="0" fillId="32" borderId="14" xfId="0" applyFill="1" applyBorder="1" applyAlignment="1" applyProtection="1">
      <alignment horizontal="right"/>
      <protection/>
    </xf>
    <xf numFmtId="2" fontId="0" fillId="32" borderId="12" xfId="0" applyNumberFormat="1" applyFill="1" applyBorder="1" applyAlignment="1" applyProtection="1">
      <alignment horizontal="right"/>
      <protection/>
    </xf>
    <xf numFmtId="2" fontId="0" fillId="32" borderId="13" xfId="0" applyNumberFormat="1" applyFill="1" applyBorder="1" applyAlignment="1" applyProtection="1">
      <alignment horizontal="right"/>
      <protection/>
    </xf>
    <xf numFmtId="169" fontId="0" fillId="32" borderId="14" xfId="0" applyNumberFormat="1" applyFill="1" applyBorder="1" applyAlignment="1" applyProtection="1">
      <alignment horizontal="right"/>
      <protection/>
    </xf>
    <xf numFmtId="0" fontId="0" fillId="32" borderId="0" xfId="0" applyFont="1" applyFill="1" applyAlignment="1" applyProtection="1">
      <alignment horizontal="right"/>
      <protection/>
    </xf>
    <xf numFmtId="169" fontId="0" fillId="32" borderId="13" xfId="0" applyNumberFormat="1" applyFill="1" applyBorder="1" applyAlignment="1" applyProtection="1">
      <alignment horizontal="right"/>
      <protection/>
    </xf>
    <xf numFmtId="169" fontId="0" fillId="33" borderId="14" xfId="0" applyNumberFormat="1" applyFill="1" applyBorder="1" applyAlignment="1" applyProtection="1">
      <alignment horizontal="right"/>
      <protection/>
    </xf>
    <xf numFmtId="169" fontId="0" fillId="32" borderId="15" xfId="0" applyNumberFormat="1" applyFill="1" applyBorder="1" applyAlignment="1" applyProtection="1">
      <alignment horizontal="right"/>
      <protection/>
    </xf>
    <xf numFmtId="169" fontId="0" fillId="32" borderId="12" xfId="0" applyNumberFormat="1" applyFill="1" applyBorder="1" applyAlignment="1" applyProtection="1">
      <alignment horizontal="right"/>
      <protection/>
    </xf>
    <xf numFmtId="169" fontId="0" fillId="32" borderId="0" xfId="0" applyNumberFormat="1" applyFill="1" applyBorder="1" applyAlignment="1" applyProtection="1">
      <alignment horizontal="right"/>
      <protection/>
    </xf>
    <xf numFmtId="167" fontId="0" fillId="32" borderId="13" xfId="0" applyNumberFormat="1" applyFill="1" applyBorder="1" applyAlignment="1" applyProtection="1">
      <alignment horizontal="right"/>
      <protection/>
    </xf>
    <xf numFmtId="0" fontId="0" fillId="33" borderId="14" xfId="0" applyFill="1" applyBorder="1" applyAlignment="1" applyProtection="1">
      <alignment horizontal="right"/>
      <protection/>
    </xf>
    <xf numFmtId="2" fontId="0" fillId="32" borderId="14" xfId="0" applyNumberFormat="1" applyFill="1" applyBorder="1" applyAlignment="1" applyProtection="1">
      <alignment horizontal="right"/>
      <protection/>
    </xf>
    <xf numFmtId="0" fontId="9" fillId="32" borderId="0" xfId="0" applyFont="1" applyFill="1" applyAlignment="1" applyProtection="1">
      <alignment/>
      <protection/>
    </xf>
    <xf numFmtId="1" fontId="0" fillId="32" borderId="15" xfId="0" applyNumberFormat="1" applyFill="1" applyBorder="1" applyAlignment="1" applyProtection="1">
      <alignment horizontal="right"/>
      <protection/>
    </xf>
    <xf numFmtId="1" fontId="15" fillId="32" borderId="0" xfId="0" applyNumberFormat="1" applyFont="1" applyFill="1" applyAlignment="1" applyProtection="1">
      <alignment/>
      <protection/>
    </xf>
    <xf numFmtId="1" fontId="0" fillId="32" borderId="12" xfId="0" applyNumberFormat="1" applyFill="1" applyBorder="1" applyAlignment="1" applyProtection="1">
      <alignment horizontal="right"/>
      <protection/>
    </xf>
    <xf numFmtId="2" fontId="0" fillId="32" borderId="15" xfId="0" applyNumberFormat="1" applyFill="1" applyBorder="1" applyAlignment="1" applyProtection="1">
      <alignment horizontal="right"/>
      <protection/>
    </xf>
    <xf numFmtId="0" fontId="0" fillId="33" borderId="16" xfId="0" applyFill="1" applyBorder="1" applyAlignment="1" applyProtection="1">
      <alignment horizontal="right"/>
      <protection/>
    </xf>
    <xf numFmtId="0" fontId="0" fillId="33" borderId="17" xfId="0" applyFill="1" applyBorder="1" applyAlignment="1" applyProtection="1">
      <alignment horizontal="right"/>
      <protection/>
    </xf>
    <xf numFmtId="0" fontId="0" fillId="32" borderId="15" xfId="0" applyFill="1" applyBorder="1" applyAlignment="1" applyProtection="1">
      <alignment horizontal="right"/>
      <protection/>
    </xf>
    <xf numFmtId="169" fontId="15" fillId="32" borderId="0" xfId="0" applyNumberFormat="1" applyFont="1" applyFill="1" applyAlignment="1" applyProtection="1">
      <alignment/>
      <protection/>
    </xf>
    <xf numFmtId="168" fontId="0" fillId="32" borderId="14" xfId="0" applyNumberFormat="1" applyFill="1" applyBorder="1" applyAlignment="1" applyProtection="1">
      <alignment horizontal="right"/>
      <protection/>
    </xf>
    <xf numFmtId="1" fontId="0" fillId="32" borderId="14" xfId="0" applyNumberFormat="1" applyFill="1" applyBorder="1" applyAlignment="1" applyProtection="1">
      <alignment horizontal="right"/>
      <protection/>
    </xf>
    <xf numFmtId="0" fontId="4" fillId="0" borderId="18"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20" xfId="0" applyFont="1" applyBorder="1" applyAlignment="1" applyProtection="1">
      <alignment horizontal="center"/>
      <protection/>
    </xf>
    <xf numFmtId="0" fontId="4" fillId="32" borderId="21" xfId="0" applyFont="1" applyFill="1" applyBorder="1" applyAlignment="1" applyProtection="1">
      <alignment horizontal="center"/>
      <protection/>
    </xf>
    <xf numFmtId="0" fontId="0" fillId="32" borderId="15" xfId="0" applyFill="1" applyBorder="1" applyAlignment="1" applyProtection="1">
      <alignment horizontal="center"/>
      <protection/>
    </xf>
    <xf numFmtId="0" fontId="0" fillId="32" borderId="22" xfId="0" applyFill="1" applyBorder="1" applyAlignment="1" applyProtection="1">
      <alignment horizontal="center"/>
      <protection/>
    </xf>
    <xf numFmtId="0" fontId="4" fillId="32" borderId="23" xfId="0" applyFont="1" applyFill="1" applyBorder="1" applyAlignment="1" applyProtection="1">
      <alignment horizontal="center"/>
      <protection/>
    </xf>
    <xf numFmtId="0" fontId="0" fillId="32" borderId="12" xfId="0" applyFill="1" applyBorder="1" applyAlignment="1" applyProtection="1">
      <alignment horizontal="center"/>
      <protection/>
    </xf>
    <xf numFmtId="173" fontId="0" fillId="32" borderId="12" xfId="0" applyNumberFormat="1" applyFill="1" applyBorder="1" applyAlignment="1" applyProtection="1">
      <alignment horizontal="center"/>
      <protection/>
    </xf>
    <xf numFmtId="183" fontId="0" fillId="32" borderId="24" xfId="0" applyNumberFormat="1" applyFill="1" applyBorder="1" applyAlignment="1" applyProtection="1">
      <alignment horizontal="center"/>
      <protection/>
    </xf>
    <xf numFmtId="1" fontId="9" fillId="32" borderId="0" xfId="0" applyNumberFormat="1" applyFont="1" applyFill="1" applyAlignment="1" applyProtection="1">
      <alignment/>
      <protection/>
    </xf>
    <xf numFmtId="169" fontId="9" fillId="32" borderId="0" xfId="0" applyNumberFormat="1" applyFont="1" applyFill="1" applyAlignment="1" applyProtection="1">
      <alignment/>
      <protection/>
    </xf>
    <xf numFmtId="0" fontId="12" fillId="32" borderId="0" xfId="0" applyFont="1" applyFill="1" applyAlignment="1" applyProtection="1">
      <alignment horizontal="right"/>
      <protection/>
    </xf>
    <xf numFmtId="1" fontId="0" fillId="32" borderId="13" xfId="0" applyNumberFormat="1" applyFill="1" applyBorder="1" applyAlignment="1" applyProtection="1">
      <alignment horizontal="right"/>
      <protection/>
    </xf>
    <xf numFmtId="175" fontId="0" fillId="32" borderId="12" xfId="0" applyNumberFormat="1" applyFill="1" applyBorder="1" applyAlignment="1" applyProtection="1">
      <alignment horizontal="center"/>
      <protection/>
    </xf>
    <xf numFmtId="1" fontId="0" fillId="33" borderId="14" xfId="0" applyNumberFormat="1" applyFill="1" applyBorder="1" applyAlignment="1" applyProtection="1">
      <alignment horizontal="right"/>
      <protection/>
    </xf>
    <xf numFmtId="1" fontId="0" fillId="32" borderId="25" xfId="0" applyNumberFormat="1" applyFill="1" applyBorder="1" applyAlignment="1" applyProtection="1">
      <alignment horizontal="right"/>
      <protection/>
    </xf>
    <xf numFmtId="176" fontId="0" fillId="32" borderId="12" xfId="0" applyNumberFormat="1" applyFill="1" applyBorder="1" applyAlignment="1" applyProtection="1">
      <alignment horizontal="center"/>
      <protection/>
    </xf>
    <xf numFmtId="185" fontId="0" fillId="32" borderId="12" xfId="0" applyNumberFormat="1" applyFill="1" applyBorder="1" applyAlignment="1" applyProtection="1">
      <alignment horizontal="center"/>
      <protection/>
    </xf>
    <xf numFmtId="0" fontId="4" fillId="32" borderId="0" xfId="0" applyFont="1" applyFill="1" applyAlignment="1" applyProtection="1">
      <alignment/>
      <protection/>
    </xf>
    <xf numFmtId="177" fontId="0" fillId="32" borderId="12" xfId="0" applyNumberFormat="1" applyFill="1" applyBorder="1" applyAlignment="1" applyProtection="1">
      <alignment horizontal="center"/>
      <protection/>
    </xf>
    <xf numFmtId="0" fontId="0" fillId="32" borderId="24" xfId="0" applyFill="1" applyBorder="1" applyAlignment="1" applyProtection="1">
      <alignment horizontal="center"/>
      <protection/>
    </xf>
    <xf numFmtId="178" fontId="0" fillId="32" borderId="12" xfId="0" applyNumberFormat="1" applyFill="1" applyBorder="1" applyAlignment="1" applyProtection="1">
      <alignment horizontal="center"/>
      <protection/>
    </xf>
    <xf numFmtId="0" fontId="4" fillId="33" borderId="12" xfId="0" applyFont="1" applyFill="1" applyBorder="1" applyAlignment="1" applyProtection="1">
      <alignment horizontal="right"/>
      <protection/>
    </xf>
    <xf numFmtId="179" fontId="0" fillId="32" borderId="12" xfId="0" applyNumberFormat="1" applyFill="1" applyBorder="1" applyAlignment="1" applyProtection="1">
      <alignment horizontal="center"/>
      <protection/>
    </xf>
    <xf numFmtId="181" fontId="0" fillId="32" borderId="12" xfId="0" applyNumberFormat="1" applyFill="1" applyBorder="1" applyAlignment="1" applyProtection="1">
      <alignment horizontal="center"/>
      <protection/>
    </xf>
    <xf numFmtId="184" fontId="0" fillId="32" borderId="24" xfId="0" applyNumberFormat="1" applyFill="1" applyBorder="1" applyAlignment="1" applyProtection="1">
      <alignment horizontal="center"/>
      <protection/>
    </xf>
    <xf numFmtId="182" fontId="0" fillId="32" borderId="12" xfId="0" applyNumberFormat="1" applyFill="1" applyBorder="1" applyAlignment="1" applyProtection="1">
      <alignment horizontal="center"/>
      <protection/>
    </xf>
    <xf numFmtId="172" fontId="0" fillId="32" borderId="12" xfId="0" applyNumberFormat="1" applyFill="1" applyBorder="1" applyAlignment="1" applyProtection="1">
      <alignment horizontal="center"/>
      <protection/>
    </xf>
    <xf numFmtId="0" fontId="4" fillId="32" borderId="26" xfId="0" applyFont="1" applyFill="1" applyBorder="1" applyAlignment="1" applyProtection="1">
      <alignment horizontal="center"/>
      <protection/>
    </xf>
    <xf numFmtId="0" fontId="0" fillId="32" borderId="27" xfId="0" applyFill="1" applyBorder="1" applyAlignment="1" applyProtection="1">
      <alignment horizontal="center"/>
      <protection/>
    </xf>
    <xf numFmtId="183" fontId="0" fillId="32" borderId="28" xfId="0" applyNumberFormat="1" applyFill="1" applyBorder="1" applyAlignment="1" applyProtection="1">
      <alignment horizontal="center"/>
      <protection/>
    </xf>
    <xf numFmtId="0" fontId="9" fillId="34" borderId="29" xfId="0" applyFont="1" applyFill="1" applyBorder="1" applyAlignment="1" applyProtection="1">
      <alignment horizontal="left"/>
      <protection/>
    </xf>
    <xf numFmtId="0" fontId="9" fillId="34" borderId="30" xfId="0" applyFont="1" applyFill="1" applyBorder="1" applyAlignment="1" applyProtection="1">
      <alignment horizontal="left"/>
      <protection/>
    </xf>
    <xf numFmtId="0" fontId="0" fillId="34" borderId="30" xfId="0" applyFill="1" applyBorder="1" applyAlignment="1" applyProtection="1">
      <alignment/>
      <protection/>
    </xf>
    <xf numFmtId="0" fontId="0" fillId="34" borderId="30" xfId="0" applyFill="1" applyBorder="1" applyAlignment="1" applyProtection="1">
      <alignment horizontal="right"/>
      <protection/>
    </xf>
    <xf numFmtId="0" fontId="0" fillId="34" borderId="31" xfId="0" applyFill="1" applyBorder="1" applyAlignment="1" applyProtection="1">
      <alignment/>
      <protection/>
    </xf>
    <xf numFmtId="0" fontId="0" fillId="32" borderId="11" xfId="0" applyFont="1" applyFill="1" applyBorder="1" applyAlignment="1" applyProtection="1">
      <alignment horizontal="left"/>
      <protection/>
    </xf>
    <xf numFmtId="0" fontId="0" fillId="32" borderId="0" xfId="0" applyFill="1" applyBorder="1" applyAlignment="1" applyProtection="1">
      <alignment horizontal="left"/>
      <protection/>
    </xf>
    <xf numFmtId="0" fontId="0" fillId="32" borderId="0" xfId="0" applyFill="1" applyBorder="1" applyAlignment="1" applyProtection="1">
      <alignment/>
      <protection/>
    </xf>
    <xf numFmtId="0" fontId="0" fillId="32" borderId="0" xfId="0" applyFill="1" applyBorder="1" applyAlignment="1" applyProtection="1">
      <alignment horizontal="right"/>
      <protection/>
    </xf>
    <xf numFmtId="0" fontId="0" fillId="32" borderId="32" xfId="0" applyFill="1" applyBorder="1" applyAlignment="1" applyProtection="1">
      <alignment/>
      <protection/>
    </xf>
    <xf numFmtId="0" fontId="0" fillId="32" borderId="33" xfId="0" applyFont="1" applyFill="1" applyBorder="1" applyAlignment="1" applyProtection="1">
      <alignment horizontal="left"/>
      <protection/>
    </xf>
    <xf numFmtId="0" fontId="0" fillId="32" borderId="34" xfId="0" applyFill="1" applyBorder="1" applyAlignment="1" applyProtection="1">
      <alignment horizontal="left"/>
      <protection/>
    </xf>
    <xf numFmtId="0" fontId="0" fillId="32" borderId="34" xfId="0" applyFill="1" applyBorder="1" applyAlignment="1" applyProtection="1">
      <alignment/>
      <protection/>
    </xf>
    <xf numFmtId="0" fontId="0" fillId="32" borderId="34" xfId="0" applyFill="1" applyBorder="1" applyAlignment="1" applyProtection="1">
      <alignment horizontal="right"/>
      <protection/>
    </xf>
    <xf numFmtId="0" fontId="0" fillId="32" borderId="35" xfId="0" applyFill="1" applyBorder="1" applyAlignment="1" applyProtection="1">
      <alignment/>
      <protection/>
    </xf>
    <xf numFmtId="0" fontId="0" fillId="32" borderId="0" xfId="0" applyFont="1" applyFill="1" applyBorder="1" applyAlignment="1" applyProtection="1">
      <alignment horizontal="left"/>
      <protection/>
    </xf>
    <xf numFmtId="1" fontId="0" fillId="32" borderId="0" xfId="0" applyNumberFormat="1" applyFill="1" applyBorder="1" applyAlignment="1" applyProtection="1">
      <alignment horizontal="right"/>
      <protection/>
    </xf>
    <xf numFmtId="0" fontId="0" fillId="32" borderId="24" xfId="0" applyFont="1" applyFill="1" applyBorder="1" applyAlignment="1" applyProtection="1">
      <alignment horizontal="center"/>
      <protection/>
    </xf>
    <xf numFmtId="0" fontId="0" fillId="32" borderId="12" xfId="0" applyFont="1" applyFill="1" applyBorder="1" applyAlignment="1" applyProtection="1">
      <alignment horizontal="center"/>
      <protection/>
    </xf>
    <xf numFmtId="0" fontId="17" fillId="32" borderId="0" xfId="0" applyFont="1" applyFill="1" applyAlignment="1" applyProtection="1">
      <alignment/>
      <protection/>
    </xf>
    <xf numFmtId="186" fontId="0" fillId="32" borderId="12" xfId="0" applyNumberFormat="1" applyFill="1" applyBorder="1" applyAlignment="1" applyProtection="1">
      <alignment horizontal="center"/>
      <protection/>
    </xf>
    <xf numFmtId="167" fontId="0" fillId="32" borderId="0" xfId="0" applyNumberFormat="1" applyFill="1" applyBorder="1" applyAlignment="1" applyProtection="1">
      <alignment horizontal="right"/>
      <protection/>
    </xf>
    <xf numFmtId="187" fontId="0" fillId="32" borderId="12" xfId="0" applyNumberFormat="1" applyFill="1" applyBorder="1" applyAlignment="1" applyProtection="1">
      <alignment horizontal="center"/>
      <protection/>
    </xf>
    <xf numFmtId="0" fontId="64" fillId="32" borderId="0" xfId="0" applyFont="1" applyFill="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M315x Design Guide Ver1.8" xfId="57"/>
    <cellStyle name="Note" xfId="58"/>
    <cellStyle name="Output" xfId="59"/>
    <cellStyle name="Percent" xfId="60"/>
    <cellStyle name="Title" xfId="61"/>
    <cellStyle name="Total" xfId="62"/>
    <cellStyle name="Warning Text" xfId="63"/>
  </cellStyles>
  <dxfs count="24">
    <dxf>
      <font>
        <color indexed="9"/>
      </font>
      <fill>
        <patternFill>
          <bgColor indexed="9"/>
        </patternFill>
      </fill>
      <border>
        <left/>
        <right/>
        <top/>
        <bottom/>
      </border>
    </dxf>
    <dxf>
      <font>
        <b/>
        <i val="0"/>
        <color indexed="10"/>
      </font>
      <fill>
        <patternFill>
          <bgColor indexed="41"/>
        </patternFill>
      </fill>
      <border>
        <left style="thin"/>
        <right style="thin"/>
        <top style="thin"/>
        <bottom style="thin"/>
      </border>
    </dxf>
    <dxf>
      <font>
        <b/>
        <i val="0"/>
        <color indexed="10"/>
      </font>
    </dxf>
    <dxf>
      <font>
        <b/>
        <i val="0"/>
        <color indexed="10"/>
      </font>
      <fill>
        <patternFill>
          <bgColor indexed="41"/>
        </patternFill>
      </fill>
    </dxf>
    <dxf>
      <font>
        <b/>
        <i val="0"/>
        <color indexed="10"/>
      </font>
      <fill>
        <patternFill>
          <bgColor indexed="41"/>
        </patternFill>
      </fill>
    </dxf>
    <dxf>
      <font>
        <b/>
        <i val="0"/>
        <color indexed="10"/>
      </font>
      <fill>
        <patternFill>
          <bgColor indexed="41"/>
        </patternFill>
      </fill>
    </dxf>
    <dxf>
      <font>
        <b/>
        <i val="0"/>
        <color indexed="10"/>
      </font>
      <fill>
        <patternFill>
          <bgColor indexed="41"/>
        </patternFill>
      </fill>
    </dxf>
    <dxf>
      <font>
        <b/>
        <i val="0"/>
        <color indexed="10"/>
      </font>
    </dxf>
    <dxf>
      <font>
        <b/>
        <i val="0"/>
        <color indexed="10"/>
      </font>
      <fill>
        <patternFill>
          <bgColor indexed="41"/>
        </patternFill>
      </fill>
    </dxf>
    <dxf>
      <font>
        <b/>
        <i val="0"/>
        <color indexed="10"/>
      </font>
    </dxf>
    <dxf>
      <font>
        <b/>
        <i val="0"/>
        <color indexed="10"/>
      </font>
      <fill>
        <patternFill>
          <bgColor indexed="41"/>
        </patternFill>
      </fill>
    </dxf>
    <dxf>
      <font>
        <b/>
        <i val="0"/>
        <color indexed="10"/>
      </font>
      <fill>
        <patternFill>
          <bgColor indexed="41"/>
        </patternFill>
      </fill>
    </dxf>
    <dxf>
      <font>
        <b/>
        <i val="0"/>
        <color indexed="10"/>
      </font>
      <fill>
        <patternFill>
          <bgColor indexed="41"/>
        </patternFill>
      </fill>
    </dxf>
    <dxf>
      <font>
        <b/>
        <i val="0"/>
        <color indexed="10"/>
      </font>
      <fill>
        <patternFill>
          <bgColor indexed="41"/>
        </patternFill>
      </fill>
    </dxf>
    <dxf>
      <font>
        <b/>
        <i val="0"/>
        <color indexed="10"/>
      </font>
      <fill>
        <patternFill patternType="solid">
          <bgColor indexed="41"/>
        </patternFill>
      </fill>
    </dxf>
    <dxf>
      <font>
        <color indexed="9"/>
      </font>
      <fill>
        <patternFill>
          <bgColor indexed="9"/>
        </patternFill>
      </fill>
      <border>
        <left>
          <color indexed="63"/>
        </left>
        <right>
          <color indexed="63"/>
        </right>
        <top style="thin"/>
        <bottom style="thin"/>
      </border>
    </dxf>
    <dxf>
      <font>
        <color indexed="9"/>
      </font>
      <border>
        <left/>
        <right/>
        <top/>
        <bottom/>
      </border>
    </dxf>
    <dxf>
      <font>
        <b/>
        <i val="0"/>
        <color indexed="10"/>
      </font>
    </dxf>
    <dxf>
      <font>
        <b/>
        <i val="0"/>
        <color indexed="10"/>
      </font>
    </dxf>
    <dxf>
      <font>
        <b/>
        <i val="0"/>
        <color indexed="10"/>
      </font>
    </dxf>
    <dxf>
      <font>
        <b/>
        <i val="0"/>
        <color indexed="10"/>
      </font>
    </dxf>
    <dxf>
      <font>
        <b/>
        <i val="0"/>
        <color indexed="10"/>
      </font>
      <fill>
        <patternFill patternType="none">
          <bgColor indexed="65"/>
        </patternFill>
      </fill>
    </dxf>
    <dxf>
      <font>
        <color rgb="FFFFFFFF"/>
      </font>
      <fill>
        <patternFill>
          <bgColor rgb="FFFFFFFF"/>
        </patternFill>
      </fill>
      <border>
        <left>
          <color rgb="FF000000"/>
        </left>
        <right>
          <color rgb="FF000000"/>
        </right>
        <top style="thin"/>
        <bottom style="thin">
          <color rgb="FF000000"/>
        </bottom>
      </border>
    </dxf>
    <dxf>
      <font>
        <b/>
        <i val="0"/>
        <color rgb="FFFF0000"/>
      </font>
      <fill>
        <patternFill>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Openloop Gain/Phase</a:t>
            </a:r>
          </a:p>
        </c:rich>
      </c:tx>
      <c:layout>
        <c:manualLayout>
          <c:xMode val="factor"/>
          <c:yMode val="factor"/>
          <c:x val="0.0305"/>
          <c:y val="-0.0045"/>
        </c:manualLayout>
      </c:layout>
      <c:spPr>
        <a:noFill/>
        <a:ln>
          <a:noFill/>
        </a:ln>
      </c:spPr>
    </c:title>
    <c:plotArea>
      <c:layout>
        <c:manualLayout>
          <c:xMode val="edge"/>
          <c:yMode val="edge"/>
          <c:x val="0.1355"/>
          <c:y val="0.11675"/>
          <c:w val="0.71125"/>
          <c:h val="0.7505"/>
        </c:manualLayout>
      </c:layout>
      <c:scatterChart>
        <c:scatterStyle val="smoothMarker"/>
        <c:varyColors val="0"/>
        <c:ser>
          <c:idx val="0"/>
          <c:order val="0"/>
          <c:tx>
            <c:v>Gain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'LM(2)5117'!$X$82:$X$172</c:f>
              <c:numCache/>
            </c:numRef>
          </c:yVal>
          <c:smooth val="1"/>
        </c:ser>
        <c:ser>
          <c:idx val="2"/>
          <c:order val="2"/>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'LM(2)5117'!$AB$82:$AB$172</c:f>
              <c:numCache/>
            </c:numRef>
          </c:yVal>
          <c:smooth val="1"/>
        </c:ser>
        <c:axId val="43951852"/>
        <c:axId val="60022349"/>
      </c:scatterChart>
      <c:scatterChart>
        <c:scatterStyle val="lineMarker"/>
        <c:varyColors val="0"/>
        <c:ser>
          <c:idx val="1"/>
          <c:order val="1"/>
          <c:tx>
            <c:v>Phase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'LM(2)5117'!$Y$82:$Y$172</c:f>
              <c:numCache/>
            </c:numRef>
          </c:yVal>
          <c:smooth val="1"/>
        </c:ser>
        <c:ser>
          <c:idx val="3"/>
          <c:order val="3"/>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'LM(2)5117'!$AC$82:$AC$172</c:f>
              <c:numCache/>
            </c:numRef>
          </c:yVal>
          <c:smooth val="1"/>
        </c:ser>
        <c:axId val="3330230"/>
        <c:axId val="29972071"/>
      </c:scatterChart>
      <c:valAx>
        <c:axId val="43951852"/>
        <c:scaling>
          <c:logBase val="10"/>
          <c:orientation val="minMax"/>
          <c:min val="10"/>
        </c:scaling>
        <c:axPos val="b"/>
        <c:title>
          <c:tx>
            <c:rich>
              <a:bodyPr vert="horz" rot="0" anchor="ctr"/>
              <a:lstStyle/>
              <a:p>
                <a:pPr algn="ctr">
                  <a:defRPr/>
                </a:pPr>
                <a:r>
                  <a:rPr lang="en-US" cap="none" sz="1000" b="1" i="0" u="none" baseline="0">
                    <a:solidFill>
                      <a:srgbClr val="000000"/>
                    </a:solidFill>
                    <a:latin typeface="Arial"/>
                    <a:ea typeface="Arial"/>
                    <a:cs typeface="Arial"/>
                  </a:rPr>
                  <a:t>Frequency(Hz)</a:t>
                </a:r>
              </a:p>
            </c:rich>
          </c:tx>
          <c:layout>
            <c:manualLayout>
              <c:xMode val="factor"/>
              <c:yMode val="factor"/>
              <c:x val="-0.00075"/>
              <c:y val="0.010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0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60022349"/>
        <c:crossesAt val="-60"/>
        <c:crossBetween val="midCat"/>
        <c:dispUnits/>
        <c:majorUnit val="10"/>
        <c:minorUnit val="10"/>
      </c:valAx>
      <c:valAx>
        <c:axId val="60022349"/>
        <c:scaling>
          <c:orientation val="minMax"/>
          <c:max val="100"/>
          <c:min val="-20"/>
        </c:scaling>
        <c:axPos val="l"/>
        <c:title>
          <c:tx>
            <c:rich>
              <a:bodyPr vert="horz" rot="-5400000" anchor="ctr"/>
              <a:lstStyle/>
              <a:p>
                <a:pPr algn="ctr">
                  <a:defRPr/>
                </a:pPr>
                <a:r>
                  <a:rPr lang="en-US" cap="none" sz="1000" b="1" i="0" u="none" baseline="0">
                    <a:solidFill>
                      <a:srgbClr val="0000FF"/>
                    </a:solidFill>
                    <a:latin typeface="Arial"/>
                    <a:ea typeface="Arial"/>
                    <a:cs typeface="Arial"/>
                  </a:rPr>
                  <a:t>Gain (dB)</a:t>
                </a:r>
              </a:p>
            </c:rich>
          </c:tx>
          <c:layout>
            <c:manualLayout>
              <c:xMode val="factor"/>
              <c:yMode val="factor"/>
              <c:x val="-0.02475"/>
              <c:y val="-0.01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51852"/>
        <c:crossesAt val="1"/>
        <c:crossBetween val="midCat"/>
        <c:dispUnits/>
        <c:majorUnit val="20"/>
        <c:minorUnit val="4"/>
      </c:valAx>
      <c:valAx>
        <c:axId val="3330230"/>
        <c:scaling>
          <c:logBase val="10"/>
          <c:orientation val="minMax"/>
        </c:scaling>
        <c:axPos val="b"/>
        <c:delete val="1"/>
        <c:majorTickMark val="out"/>
        <c:minorTickMark val="none"/>
        <c:tickLblPos val="nextTo"/>
        <c:crossAx val="29972071"/>
        <c:crosses val="max"/>
        <c:crossBetween val="midCat"/>
        <c:dispUnits/>
      </c:valAx>
      <c:valAx>
        <c:axId val="29972071"/>
        <c:scaling>
          <c:orientation val="minMax"/>
          <c:max val="150"/>
          <c:min val="-30"/>
        </c:scaling>
        <c:axPos val="l"/>
        <c:title>
          <c:tx>
            <c:rich>
              <a:bodyPr vert="horz" rot="-5400000" anchor="ctr"/>
              <a:lstStyle/>
              <a:p>
                <a:pPr algn="ctr">
                  <a:defRPr/>
                </a:pPr>
                <a:r>
                  <a:rPr lang="en-US" cap="none" sz="1000" b="1" i="0" u="none" baseline="0">
                    <a:solidFill>
                      <a:srgbClr val="FF0000"/>
                    </a:solidFill>
                    <a:latin typeface="Arial"/>
                    <a:ea typeface="Arial"/>
                    <a:cs typeface="Arial"/>
                  </a:rPr>
                  <a:t>Phase (deg)</a:t>
                </a:r>
              </a:p>
            </c:rich>
          </c:tx>
          <c:layout>
            <c:manualLayout>
              <c:xMode val="factor"/>
              <c:yMode val="factor"/>
              <c:x val="-0.0412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330230"/>
        <c:crosses val="max"/>
        <c:crossBetween val="midCat"/>
        <c:dispUnits/>
        <c:majorUnit val="3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Modulator Gain/Phase</a:t>
            </a:r>
          </a:p>
        </c:rich>
      </c:tx>
      <c:layout>
        <c:manualLayout>
          <c:xMode val="factor"/>
          <c:yMode val="factor"/>
          <c:x val="-0.00175"/>
          <c:y val="-0.00275"/>
        </c:manualLayout>
      </c:layout>
      <c:spPr>
        <a:noFill/>
        <a:ln>
          <a:noFill/>
        </a:ln>
      </c:spPr>
    </c:title>
    <c:plotArea>
      <c:layout>
        <c:manualLayout>
          <c:xMode val="edge"/>
          <c:yMode val="edge"/>
          <c:x val="0.129"/>
          <c:y val="0.1985"/>
          <c:w val="0.72675"/>
          <c:h val="0.6475"/>
        </c:manualLayout>
      </c:layout>
      <c:scatterChart>
        <c:scatterStyle val="smoothMarker"/>
        <c:varyColors val="0"/>
        <c:ser>
          <c:idx val="0"/>
          <c:order val="0"/>
          <c:tx>
            <c:v>Gain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'LM(2)5117'!$T$82:$T$172</c:f>
              <c:numCache/>
            </c:numRef>
          </c:yVal>
          <c:smooth val="1"/>
        </c:ser>
        <c:ser>
          <c:idx val="2"/>
          <c:order val="2"/>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'LM(2)5117'!$Z$82:$Z$172</c:f>
              <c:numCache/>
            </c:numRef>
          </c:yVal>
          <c:smooth val="1"/>
        </c:ser>
        <c:axId val="1313184"/>
        <c:axId val="11818657"/>
      </c:scatterChart>
      <c:scatterChart>
        <c:scatterStyle val="lineMarker"/>
        <c:varyColors val="0"/>
        <c:ser>
          <c:idx val="1"/>
          <c:order val="1"/>
          <c:tx>
            <c:v>Phase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'LM(2)5117'!$U$82:$U$172</c:f>
              <c:numCache/>
            </c:numRef>
          </c:yVal>
          <c:smooth val="1"/>
        </c:ser>
        <c:ser>
          <c:idx val="3"/>
          <c:order val="3"/>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'LM(2)5117'!$AA$82:$AA$172</c:f>
              <c:numCache/>
            </c:numRef>
          </c:yVal>
          <c:smooth val="1"/>
        </c:ser>
        <c:axId val="39259050"/>
        <c:axId val="17787131"/>
      </c:scatterChart>
      <c:valAx>
        <c:axId val="1313184"/>
        <c:scaling>
          <c:logBase val="10"/>
          <c:orientation val="minMax"/>
          <c:min val="10"/>
        </c:scaling>
        <c:axPos val="b"/>
        <c:title>
          <c:tx>
            <c:rich>
              <a:bodyPr vert="horz" rot="0" anchor="ctr"/>
              <a:lstStyle/>
              <a:p>
                <a:pPr algn="ctr">
                  <a:defRPr/>
                </a:pPr>
                <a:r>
                  <a:rPr lang="en-US" cap="none" sz="800" b="1" i="0" u="none" baseline="0">
                    <a:solidFill>
                      <a:srgbClr val="000000"/>
                    </a:solidFill>
                    <a:latin typeface="Arial"/>
                    <a:ea typeface="Arial"/>
                    <a:cs typeface="Arial"/>
                  </a:rPr>
                  <a:t>Frequency(Hz)</a:t>
                </a:r>
              </a:p>
            </c:rich>
          </c:tx>
          <c:layout>
            <c:manualLayout>
              <c:xMode val="factor"/>
              <c:yMode val="factor"/>
              <c:x val="-0.01075"/>
              <c:y val="0.003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0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11818657"/>
        <c:crossesAt val="-60"/>
        <c:crossBetween val="midCat"/>
        <c:dispUnits/>
        <c:majorUnit val="10"/>
        <c:minorUnit val="10"/>
      </c:valAx>
      <c:valAx>
        <c:axId val="11818657"/>
        <c:scaling>
          <c:orientation val="minMax"/>
          <c:max val="60"/>
          <c:min val="-60"/>
        </c:scaling>
        <c:axPos val="l"/>
        <c:title>
          <c:tx>
            <c:rich>
              <a:bodyPr vert="horz" rot="-5400000" anchor="ctr"/>
              <a:lstStyle/>
              <a:p>
                <a:pPr algn="ctr">
                  <a:defRPr/>
                </a:pPr>
                <a:r>
                  <a:rPr lang="en-US" cap="none" sz="800" b="1" i="0" u="none" baseline="0">
                    <a:solidFill>
                      <a:srgbClr val="0000FF"/>
                    </a:solidFill>
                    <a:latin typeface="Arial"/>
                    <a:ea typeface="Arial"/>
                    <a:cs typeface="Arial"/>
                  </a:rPr>
                  <a:t>Gain (dB)</a:t>
                </a:r>
              </a:p>
            </c:rich>
          </c:tx>
          <c:layout>
            <c:manualLayout>
              <c:xMode val="factor"/>
              <c:yMode val="factor"/>
              <c:x val="-0.02675"/>
              <c:y val="-0.005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13184"/>
        <c:crossesAt val="1"/>
        <c:crossBetween val="midCat"/>
        <c:dispUnits/>
        <c:minorUnit val="4"/>
      </c:valAx>
      <c:valAx>
        <c:axId val="39259050"/>
        <c:scaling>
          <c:logBase val="10"/>
          <c:orientation val="minMax"/>
        </c:scaling>
        <c:axPos val="b"/>
        <c:delete val="1"/>
        <c:majorTickMark val="out"/>
        <c:minorTickMark val="none"/>
        <c:tickLblPos val="nextTo"/>
        <c:crossAx val="17787131"/>
        <c:crosses val="max"/>
        <c:crossBetween val="midCat"/>
        <c:dispUnits/>
      </c:valAx>
      <c:valAx>
        <c:axId val="17787131"/>
        <c:scaling>
          <c:orientation val="minMax"/>
          <c:max val="30"/>
          <c:min val="-150"/>
        </c:scaling>
        <c:axPos val="l"/>
        <c:title>
          <c:tx>
            <c:rich>
              <a:bodyPr vert="horz" rot="-5400000" anchor="ctr"/>
              <a:lstStyle/>
              <a:p>
                <a:pPr algn="ctr">
                  <a:defRPr/>
                </a:pPr>
                <a:r>
                  <a:rPr lang="en-US" cap="none" sz="800" b="1" i="0" u="none" baseline="0">
                    <a:solidFill>
                      <a:srgbClr val="FF0000"/>
                    </a:solidFill>
                    <a:latin typeface="Arial"/>
                    <a:ea typeface="Arial"/>
                    <a:cs typeface="Arial"/>
                  </a:rPr>
                  <a:t>Phase (deg)</a:t>
                </a:r>
              </a:p>
            </c:rich>
          </c:tx>
          <c:layout>
            <c:manualLayout>
              <c:xMode val="factor"/>
              <c:yMode val="factor"/>
              <c:x val="-0.04425"/>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259050"/>
        <c:crosses val="max"/>
        <c:crossBetween val="midCat"/>
        <c:dispUnits/>
        <c:majorUnit val="3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Feedback Gain/Phase</a:t>
            </a:r>
          </a:p>
        </c:rich>
      </c:tx>
      <c:layout>
        <c:manualLayout>
          <c:xMode val="factor"/>
          <c:yMode val="factor"/>
          <c:x val="-0.00175"/>
          <c:y val="-0.00575"/>
        </c:manualLayout>
      </c:layout>
      <c:spPr>
        <a:noFill/>
        <a:ln>
          <a:noFill/>
        </a:ln>
      </c:spPr>
    </c:title>
    <c:plotArea>
      <c:layout>
        <c:manualLayout>
          <c:xMode val="edge"/>
          <c:yMode val="edge"/>
          <c:x val="0.13225"/>
          <c:y val="0.15925"/>
          <c:w val="0.71575"/>
          <c:h val="0.68075"/>
        </c:manualLayout>
      </c:layout>
      <c:scatterChart>
        <c:scatterStyle val="smoothMarker"/>
        <c:varyColors val="0"/>
        <c:ser>
          <c:idx val="0"/>
          <c:order val="0"/>
          <c:tx>
            <c:v>Gain</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'LM(2)5117'!$V$82:$V$172</c:f>
              <c:numCache/>
            </c:numRef>
          </c:yVal>
          <c:smooth val="1"/>
        </c:ser>
        <c:axId val="25866452"/>
        <c:axId val="31471477"/>
      </c:scatterChart>
      <c:scatterChart>
        <c:scatterStyle val="lineMarker"/>
        <c:varyColors val="0"/>
        <c:ser>
          <c:idx val="1"/>
          <c:order val="1"/>
          <c:tx>
            <c:v>Phase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'LM(2)5117'!$R$82:$R$172</c:f>
              <c:numCache/>
            </c:numRef>
          </c:xVal>
          <c:yVal>
            <c:numRef>
              <c:f>'LM(2)5117'!$W$82:$W$172</c:f>
              <c:numCache/>
            </c:numRef>
          </c:yVal>
          <c:smooth val="1"/>
        </c:ser>
        <c:axId val="14807838"/>
        <c:axId val="66161679"/>
      </c:scatterChart>
      <c:valAx>
        <c:axId val="25866452"/>
        <c:scaling>
          <c:logBase val="10"/>
          <c:orientation val="minMax"/>
          <c:min val="10"/>
        </c:scaling>
        <c:axPos val="b"/>
        <c:title>
          <c:tx>
            <c:rich>
              <a:bodyPr vert="horz" rot="0" anchor="ctr"/>
              <a:lstStyle/>
              <a:p>
                <a:pPr algn="ctr">
                  <a:defRPr/>
                </a:pPr>
                <a:r>
                  <a:rPr lang="en-US" cap="none" sz="800" b="1" i="0" u="none" baseline="0">
                    <a:solidFill>
                      <a:srgbClr val="000000"/>
                    </a:solidFill>
                    <a:latin typeface="Arial"/>
                    <a:ea typeface="Arial"/>
                    <a:cs typeface="Arial"/>
                  </a:rPr>
                  <a:t>Frequency(Hz)</a:t>
                </a:r>
              </a:p>
            </c:rich>
          </c:tx>
          <c:layout>
            <c:manualLayout>
              <c:xMode val="factor"/>
              <c:yMode val="factor"/>
              <c:x val="-0.01075"/>
              <c:y val="0.004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00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1471477"/>
        <c:crossesAt val="-60"/>
        <c:crossBetween val="midCat"/>
        <c:dispUnits/>
        <c:majorUnit val="10"/>
        <c:minorUnit val="10"/>
      </c:valAx>
      <c:valAx>
        <c:axId val="31471477"/>
        <c:scaling>
          <c:orientation val="minMax"/>
          <c:max val="60"/>
          <c:min val="-60"/>
        </c:scaling>
        <c:axPos val="l"/>
        <c:title>
          <c:tx>
            <c:rich>
              <a:bodyPr vert="horz" rot="-5400000" anchor="ctr"/>
              <a:lstStyle/>
              <a:p>
                <a:pPr algn="ctr">
                  <a:defRPr/>
                </a:pPr>
                <a:r>
                  <a:rPr lang="en-US" cap="none" sz="800" b="1" i="0" u="none" baseline="0">
                    <a:solidFill>
                      <a:srgbClr val="0000FF"/>
                    </a:solidFill>
                    <a:latin typeface="Arial"/>
                    <a:ea typeface="Arial"/>
                    <a:cs typeface="Arial"/>
                  </a:rPr>
                  <a:t>Gain (dB)</a:t>
                </a:r>
              </a:p>
            </c:rich>
          </c:tx>
          <c:layout>
            <c:manualLayout>
              <c:xMode val="factor"/>
              <c:yMode val="factor"/>
              <c:x val="-0.028"/>
              <c:y val="-0.014"/>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866452"/>
        <c:crossesAt val="1"/>
        <c:crossBetween val="midCat"/>
        <c:dispUnits/>
        <c:minorUnit val="4"/>
      </c:valAx>
      <c:valAx>
        <c:axId val="14807838"/>
        <c:scaling>
          <c:logBase val="10"/>
          <c:orientation val="minMax"/>
        </c:scaling>
        <c:axPos val="b"/>
        <c:delete val="1"/>
        <c:majorTickMark val="out"/>
        <c:minorTickMark val="none"/>
        <c:tickLblPos val="nextTo"/>
        <c:crossAx val="66161679"/>
        <c:crosses val="max"/>
        <c:crossBetween val="midCat"/>
        <c:dispUnits/>
      </c:valAx>
      <c:valAx>
        <c:axId val="66161679"/>
        <c:scaling>
          <c:orientation val="minMax"/>
          <c:max val="210"/>
          <c:min val="30"/>
        </c:scaling>
        <c:axPos val="l"/>
        <c:title>
          <c:tx>
            <c:rich>
              <a:bodyPr vert="horz" rot="-5400000" anchor="ctr"/>
              <a:lstStyle/>
              <a:p>
                <a:pPr algn="ctr">
                  <a:defRPr/>
                </a:pPr>
                <a:r>
                  <a:rPr lang="en-US" cap="none" sz="800" b="1" i="0" u="none" baseline="0">
                    <a:solidFill>
                      <a:srgbClr val="FF0000"/>
                    </a:solidFill>
                    <a:latin typeface="Arial"/>
                    <a:ea typeface="Arial"/>
                    <a:cs typeface="Arial"/>
                  </a:rPr>
                  <a:t>Phase (deg)</a:t>
                </a:r>
              </a:p>
            </c:rich>
          </c:tx>
          <c:layout>
            <c:manualLayout>
              <c:xMode val="factor"/>
              <c:yMode val="factor"/>
              <c:x val="-0.04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807838"/>
        <c:crosses val="max"/>
        <c:crossBetween val="midCat"/>
        <c:dispUnits/>
        <c:majorUnit val="3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IC Junction Temperature vs VIN</a:t>
            </a:r>
          </a:p>
        </c:rich>
      </c:tx>
      <c:layout>
        <c:manualLayout>
          <c:xMode val="factor"/>
          <c:yMode val="factor"/>
          <c:x val="-0.04475"/>
          <c:y val="0.02675"/>
        </c:manualLayout>
      </c:layout>
      <c:spPr>
        <a:noFill/>
        <a:ln>
          <a:noFill/>
        </a:ln>
      </c:spPr>
    </c:title>
    <c:plotArea>
      <c:layout>
        <c:manualLayout>
          <c:xMode val="edge"/>
          <c:yMode val="edge"/>
          <c:x val="0.11075"/>
          <c:y val="0.219"/>
          <c:w val="0.692"/>
          <c:h val="0.598"/>
        </c:manualLayout>
      </c:layout>
      <c:lineChart>
        <c:grouping val="standard"/>
        <c:varyColors val="0"/>
        <c:ser>
          <c:idx val="1"/>
          <c:order val="0"/>
          <c:tx>
            <c:v>Temp.</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'LM(2)5117'!$T$43:$T$53</c:f>
              <c:numCache/>
            </c:numRef>
          </c:cat>
          <c:val>
            <c:numRef>
              <c:f>'LM(2)5117'!$V$43:$V$53</c:f>
              <c:numCache/>
            </c:numRef>
          </c:val>
          <c:smooth val="0"/>
        </c:ser>
        <c:marker val="1"/>
        <c:axId val="58584200"/>
        <c:axId val="57495753"/>
      </c:lineChart>
      <c:catAx>
        <c:axId val="58584200"/>
        <c:scaling>
          <c:orientation val="minMax"/>
        </c:scaling>
        <c:axPos val="b"/>
        <c:title>
          <c:tx>
            <c:rich>
              <a:bodyPr vert="horz" rot="0" anchor="ctr"/>
              <a:lstStyle/>
              <a:p>
                <a:pPr algn="ctr">
                  <a:defRPr/>
                </a:pPr>
                <a:r>
                  <a:rPr lang="en-US" cap="none" sz="850" b="0" i="0" u="none" baseline="0">
                    <a:solidFill>
                      <a:srgbClr val="000000"/>
                    </a:solidFill>
                    <a:latin typeface="Arial"/>
                    <a:ea typeface="Arial"/>
                    <a:cs typeface="Arial"/>
                  </a:rPr>
                  <a:t>INPUT VOLTAGE (V) </a:t>
                </a:r>
              </a:p>
            </c:rich>
          </c:tx>
          <c:layout>
            <c:manualLayout>
              <c:xMode val="factor"/>
              <c:yMode val="factor"/>
              <c:x val="-0.015"/>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95753"/>
        <c:crosses val="autoZero"/>
        <c:auto val="1"/>
        <c:lblOffset val="100"/>
        <c:tickLblSkip val="1"/>
        <c:noMultiLvlLbl val="0"/>
      </c:catAx>
      <c:valAx>
        <c:axId val="57495753"/>
        <c:scaling>
          <c:orientation val="minMax"/>
          <c:max val="200"/>
          <c:min val="0"/>
        </c:scaling>
        <c:axPos val="l"/>
        <c:title>
          <c:tx>
            <c:rich>
              <a:bodyPr vert="horz" rot="-5400000" anchor="ctr"/>
              <a:lstStyle/>
              <a:p>
                <a:pPr algn="ctr">
                  <a:defRPr/>
                </a:pPr>
                <a:r>
                  <a:rPr lang="en-US" cap="none" sz="850" b="0" i="0" u="none" baseline="0">
                    <a:solidFill>
                      <a:srgbClr val="000000"/>
                    </a:solidFill>
                    <a:latin typeface="Arial"/>
                    <a:ea typeface="Arial"/>
                    <a:cs typeface="Arial"/>
                  </a:rPr>
                  <a:t>TEMPERATURE  (ºC)</a:t>
                </a:r>
              </a:p>
            </c:rich>
          </c:tx>
          <c:layout>
            <c:manualLayout>
              <c:xMode val="factor"/>
              <c:yMode val="factor"/>
              <c:x val="-0.01275"/>
              <c:y val="-0.01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584200"/>
        <c:crossesAt val="1"/>
        <c:crossBetween val="between"/>
        <c:dispUnits/>
      </c:valAx>
      <c:spPr>
        <a:gradFill rotWithShape="1">
          <a:gsLst>
            <a:gs pos="0">
              <a:srgbClr val="EEEEFF"/>
            </a:gs>
            <a:gs pos="100000">
              <a:srgbClr val="CCCCFF"/>
            </a:gs>
          </a:gsLst>
          <a:lin ang="5400000" scaled="1"/>
        </a:gradFill>
        <a:ln w="12700">
          <a:solidFill>
            <a:srgbClr val="808080"/>
          </a:solidFill>
        </a:ln>
      </c:spPr>
    </c:plotArea>
    <c:legend>
      <c:legendPos val="r"/>
      <c:layout>
        <c:manualLayout>
          <c:xMode val="edge"/>
          <c:yMode val="edge"/>
          <c:x val="0.74775"/>
          <c:y val="0.3545"/>
          <c:w val="0.25225"/>
          <c:h val="0.2165"/>
        </c:manualLayout>
      </c:layout>
      <c:overlay val="0"/>
      <c:spPr>
        <a:solidFill>
          <a:srgbClr val="CCCC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image" Target="../media/image6.emf" /><Relationship Id="rId7"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95250</xdr:rowOff>
    </xdr:from>
    <xdr:to>
      <xdr:col>14</xdr:col>
      <xdr:colOff>295275</xdr:colOff>
      <xdr:row>8</xdr:row>
      <xdr:rowOff>180975</xdr:rowOff>
    </xdr:to>
    <xdr:sp>
      <xdr:nvSpPr>
        <xdr:cNvPr id="1" name="Text Box 1"/>
        <xdr:cNvSpPr txBox="1">
          <a:spLocks noChangeArrowheads="1"/>
        </xdr:cNvSpPr>
      </xdr:nvSpPr>
      <xdr:spPr>
        <a:xfrm>
          <a:off x="219075" y="695325"/>
          <a:ext cx="8134350" cy="1085850"/>
        </a:xfrm>
        <a:prstGeom prst="rect">
          <a:avLst/>
        </a:prstGeom>
        <a:solidFill>
          <a:srgbClr val="FFFFFF"/>
        </a:solidFill>
        <a:ln w="9525" cmpd="sng">
          <a:solidFill>
            <a:srgbClr val="FF0000"/>
          </a:solidFill>
          <a:headEnd type="none"/>
          <a:tailEnd type="none"/>
        </a:ln>
      </xdr:spPr>
      <xdr:txBody>
        <a:bodyPr vertOverflow="clip" wrap="square" lIns="118872" tIns="118872" rIns="91440" bIns="91440"/>
        <a:p>
          <a:pPr algn="l">
            <a:defRPr/>
          </a:pPr>
          <a:r>
            <a:rPr lang="en-US" cap="none" sz="1000" b="1" i="0" u="none" baseline="0">
              <a:solidFill>
                <a:srgbClr val="FF0000"/>
              </a:solidFill>
              <a:latin typeface="Arial"/>
              <a:ea typeface="Arial"/>
              <a:cs typeface="Arial"/>
            </a:rPr>
            <a:t>Note:  </a:t>
          </a:r>
          <a:r>
            <a:rPr lang="en-US" cap="none" sz="1000" b="0" i="0" u="none" baseline="0">
              <a:solidFill>
                <a:srgbClr val="FF0000"/>
              </a:solidFill>
              <a:latin typeface="Arial"/>
              <a:ea typeface="Arial"/>
              <a:cs typeface="Arial"/>
            </a:rPr>
            <a:t>The components calculated in this worksheet are reasonable starting values for a design using the LM(2)5117. 
</a:t>
          </a:r>
          <a:r>
            <a:rPr lang="en-US" cap="none" sz="1000" b="0" i="0" u="none" baseline="0">
              <a:solidFill>
                <a:srgbClr val="FF0000"/>
              </a:solidFill>
              <a:latin typeface="Arial"/>
              <a:ea typeface="Arial"/>
              <a:cs typeface="Arial"/>
            </a:rPr>
            <a:t>They are not optimized for any particular performance attribute. The most recent version of this excel file can be found in the product folder of the part at national.com. Make sure to input or select values in all of the blue shaded cells even if a value already exists in that cell. Blue shaded cells require input from user. Do not over write equations in cells, as this may result in calculation errors.
</a:t>
          </a:r>
          <a:r>
            <a:rPr lang="en-US" cap="none" sz="1000" b="0" i="0" u="none" baseline="0">
              <a:solidFill>
                <a:srgbClr val="FF0000"/>
              </a:solidFill>
              <a:latin typeface="Arial"/>
              <a:ea typeface="Arial"/>
              <a:cs typeface="Arial"/>
            </a:rPr>
            <a:t>To activate all functions, </a:t>
          </a:r>
          <a:r>
            <a:rPr lang="en-US" cap="none" sz="1000" b="1" i="0" u="none" baseline="0">
              <a:solidFill>
                <a:srgbClr val="FF0000"/>
              </a:solidFill>
              <a:latin typeface="Arial"/>
              <a:ea typeface="Arial"/>
              <a:cs typeface="Arial"/>
            </a:rPr>
            <a:t>Macro should be enabled and Analysis Toolpak should be added in. </a:t>
          </a:r>
        </a:p>
      </xdr:txBody>
    </xdr:sp>
    <xdr:clientData/>
  </xdr:twoCellAnchor>
  <xdr:oneCellAnchor>
    <xdr:from>
      <xdr:col>9</xdr:col>
      <xdr:colOff>142875</xdr:colOff>
      <xdr:row>196</xdr:row>
      <xdr:rowOff>123825</xdr:rowOff>
    </xdr:from>
    <xdr:ext cx="2809875" cy="371475"/>
    <xdr:sp>
      <xdr:nvSpPr>
        <xdr:cNvPr id="2" name="Rectangle 22"/>
        <xdr:cNvSpPr>
          <a:spLocks/>
        </xdr:cNvSpPr>
      </xdr:nvSpPr>
      <xdr:spPr>
        <a:xfrm>
          <a:off x="3990975" y="39328725"/>
          <a:ext cx="2809875" cy="371475"/>
        </a:xfrm>
        <a:prstGeom prst="rect">
          <a:avLst/>
        </a:prstGeom>
        <a:solidFill>
          <a:srgbClr val="FF99CC">
            <a:alpha val="30000"/>
          </a:srgbClr>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FF0000"/>
              </a:solidFill>
              <a:latin typeface="Arial"/>
              <a:ea typeface="Arial"/>
              <a:cs typeface="Arial"/>
            </a:rPr>
            <a:t>External VCC supply is required in this area</a:t>
          </a:r>
        </a:p>
      </xdr:txBody>
    </xdr:sp>
    <xdr:clientData/>
  </xdr:oneCellAnchor>
  <xdr:twoCellAnchor editAs="oneCell">
    <xdr:from>
      <xdr:col>10</xdr:col>
      <xdr:colOff>9525</xdr:colOff>
      <xdr:row>102</xdr:row>
      <xdr:rowOff>66675</xdr:rowOff>
    </xdr:from>
    <xdr:to>
      <xdr:col>11</xdr:col>
      <xdr:colOff>1323975</xdr:colOff>
      <xdr:row>104</xdr:row>
      <xdr:rowOff>76200</xdr:rowOff>
    </xdr:to>
    <xdr:pic>
      <xdr:nvPicPr>
        <xdr:cNvPr id="3" name="Picture 35"/>
        <xdr:cNvPicPr preferRelativeResize="1">
          <a:picLocks noChangeAspect="1"/>
        </xdr:cNvPicPr>
      </xdr:nvPicPr>
      <xdr:blipFill>
        <a:blip r:embed="rId1"/>
        <a:stretch>
          <a:fillRect/>
        </a:stretch>
      </xdr:blipFill>
      <xdr:spPr>
        <a:xfrm>
          <a:off x="4105275" y="20469225"/>
          <a:ext cx="2133600" cy="409575"/>
        </a:xfrm>
        <a:prstGeom prst="rect">
          <a:avLst/>
        </a:prstGeom>
        <a:noFill/>
        <a:ln w="9525" cmpd="sng">
          <a:noFill/>
        </a:ln>
      </xdr:spPr>
    </xdr:pic>
    <xdr:clientData/>
  </xdr:twoCellAnchor>
  <xdr:twoCellAnchor>
    <xdr:from>
      <xdr:col>10</xdr:col>
      <xdr:colOff>19050</xdr:colOff>
      <xdr:row>84</xdr:row>
      <xdr:rowOff>85725</xdr:rowOff>
    </xdr:from>
    <xdr:to>
      <xdr:col>14</xdr:col>
      <xdr:colOff>381000</xdr:colOff>
      <xdr:row>102</xdr:row>
      <xdr:rowOff>47625</xdr:rowOff>
    </xdr:to>
    <xdr:graphicFrame>
      <xdr:nvGraphicFramePr>
        <xdr:cNvPr id="4" name="Chart 23"/>
        <xdr:cNvGraphicFramePr/>
      </xdr:nvGraphicFramePr>
      <xdr:xfrm>
        <a:off x="4114800" y="16887825"/>
        <a:ext cx="4324350" cy="356235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65</xdr:row>
      <xdr:rowOff>171450</xdr:rowOff>
    </xdr:from>
    <xdr:to>
      <xdr:col>14</xdr:col>
      <xdr:colOff>371475</xdr:colOff>
      <xdr:row>80</xdr:row>
      <xdr:rowOff>66675</xdr:rowOff>
    </xdr:to>
    <xdr:graphicFrame>
      <xdr:nvGraphicFramePr>
        <xdr:cNvPr id="5" name="Chart 24"/>
        <xdr:cNvGraphicFramePr/>
      </xdr:nvGraphicFramePr>
      <xdr:xfrm>
        <a:off x="4048125" y="13173075"/>
        <a:ext cx="4381500" cy="2895600"/>
      </xdr:xfrm>
      <a:graphic>
        <a:graphicData uri="http://schemas.openxmlformats.org/drawingml/2006/chart">
          <c:chart xmlns:c="http://schemas.openxmlformats.org/drawingml/2006/chart" r:id="rId3"/>
        </a:graphicData>
      </a:graphic>
    </xdr:graphicFrame>
    <xdr:clientData/>
  </xdr:twoCellAnchor>
  <xdr:twoCellAnchor>
    <xdr:from>
      <xdr:col>9</xdr:col>
      <xdr:colOff>200025</xdr:colOff>
      <xdr:row>49</xdr:row>
      <xdr:rowOff>180975</xdr:rowOff>
    </xdr:from>
    <xdr:to>
      <xdr:col>14</xdr:col>
      <xdr:colOff>219075</xdr:colOff>
      <xdr:row>63</xdr:row>
      <xdr:rowOff>152400</xdr:rowOff>
    </xdr:to>
    <xdr:graphicFrame>
      <xdr:nvGraphicFramePr>
        <xdr:cNvPr id="6" name="Chart 25"/>
        <xdr:cNvGraphicFramePr/>
      </xdr:nvGraphicFramePr>
      <xdr:xfrm>
        <a:off x="4048125" y="9982200"/>
        <a:ext cx="4229100" cy="2771775"/>
      </xdr:xfrm>
      <a:graphic>
        <a:graphicData uri="http://schemas.openxmlformats.org/drawingml/2006/chart">
          <c:chart xmlns:c="http://schemas.openxmlformats.org/drawingml/2006/chart" r:id="rId4"/>
        </a:graphicData>
      </a:graphic>
    </xdr:graphicFrame>
    <xdr:clientData/>
  </xdr:twoCellAnchor>
  <xdr:twoCellAnchor>
    <xdr:from>
      <xdr:col>10</xdr:col>
      <xdr:colOff>38100</xdr:colOff>
      <xdr:row>106</xdr:row>
      <xdr:rowOff>57150</xdr:rowOff>
    </xdr:from>
    <xdr:to>
      <xdr:col>14</xdr:col>
      <xdr:colOff>390525</xdr:colOff>
      <xdr:row>119</xdr:row>
      <xdr:rowOff>123825</xdr:rowOff>
    </xdr:to>
    <xdr:graphicFrame>
      <xdr:nvGraphicFramePr>
        <xdr:cNvPr id="7" name="Chart 21"/>
        <xdr:cNvGraphicFramePr/>
      </xdr:nvGraphicFramePr>
      <xdr:xfrm>
        <a:off x="4133850" y="21259800"/>
        <a:ext cx="4314825" cy="266700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190500</xdr:colOff>
      <xdr:row>80</xdr:row>
      <xdr:rowOff>114300</xdr:rowOff>
    </xdr:from>
    <xdr:to>
      <xdr:col>11</xdr:col>
      <xdr:colOff>1276350</xdr:colOff>
      <xdr:row>82</xdr:row>
      <xdr:rowOff>123825</xdr:rowOff>
    </xdr:to>
    <xdr:pic>
      <xdr:nvPicPr>
        <xdr:cNvPr id="8" name="Picture 36"/>
        <xdr:cNvPicPr preferRelativeResize="1">
          <a:picLocks noChangeAspect="1"/>
        </xdr:cNvPicPr>
      </xdr:nvPicPr>
      <xdr:blipFill>
        <a:blip r:embed="rId1"/>
        <a:stretch>
          <a:fillRect/>
        </a:stretch>
      </xdr:blipFill>
      <xdr:spPr>
        <a:xfrm>
          <a:off x="4038600" y="16116300"/>
          <a:ext cx="2152650" cy="409575"/>
        </a:xfrm>
        <a:prstGeom prst="rect">
          <a:avLst/>
        </a:prstGeom>
        <a:noFill/>
        <a:ln w="9525" cmpd="sng">
          <a:noFill/>
        </a:ln>
      </xdr:spPr>
    </xdr:pic>
    <xdr:clientData/>
  </xdr:twoCellAnchor>
  <xdr:oneCellAnchor>
    <xdr:from>
      <xdr:col>10</xdr:col>
      <xdr:colOff>714375</xdr:colOff>
      <xdr:row>109</xdr:row>
      <xdr:rowOff>28575</xdr:rowOff>
    </xdr:from>
    <xdr:ext cx="2790825" cy="371475"/>
    <xdr:sp>
      <xdr:nvSpPr>
        <xdr:cNvPr id="9" name="Rectangle 22"/>
        <xdr:cNvSpPr>
          <a:spLocks/>
        </xdr:cNvSpPr>
      </xdr:nvSpPr>
      <xdr:spPr>
        <a:xfrm>
          <a:off x="4810125" y="21831300"/>
          <a:ext cx="2790825" cy="371475"/>
        </a:xfrm>
        <a:prstGeom prst="rect">
          <a:avLst/>
        </a:prstGeom>
        <a:solidFill>
          <a:srgbClr val="FF99CC">
            <a:alpha val="30000"/>
          </a:srgbClr>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FF0000"/>
              </a:solidFill>
              <a:latin typeface="Arial"/>
              <a:ea typeface="Arial"/>
              <a:cs typeface="Arial"/>
            </a:rPr>
            <a:t>External VCC supply is required in this area</a:t>
          </a:r>
        </a:p>
      </xdr:txBody>
    </xdr:sp>
    <xdr:clientData/>
  </xdr:oneCellAnchor>
  <xdr:twoCellAnchor editAs="oneCell">
    <xdr:from>
      <xdr:col>8</xdr:col>
      <xdr:colOff>0</xdr:colOff>
      <xdr:row>111</xdr:row>
      <xdr:rowOff>0</xdr:rowOff>
    </xdr:from>
    <xdr:to>
      <xdr:col>9</xdr:col>
      <xdr:colOff>0</xdr:colOff>
      <xdr:row>112</xdr:row>
      <xdr:rowOff>9525</xdr:rowOff>
    </xdr:to>
    <xdr:pic>
      <xdr:nvPicPr>
        <xdr:cNvPr id="10" name="ComboBox1"/>
        <xdr:cNvPicPr preferRelativeResize="1">
          <a:picLocks noChangeAspect="1"/>
        </xdr:cNvPicPr>
      </xdr:nvPicPr>
      <xdr:blipFill>
        <a:blip r:embed="rId6"/>
        <a:stretch>
          <a:fillRect/>
        </a:stretch>
      </xdr:blipFill>
      <xdr:spPr>
        <a:xfrm>
          <a:off x="3057525" y="22202775"/>
          <a:ext cx="790575" cy="209550"/>
        </a:xfrm>
        <a:prstGeom prst="rect">
          <a:avLst/>
        </a:prstGeom>
        <a:noFill/>
        <a:ln w="9525" cmpd="sng">
          <a:noFill/>
        </a:ln>
      </xdr:spPr>
    </xdr:pic>
    <xdr:clientData/>
  </xdr:twoCellAnchor>
  <xdr:twoCellAnchor editAs="oneCell">
    <xdr:from>
      <xdr:col>11</xdr:col>
      <xdr:colOff>609600</xdr:colOff>
      <xdr:row>120</xdr:row>
      <xdr:rowOff>57150</xdr:rowOff>
    </xdr:from>
    <xdr:to>
      <xdr:col>12</xdr:col>
      <xdr:colOff>419100</xdr:colOff>
      <xdr:row>121</xdr:row>
      <xdr:rowOff>180975</xdr:rowOff>
    </xdr:to>
    <xdr:pic>
      <xdr:nvPicPr>
        <xdr:cNvPr id="11" name="CommandButton1"/>
        <xdr:cNvPicPr preferRelativeResize="1">
          <a:picLocks noChangeAspect="1"/>
        </xdr:cNvPicPr>
      </xdr:nvPicPr>
      <xdr:blipFill>
        <a:blip r:embed="rId7"/>
        <a:stretch>
          <a:fillRect/>
        </a:stretch>
      </xdr:blipFill>
      <xdr:spPr>
        <a:xfrm>
          <a:off x="5524500" y="24060150"/>
          <a:ext cx="12763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ench.national.com/"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AC172"/>
  <sheetViews>
    <sheetView tabSelected="1" zoomScaleSheetLayoutView="115" zoomScalePageLayoutView="0" workbookViewId="0" topLeftCell="A13">
      <selection activeCell="P118" sqref="P118"/>
    </sheetView>
  </sheetViews>
  <sheetFormatPr defaultColWidth="9.140625" defaultRowHeight="15.75" customHeight="1"/>
  <cols>
    <col min="1" max="1" width="2.8515625" style="5" customWidth="1"/>
    <col min="2" max="2" width="9.140625" style="5" customWidth="1"/>
    <col min="3" max="6" width="5.7109375" style="5" customWidth="1"/>
    <col min="7" max="7" width="9.140625" style="6" customWidth="1"/>
    <col min="8" max="8" width="1.8515625" style="5" customWidth="1"/>
    <col min="9" max="9" width="11.8515625" style="6" customWidth="1"/>
    <col min="10" max="10" width="3.7109375" style="5" customWidth="1"/>
    <col min="11" max="11" width="12.28125" style="5" bestFit="1" customWidth="1"/>
    <col min="12" max="12" width="22.00390625" style="5" bestFit="1" customWidth="1"/>
    <col min="13" max="13" width="12.00390625" style="5" bestFit="1" customWidth="1"/>
    <col min="14" max="14" width="13.140625" style="5" customWidth="1"/>
    <col min="15" max="15" width="8.8515625" style="5" customWidth="1"/>
    <col min="16" max="16" width="9.140625" style="88" customWidth="1"/>
    <col min="17" max="22" width="9.140625" style="7" customWidth="1"/>
    <col min="23" max="23" width="10.421875" style="7" customWidth="1"/>
    <col min="24" max="24" width="9.28125" style="7" bestFit="1" customWidth="1"/>
    <col min="25" max="31" width="9.140625" style="7" customWidth="1"/>
    <col min="32" max="16384" width="9.140625" style="5" customWidth="1"/>
  </cols>
  <sheetData>
    <row r="2" ht="15.75" customHeight="1">
      <c r="B2" s="8" t="s">
        <v>0</v>
      </c>
    </row>
    <row r="3" ht="15.75" customHeight="1">
      <c r="B3" s="1" t="s">
        <v>210</v>
      </c>
    </row>
    <row r="11" ht="15.75" customHeight="1">
      <c r="K11" s="9" t="s">
        <v>191</v>
      </c>
    </row>
    <row r="12" ht="15.75" customHeight="1">
      <c r="B12" s="2" t="s">
        <v>1</v>
      </c>
    </row>
    <row r="13" spans="7:23" ht="15.75" customHeight="1">
      <c r="G13" s="6" t="s">
        <v>57</v>
      </c>
      <c r="I13" s="10">
        <v>52</v>
      </c>
      <c r="V13" s="7" t="s">
        <v>46</v>
      </c>
      <c r="W13" s="11">
        <v>4.4E-07</v>
      </c>
    </row>
    <row r="14" spans="7:23" ht="15.75" customHeight="1">
      <c r="G14" s="6" t="s">
        <v>58</v>
      </c>
      <c r="I14" s="10">
        <v>20</v>
      </c>
      <c r="V14" s="7" t="s">
        <v>47</v>
      </c>
      <c r="W14" s="11">
        <v>1E-07</v>
      </c>
    </row>
    <row r="15" spans="7:23" ht="15.75" customHeight="1">
      <c r="G15" s="6" t="s">
        <v>2</v>
      </c>
      <c r="I15" s="10">
        <v>5</v>
      </c>
      <c r="V15" s="7" t="s">
        <v>48</v>
      </c>
      <c r="W15" s="7">
        <v>0.12</v>
      </c>
    </row>
    <row r="16" spans="7:23" ht="15.75" customHeight="1" thickBot="1">
      <c r="G16" s="6" t="s">
        <v>3</v>
      </c>
      <c r="I16" s="12">
        <v>5</v>
      </c>
      <c r="V16" s="7" t="s">
        <v>62</v>
      </c>
      <c r="W16" s="7">
        <v>10</v>
      </c>
    </row>
    <row r="17" spans="7:23" ht="15.75" customHeight="1" thickBot="1">
      <c r="G17" s="6" t="s">
        <v>4</v>
      </c>
      <c r="I17" s="13" t="str">
        <f>IF(AND(VINMIN&gt;=4.5,VINMAX&lt;=42),"LM25117",IF(AND(VINMIN&gt;=5.5,VINMAX&lt;=65),"LM5117","Out of Spec"))</f>
        <v>LM5117</v>
      </c>
      <c r="V17" s="7" t="s">
        <v>63</v>
      </c>
      <c r="W17" s="11">
        <v>2E-05</v>
      </c>
    </row>
    <row r="18" spans="22:23" ht="15.75" customHeight="1">
      <c r="V18" s="7" t="s">
        <v>64</v>
      </c>
      <c r="W18" s="7">
        <v>1.25</v>
      </c>
    </row>
    <row r="19" spans="22:23" ht="15.75" customHeight="1">
      <c r="V19" s="7" t="s">
        <v>67</v>
      </c>
      <c r="W19" s="11">
        <v>1E-05</v>
      </c>
    </row>
    <row r="20" spans="2:23" ht="15.75" customHeight="1">
      <c r="B20" s="2" t="s">
        <v>5</v>
      </c>
      <c r="V20" s="7" t="s">
        <v>68</v>
      </c>
      <c r="W20" s="11">
        <v>1E-05</v>
      </c>
    </row>
    <row r="21" spans="2:23" ht="15.75" customHeight="1">
      <c r="B21" s="3"/>
      <c r="G21" s="6" t="s">
        <v>6</v>
      </c>
      <c r="I21" s="10">
        <v>450</v>
      </c>
      <c r="V21" s="7" t="s">
        <v>69</v>
      </c>
      <c r="W21" s="7">
        <v>1.25</v>
      </c>
    </row>
    <row r="22" spans="2:23" ht="15.75" customHeight="1">
      <c r="B22" s="3"/>
      <c r="G22" s="6" t="s">
        <v>55</v>
      </c>
      <c r="I22" s="14">
        <f>IF((1-VOUT/VINMIN)/(FSW*10^3)&lt;mintoff,"Out of Spec",VOUT/VINMIN)</f>
        <v>0.25</v>
      </c>
      <c r="W22" s="7" t="s">
        <v>84</v>
      </c>
    </row>
    <row r="23" spans="2:23" ht="15.75" customHeight="1" thickBot="1">
      <c r="B23" s="3"/>
      <c r="G23" s="6" t="s">
        <v>56</v>
      </c>
      <c r="I23" s="15">
        <f>IF(VOUT/VINMAX/(FSW*10^3)&lt;minton,"Out of Spec",VOUT/VINMAX)</f>
        <v>0.09615384615384616</v>
      </c>
      <c r="W23" s="7" t="s">
        <v>85</v>
      </c>
    </row>
    <row r="24" spans="7:23" ht="15.75" customHeight="1" thickBot="1">
      <c r="G24" s="17" t="s">
        <v>199</v>
      </c>
      <c r="I24" s="16" t="e">
        <f>R_E192((5.2*10^9/(FSW*10^3)-948)/1000)</f>
        <v>#NAME?</v>
      </c>
      <c r="V24" s="7" t="s">
        <v>72</v>
      </c>
      <c r="W24" s="7">
        <f>IF(IC="LM5117",5.5,4.5)</f>
        <v>5.5</v>
      </c>
    </row>
    <row r="25" spans="11:23" ht="15.75" customHeight="1" thickBot="1">
      <c r="K25" s="9" t="s">
        <v>82</v>
      </c>
      <c r="V25" s="7" t="s">
        <v>74</v>
      </c>
      <c r="W25" s="7">
        <v>30</v>
      </c>
    </row>
    <row r="26" spans="11:23" ht="15.75" customHeight="1" thickBot="1">
      <c r="K26" s="37" t="s">
        <v>110</v>
      </c>
      <c r="L26" s="38" t="s">
        <v>107</v>
      </c>
      <c r="M26" s="38" t="s">
        <v>108</v>
      </c>
      <c r="N26" s="39" t="s">
        <v>109</v>
      </c>
      <c r="V26" s="7" t="s">
        <v>75</v>
      </c>
      <c r="W26" s="7">
        <f>COUT*10^-6*VOUT/(IOUT*0.5)*10^3</f>
        <v>0.1802</v>
      </c>
    </row>
    <row r="27" spans="2:23" ht="15.75" customHeight="1">
      <c r="B27" s="2" t="s">
        <v>7</v>
      </c>
      <c r="K27" s="40" t="s">
        <v>111</v>
      </c>
      <c r="L27" s="41" t="s">
        <v>130</v>
      </c>
      <c r="M27" s="41" t="str">
        <f>IC</f>
        <v>LM5117</v>
      </c>
      <c r="N27" s="42"/>
      <c r="V27" s="7" t="s">
        <v>76</v>
      </c>
      <c r="W27" s="7">
        <f>(256/(FSW*1000)+TSS*10^-3)*(IPEAK^2*RS/PRS-1)*10^3</f>
        <v>17.850096100698725</v>
      </c>
    </row>
    <row r="28" spans="2:23" ht="15.75" customHeight="1">
      <c r="B28" s="3"/>
      <c r="G28" s="17" t="s">
        <v>54</v>
      </c>
      <c r="I28" s="12">
        <v>40</v>
      </c>
      <c r="K28" s="43" t="s">
        <v>168</v>
      </c>
      <c r="L28" s="44" t="s">
        <v>126</v>
      </c>
      <c r="M28" s="45">
        <f>CIN</f>
        <v>60</v>
      </c>
      <c r="N28" s="46">
        <f>VINMAX</f>
        <v>52</v>
      </c>
      <c r="V28" s="7" t="s">
        <v>77</v>
      </c>
      <c r="W28" s="7">
        <f>1/2/3.14/RESR/(COUT*10^-6)</f>
        <v>88366.07590999384</v>
      </c>
    </row>
    <row r="29" spans="2:23" ht="15.75" customHeight="1" thickBot="1">
      <c r="B29" s="3"/>
      <c r="G29" s="6" t="s">
        <v>49</v>
      </c>
      <c r="I29" s="18">
        <f>(VINMAX-VOUT)*VOUT/IOUT/VINMAX/(FSW*10^3)/(RR/100)*10^6</f>
        <v>5.021367521367521</v>
      </c>
      <c r="K29" s="43" t="s">
        <v>169</v>
      </c>
      <c r="L29" s="44" t="s">
        <v>119</v>
      </c>
      <c r="M29" s="45">
        <f>COUT1</f>
        <v>90</v>
      </c>
      <c r="N29" s="46">
        <f>VOUT</f>
        <v>5</v>
      </c>
      <c r="V29" s="7" t="s">
        <v>86</v>
      </c>
      <c r="W29" s="7">
        <f>1/2/3.14/(VOUT/IOUT*COUT*10^-6)+1/2/3.14/(LO*10^-6*COUT*10^-6*FSW*1000/(K-0.5))</f>
        <v>1898.2342232517199</v>
      </c>
    </row>
    <row r="30" spans="2:23" ht="15.75" customHeight="1" thickBot="1">
      <c r="B30" s="3"/>
      <c r="G30" s="6" t="s">
        <v>50</v>
      </c>
      <c r="I30" s="19">
        <v>15</v>
      </c>
      <c r="K30" s="43" t="s">
        <v>170</v>
      </c>
      <c r="L30" s="44" t="s">
        <v>119</v>
      </c>
      <c r="M30" s="45">
        <f>COUT2</f>
        <v>0.1</v>
      </c>
      <c r="N30" s="46">
        <f>VOUT</f>
        <v>5</v>
      </c>
      <c r="V30" s="7" t="s">
        <v>87</v>
      </c>
      <c r="W30" s="7">
        <f>FSW*1000</f>
        <v>450000</v>
      </c>
    </row>
    <row r="31" spans="7:23" ht="15.75" customHeight="1">
      <c r="G31" s="6" t="s">
        <v>52</v>
      </c>
      <c r="I31" s="20">
        <f>(VINMAX-VOUT)*VOUT/(LO*10^-6)/VINMAX/(FSW*10^3)/2</f>
        <v>0.33475783475783477</v>
      </c>
      <c r="K31" s="43" t="s">
        <v>171</v>
      </c>
      <c r="L31" s="44" t="s">
        <v>117</v>
      </c>
      <c r="M31" s="89">
        <f>CVCC</f>
        <v>0.21333333333333337</v>
      </c>
      <c r="N31" s="46">
        <f>MAX(10,EXTVCC)</f>
        <v>12</v>
      </c>
      <c r="V31" s="7" t="s">
        <v>88</v>
      </c>
      <c r="W31" s="7">
        <f>1/3.14/(K-0.5)</f>
        <v>0.6369426751592356</v>
      </c>
    </row>
    <row r="32" spans="7:23" ht="15.75" customHeight="1">
      <c r="G32" s="6" t="s">
        <v>53</v>
      </c>
      <c r="I32" s="21">
        <f>(VINMIN-VOUT)*VOUT/(LO*10^-6)/VINMIN/(FSW*10^3)/2</f>
        <v>0.2777777777777778</v>
      </c>
      <c r="K32" s="43" t="s">
        <v>172</v>
      </c>
      <c r="L32" s="44" t="s">
        <v>118</v>
      </c>
      <c r="M32" s="89">
        <f>CHB</f>
        <v>0.10666666666666669</v>
      </c>
      <c r="N32" s="46">
        <f>MAX(8.5,EXTVCC)</f>
        <v>12</v>
      </c>
      <c r="V32" s="7" t="s">
        <v>89</v>
      </c>
      <c r="W32" s="7">
        <f>FSW/4/Q*(SQRT(1+4*Q^2)-1)</f>
        <v>109.41938576032217</v>
      </c>
    </row>
    <row r="33" spans="9:23" ht="15.75" customHeight="1">
      <c r="I33" s="22"/>
      <c r="K33" s="43" t="s">
        <v>173</v>
      </c>
      <c r="L33" s="44" t="s">
        <v>115</v>
      </c>
      <c r="M33" s="51">
        <f>CSS</f>
        <v>0.09999999999999999</v>
      </c>
      <c r="N33" s="46">
        <v>6.3</v>
      </c>
      <c r="V33" s="7" t="s">
        <v>90</v>
      </c>
      <c r="W33" s="7">
        <f>1/2/3.14/SQRT(LO*10^-6*COUT*10^-6)</f>
        <v>4331.440283302063</v>
      </c>
    </row>
    <row r="34" spans="9:23" ht="15.75" customHeight="1">
      <c r="I34" s="90"/>
      <c r="K34" s="43" t="s">
        <v>174</v>
      </c>
      <c r="L34" s="44" t="s">
        <v>116</v>
      </c>
      <c r="M34" s="51">
        <f>CRES</f>
        <v>0.47200000000000003</v>
      </c>
      <c r="N34" s="46">
        <v>6.3</v>
      </c>
      <c r="V34" s="7" t="s">
        <v>91</v>
      </c>
      <c r="W34" s="11">
        <v>0.00045</v>
      </c>
    </row>
    <row r="35" spans="2:23" ht="15.75" customHeight="1">
      <c r="B35" s="2" t="s">
        <v>8</v>
      </c>
      <c r="K35" s="43" t="s">
        <v>175</v>
      </c>
      <c r="L35" s="44" t="s">
        <v>113</v>
      </c>
      <c r="M35" s="54">
        <f>CRAMP</f>
        <v>820</v>
      </c>
      <c r="N35" s="46">
        <v>16</v>
      </c>
      <c r="V35" s="7" t="s">
        <v>92</v>
      </c>
      <c r="W35" s="7">
        <v>1.25</v>
      </c>
    </row>
    <row r="36" spans="7:23" ht="15.75" customHeight="1">
      <c r="G36" s="17" t="s">
        <v>51</v>
      </c>
      <c r="I36" s="10">
        <v>30</v>
      </c>
      <c r="K36" s="43" t="s">
        <v>176</v>
      </c>
      <c r="L36" s="44" t="s">
        <v>114</v>
      </c>
      <c r="M36" s="55">
        <f>CCOMP/1000</f>
        <v>12</v>
      </c>
      <c r="N36" s="46">
        <v>6.3</v>
      </c>
      <c r="V36" s="7" t="s">
        <v>93</v>
      </c>
      <c r="W36" s="11">
        <v>20000</v>
      </c>
    </row>
    <row r="37" spans="7:23" ht="15.75" customHeight="1">
      <c r="G37" s="6" t="s">
        <v>9</v>
      </c>
      <c r="I37" s="12">
        <v>1</v>
      </c>
      <c r="K37" s="43" t="s">
        <v>177</v>
      </c>
      <c r="L37" s="44" t="s">
        <v>114</v>
      </c>
      <c r="M37" s="54">
        <f>CHF</f>
        <v>2.7</v>
      </c>
      <c r="N37" s="46">
        <v>6.3</v>
      </c>
      <c r="V37" s="7" t="s">
        <v>94</v>
      </c>
      <c r="W37" s="11">
        <v>0.0038</v>
      </c>
    </row>
    <row r="38" spans="7:23" ht="15.75" customHeight="1" thickBot="1">
      <c r="G38" s="6" t="s">
        <v>10</v>
      </c>
      <c r="I38" s="23">
        <f>vcsth/(IOUT*(1+CL_p/100)+VOUT/(FSW*10^3)/(LO*10^-6)*(K-(VINMIN-VOUT)/2/VINMIN))</f>
        <v>0.01723404255319149</v>
      </c>
      <c r="K38" s="43" t="s">
        <v>178</v>
      </c>
      <c r="L38" s="44" t="s">
        <v>112</v>
      </c>
      <c r="M38" s="91">
        <f>CFT</f>
        <v>62.222222222222236</v>
      </c>
      <c r="N38" s="46">
        <v>16</v>
      </c>
      <c r="V38" s="7" t="s">
        <v>95</v>
      </c>
      <c r="W38" s="7">
        <v>40</v>
      </c>
    </row>
    <row r="39" spans="7:23" ht="15.75" customHeight="1" thickBot="1">
      <c r="G39" s="6" t="s">
        <v>11</v>
      </c>
      <c r="I39" s="24">
        <v>0.015</v>
      </c>
      <c r="K39" s="43" t="s">
        <v>179</v>
      </c>
      <c r="L39" s="44" t="s">
        <v>120</v>
      </c>
      <c r="M39" s="57">
        <f>RUV1</f>
        <v>9.80392156862745</v>
      </c>
      <c r="N39" s="58" t="s">
        <v>132</v>
      </c>
      <c r="V39" s="7" t="s">
        <v>96</v>
      </c>
      <c r="W39" s="7">
        <v>42</v>
      </c>
    </row>
    <row r="40" spans="7:23" ht="15.75" customHeight="1">
      <c r="G40" s="17" t="s">
        <v>13</v>
      </c>
      <c r="I40" s="20">
        <f>vcsth/RS+(VINMIN-VOUT)*VOUT/2/(LO*10^-6)/VINMIN/(FSW*10^3)-VOUT*K/(LO*10^-6)/(FSW*10^3)</f>
        <v>7.537037037037038</v>
      </c>
      <c r="K40" s="43" t="s">
        <v>180</v>
      </c>
      <c r="L40" s="44" t="s">
        <v>120</v>
      </c>
      <c r="M40" s="59">
        <f>RUV2</f>
        <v>99.99999999999999</v>
      </c>
      <c r="N40" s="58" t="str">
        <f>IF(AND(VINMAX^2/(RUV2*1000)&lt;0.05,VINMAX&lt;=50),"1/16W","1/8W")</f>
        <v>1/8W</v>
      </c>
      <c r="V40" s="7" t="s">
        <v>131</v>
      </c>
      <c r="W40" s="7">
        <f>FSW/100</f>
        <v>4.5</v>
      </c>
    </row>
    <row r="41" spans="7:23" ht="15.75" customHeight="1">
      <c r="G41" s="17" t="s">
        <v>12</v>
      </c>
      <c r="I41" s="21">
        <f>vcsth/RS+(VINMAX-VOUT)*VOUT/2/(LO*10^-6)/VINMAX/(FSW*10^3)-VOUT*K/(LO*10^-6)/(FSW*10^3)</f>
        <v>7.594017094017094</v>
      </c>
      <c r="K41" s="43" t="s">
        <v>181</v>
      </c>
      <c r="L41" s="44" t="s">
        <v>122</v>
      </c>
      <c r="M41" s="61">
        <f>RFB1</f>
        <v>950.4761904761905</v>
      </c>
      <c r="N41" s="58" t="str">
        <f>IF((0.8^2/(RFB1*1000))&lt;0.05,"1/16W","1/8W")</f>
        <v>1/16W</v>
      </c>
      <c r="V41" s="7" t="s">
        <v>198</v>
      </c>
      <c r="W41" s="7">
        <f>RESR/10</f>
        <v>0.002</v>
      </c>
    </row>
    <row r="42" spans="7:23" ht="15.75" customHeight="1">
      <c r="G42" s="6" t="s">
        <v>205</v>
      </c>
      <c r="I42" s="21">
        <f>vcsth/RS+VINMAX*minton/(LO*10^-6)</f>
        <v>8.346666666666668</v>
      </c>
      <c r="K42" s="43" t="s">
        <v>182</v>
      </c>
      <c r="L42" s="44" t="s">
        <v>122</v>
      </c>
      <c r="M42" s="61">
        <f>RFB2</f>
        <v>4990</v>
      </c>
      <c r="N42" s="58" t="str">
        <f>IF(((VOUT-0.8)^2/(RFB2*1000))&lt;0.05,"1/16W","1/8W")</f>
        <v>1/16W</v>
      </c>
      <c r="T42" s="7" t="s">
        <v>103</v>
      </c>
      <c r="U42" s="7" t="s">
        <v>104</v>
      </c>
      <c r="V42" s="7" t="s">
        <v>105</v>
      </c>
      <c r="W42" s="7" t="s">
        <v>106</v>
      </c>
    </row>
    <row r="43" spans="7:23" ht="15.75" customHeight="1">
      <c r="G43" s="6" t="s">
        <v>73</v>
      </c>
      <c r="I43" s="14">
        <f>(1-VOUT/VINMAX)*IOUT^2*RS</f>
        <v>0.3389423076923077</v>
      </c>
      <c r="K43" s="43" t="s">
        <v>183</v>
      </c>
      <c r="L43" s="44" t="s">
        <v>125</v>
      </c>
      <c r="M43" s="62">
        <f>RS</f>
        <v>0.015</v>
      </c>
      <c r="N43" s="63">
        <f>PRS</f>
        <v>0.3389423076923077</v>
      </c>
      <c r="T43" s="7">
        <f>VINMIN</f>
        <v>20</v>
      </c>
      <c r="U43" s="7" t="e">
        <f aca="true" t="shared" si="0" ref="U43:U53">IF(EXT="Yes",T43*(Ivin_oper+vrt/(RT*1000))+EXTVCC*(7.6/rvcc+ivcc+7.6*FSW*1000*(CGS_H+CGS_L)*10^-12+T43*FSW*1000*(CGD_H+CGD_L)*10^-12),T43*(Ivin_oper+vrt/(RT*1000)+7.6/rvcc+ivcc+7.6*FSW*1000*(CGS_H+CGS_L)*10^-12+T43*FSW*1000*(CGD_H+CGD_L)*10^-12))</f>
        <v>#NAME?</v>
      </c>
      <c r="V43" s="7" t="e">
        <f aca="true" t="shared" si="1" ref="V43:V53">TAMB+U43*theta_tssop</f>
        <v>#NAME?</v>
      </c>
      <c r="W43" s="7" t="e">
        <f aca="true" t="shared" si="2" ref="W43:W53">TAMB+U43*theta_llp</f>
        <v>#NAME?</v>
      </c>
    </row>
    <row r="44" spans="7:23" ht="15.75" customHeight="1">
      <c r="G44" s="5"/>
      <c r="I44" s="5"/>
      <c r="K44" s="43" t="s">
        <v>184</v>
      </c>
      <c r="L44" s="44" t="s">
        <v>124</v>
      </c>
      <c r="M44" s="59" t="e">
        <f>RT</f>
        <v>#NAME?</v>
      </c>
      <c r="N44" s="58" t="s">
        <v>132</v>
      </c>
      <c r="T44" s="7">
        <f>VINMIN+1*(VINMAX-VINMIN)/10</f>
        <v>23.2</v>
      </c>
      <c r="U44" s="7" t="e">
        <f t="shared" si="0"/>
        <v>#NAME?</v>
      </c>
      <c r="V44" s="7" t="e">
        <f t="shared" si="1"/>
        <v>#NAME?</v>
      </c>
      <c r="W44" s="7" t="e">
        <f t="shared" si="2"/>
        <v>#NAME?</v>
      </c>
    </row>
    <row r="45" spans="7:23" ht="15.75" customHeight="1">
      <c r="G45" s="5"/>
      <c r="I45" s="5"/>
      <c r="K45" s="43" t="s">
        <v>185</v>
      </c>
      <c r="L45" s="44" t="s">
        <v>121</v>
      </c>
      <c r="M45" s="64">
        <f>RRAMP</f>
        <v>121.95121951219512</v>
      </c>
      <c r="N45" s="58" t="str">
        <f>IF(VINMAX&gt;50,"1/8W","1/16W")</f>
        <v>1/8W</v>
      </c>
      <c r="T45" s="7">
        <f>VINMIN+2*(VINMAX-VINMIN)/10</f>
        <v>26.4</v>
      </c>
      <c r="U45" s="7" t="e">
        <f t="shared" si="0"/>
        <v>#NAME?</v>
      </c>
      <c r="V45" s="7" t="e">
        <f t="shared" si="1"/>
        <v>#NAME?</v>
      </c>
      <c r="W45" s="7" t="e">
        <f t="shared" si="2"/>
        <v>#NAME?</v>
      </c>
    </row>
    <row r="46" spans="2:23" ht="15.75" customHeight="1" thickBot="1">
      <c r="B46" s="2" t="s">
        <v>14</v>
      </c>
      <c r="K46" s="43" t="s">
        <v>186</v>
      </c>
      <c r="L46" s="44" t="s">
        <v>123</v>
      </c>
      <c r="M46" s="57">
        <f>RCOMP/1000</f>
        <v>12.4</v>
      </c>
      <c r="N46" s="58" t="s">
        <v>132</v>
      </c>
      <c r="T46" s="7">
        <f>VINMIN+3*(VINMAX-VINMIN)/10</f>
        <v>29.6</v>
      </c>
      <c r="U46" s="7" t="e">
        <f t="shared" si="0"/>
        <v>#NAME?</v>
      </c>
      <c r="V46" s="7" t="e">
        <f t="shared" si="1"/>
        <v>#NAME?</v>
      </c>
      <c r="W46" s="7" t="e">
        <f t="shared" si="2"/>
        <v>#NAME?</v>
      </c>
    </row>
    <row r="47" spans="7:23" ht="15.75" customHeight="1" thickBot="1">
      <c r="G47" s="6" t="s">
        <v>15</v>
      </c>
      <c r="I47" s="24">
        <v>820</v>
      </c>
      <c r="K47" s="43" t="s">
        <v>187</v>
      </c>
      <c r="L47" s="44" t="s">
        <v>127</v>
      </c>
      <c r="M47" s="65">
        <f>LO</f>
        <v>15</v>
      </c>
      <c r="N47" s="58" t="str">
        <f>INT(IMAX_VINMAX)&amp;"A~"&amp;INT(IPEAK)&amp;"A"</f>
        <v>7A~8A</v>
      </c>
      <c r="T47" s="7">
        <f>VINMIN+4*(VINMAX-VINMIN)/10</f>
        <v>32.8</v>
      </c>
      <c r="U47" s="7" t="e">
        <f t="shared" si="0"/>
        <v>#NAME?</v>
      </c>
      <c r="V47" s="7" t="e">
        <f t="shared" si="1"/>
        <v>#NAME?</v>
      </c>
      <c r="W47" s="7" t="e">
        <f t="shared" si="2"/>
        <v>#NAME?</v>
      </c>
    </row>
    <row r="48" spans="7:23" ht="15.75" customHeight="1" thickBot="1">
      <c r="G48" s="6" t="s">
        <v>16</v>
      </c>
      <c r="I48" s="16">
        <f>LO*10^-6/(K*CRAMP*10^-12*RS*as)/1000</f>
        <v>121.95121951219512</v>
      </c>
      <c r="K48" s="43" t="s">
        <v>188</v>
      </c>
      <c r="L48" s="44" t="s">
        <v>128</v>
      </c>
      <c r="M48" s="87" t="s">
        <v>202</v>
      </c>
      <c r="N48" s="86" t="s">
        <v>201</v>
      </c>
      <c r="T48" s="7">
        <f>VINMIN+5*(VINMAX-VINMIN)/10</f>
        <v>36</v>
      </c>
      <c r="U48" s="7" t="e">
        <f t="shared" si="0"/>
        <v>#NAME?</v>
      </c>
      <c r="V48" s="7" t="e">
        <f t="shared" si="1"/>
        <v>#NAME?</v>
      </c>
      <c r="W48" s="7" t="e">
        <f t="shared" si="2"/>
        <v>#NAME?</v>
      </c>
    </row>
    <row r="49" spans="11:23" ht="15.75" customHeight="1" thickBot="1">
      <c r="K49" s="66" t="s">
        <v>189</v>
      </c>
      <c r="L49" s="67" t="s">
        <v>129</v>
      </c>
      <c r="M49" s="67"/>
      <c r="N49" s="68">
        <f>VINMAX</f>
        <v>52</v>
      </c>
      <c r="T49" s="7">
        <f>VINMIN+6*(VINMAX-VINMIN)/10</f>
        <v>39.2</v>
      </c>
      <c r="U49" s="7" t="e">
        <f t="shared" si="0"/>
        <v>#NAME?</v>
      </c>
      <c r="V49" s="7" t="e">
        <f t="shared" si="1"/>
        <v>#NAME?</v>
      </c>
      <c r="W49" s="7" t="e">
        <f t="shared" si="2"/>
        <v>#NAME?</v>
      </c>
    </row>
    <row r="50" spans="11:23" ht="15.75" customHeight="1">
      <c r="K50" s="9" t="s">
        <v>192</v>
      </c>
      <c r="T50" s="7">
        <f>VINMIN+7*(VINMAX-VINMIN)/10</f>
        <v>42.4</v>
      </c>
      <c r="U50" s="7" t="e">
        <f t="shared" si="0"/>
        <v>#NAME?</v>
      </c>
      <c r="V50" s="7" t="e">
        <f t="shared" si="1"/>
        <v>#NAME?</v>
      </c>
      <c r="W50" s="7" t="e">
        <f t="shared" si="2"/>
        <v>#NAME?</v>
      </c>
    </row>
    <row r="51" spans="2:23" ht="15.75" customHeight="1">
      <c r="B51" s="2" t="s">
        <v>17</v>
      </c>
      <c r="T51" s="7">
        <f>VINMIN+8*(VINMAX-VINMIN)/10</f>
        <v>45.6</v>
      </c>
      <c r="U51" s="7" t="e">
        <f t="shared" si="0"/>
        <v>#NAME?</v>
      </c>
      <c r="V51" s="7" t="e">
        <f t="shared" si="1"/>
        <v>#NAME?</v>
      </c>
      <c r="W51" s="7" t="e">
        <f t="shared" si="2"/>
        <v>#NAME?</v>
      </c>
    </row>
    <row r="52" spans="7:23" ht="15.75" customHeight="1">
      <c r="G52" s="6" t="s">
        <v>21</v>
      </c>
      <c r="I52" s="10">
        <v>14</v>
      </c>
      <c r="T52" s="7">
        <f>VINMIN+9*(VINMAX-VINMIN)/10</f>
        <v>48.8</v>
      </c>
      <c r="U52" s="7" t="e">
        <f t="shared" si="0"/>
        <v>#NAME?</v>
      </c>
      <c r="V52" s="7" t="e">
        <f t="shared" si="1"/>
        <v>#NAME?</v>
      </c>
      <c r="W52" s="7" t="e">
        <f t="shared" si="2"/>
        <v>#NAME?</v>
      </c>
    </row>
    <row r="53" spans="7:23" ht="15.75" customHeight="1" thickBot="1">
      <c r="G53" s="6" t="s">
        <v>18</v>
      </c>
      <c r="I53" s="12">
        <v>2</v>
      </c>
      <c r="T53" s="7">
        <f>VINMIN+10*(VINMAX-VINMIN)/10</f>
        <v>52</v>
      </c>
      <c r="U53" s="7" t="e">
        <f t="shared" si="0"/>
        <v>#NAME?</v>
      </c>
      <c r="V53" s="7" t="e">
        <f t="shared" si="1"/>
        <v>#NAME?</v>
      </c>
      <c r="W53" s="7" t="e">
        <f t="shared" si="2"/>
        <v>#NAME?</v>
      </c>
    </row>
    <row r="54" spans="7:9" ht="15.75" customHeight="1" thickBot="1">
      <c r="G54" s="6" t="s">
        <v>19</v>
      </c>
      <c r="I54" s="13">
        <f>VHYS/ihys/1000</f>
        <v>99.99999999999999</v>
      </c>
    </row>
    <row r="55" spans="7:18" ht="15.75" customHeight="1" thickBot="1">
      <c r="G55" s="6" t="s">
        <v>20</v>
      </c>
      <c r="I55" s="25">
        <f>uvloth*RUV2*10^3/(VINSTARTUP-uvloth)/1000</f>
        <v>9.80392156862745</v>
      </c>
      <c r="R55" s="26" t="s">
        <v>147</v>
      </c>
    </row>
    <row r="56" spans="7:19" ht="15.75" customHeight="1">
      <c r="G56" s="6" t="s">
        <v>65</v>
      </c>
      <c r="I56" s="27">
        <f>(RUV2*1000+RUV1*1000)/4/(RUV1*1000)/(RUV2*1000)/(FSW*1000)*10^12</f>
        <v>62.222222222222236</v>
      </c>
      <c r="R56" s="7" t="s">
        <v>134</v>
      </c>
      <c r="S56" s="7">
        <f>VOUT/IOUT</f>
        <v>1</v>
      </c>
    </row>
    <row r="57" spans="18:19" ht="15.75" customHeight="1">
      <c r="R57" s="7" t="s">
        <v>141</v>
      </c>
      <c r="S57" s="7">
        <f>COUT1*COUT2/(COUT1+COUT2)</f>
        <v>0.09988901220865705</v>
      </c>
    </row>
    <row r="58" spans="18:19" ht="15.75" customHeight="1">
      <c r="R58" s="7" t="s">
        <v>146</v>
      </c>
      <c r="S58" s="7">
        <f>K</f>
        <v>1</v>
      </c>
    </row>
    <row r="59" ht="15.75" customHeight="1">
      <c r="B59" s="2" t="s">
        <v>23</v>
      </c>
    </row>
    <row r="60" spans="7:24" ht="15.75" customHeight="1">
      <c r="G60" s="17" t="s">
        <v>203</v>
      </c>
      <c r="I60" s="10">
        <v>16</v>
      </c>
      <c r="R60" s="7" t="s">
        <v>136</v>
      </c>
      <c r="S60" s="28">
        <f>1/((Rload+RESR)*(COUT1+COUT2)*10^-6)+1/(LO*10^-6*(COUT1+COUT2)*10^-6*wp_hf)</f>
        <v>11703.287801740502</v>
      </c>
      <c r="T60" s="7" t="s">
        <v>138</v>
      </c>
      <c r="U60" s="28">
        <f>wp_lf/2/PI()</f>
        <v>1862.6361040740826</v>
      </c>
      <c r="W60" s="7" t="s">
        <v>195</v>
      </c>
      <c r="X60" s="7">
        <f>1/((Rload+RESR2)*(COUT1+COUT2)*10^-6)+1/(LO*10^-6*(COUT1+COUT2)*10^-6*wp_hf)</f>
        <v>11898.757670255742</v>
      </c>
    </row>
    <row r="61" spans="7:21" ht="15.75" customHeight="1">
      <c r="G61" s="17" t="s">
        <v>204</v>
      </c>
      <c r="I61" s="10">
        <v>16</v>
      </c>
      <c r="R61" s="7" t="s">
        <v>135</v>
      </c>
      <c r="S61" s="28">
        <f>FSW*1000/(K-0.5)</f>
        <v>900000</v>
      </c>
      <c r="T61" s="7" t="s">
        <v>137</v>
      </c>
      <c r="U61" s="28">
        <f>wp_hf/2/PI()</f>
        <v>143239.44878270582</v>
      </c>
    </row>
    <row r="62" spans="7:24" ht="15.75" customHeight="1">
      <c r="G62" s="6" t="s">
        <v>22</v>
      </c>
      <c r="I62" s="29">
        <f>(QGH*10^-9+QGL*10^-9)*FSW*1000*10^3</f>
        <v>14.400000000000002</v>
      </c>
      <c r="R62" s="7" t="s">
        <v>139</v>
      </c>
      <c r="S62" s="28">
        <f>1/(RESR*COUT1*10^-6)</f>
        <v>555555.5555555556</v>
      </c>
      <c r="T62" s="7" t="s">
        <v>143</v>
      </c>
      <c r="U62" s="28">
        <f>wz_esr/2/PI()</f>
        <v>88419.41282883075</v>
      </c>
      <c r="W62" s="7" t="s">
        <v>196</v>
      </c>
      <c r="X62" s="7">
        <f>1/(RESR2*COUT1*10^-6)</f>
        <v>5555555.555555556</v>
      </c>
    </row>
    <row r="63" spans="18:24" ht="15.75" customHeight="1">
      <c r="R63" s="7" t="s">
        <v>140</v>
      </c>
      <c r="S63" s="28">
        <f>1/(RESR*cout1_cout2*10^-6)</f>
        <v>500555555.5555555</v>
      </c>
      <c r="T63" s="7" t="s">
        <v>144</v>
      </c>
      <c r="U63" s="28">
        <f>wp_esr/2/PI()</f>
        <v>79665890.9587765</v>
      </c>
      <c r="W63" s="7" t="s">
        <v>197</v>
      </c>
      <c r="X63" s="7">
        <f>1/(RESR2*cout1_cout2*10^-6)</f>
        <v>5005555555.555555</v>
      </c>
    </row>
    <row r="64" spans="18:21" ht="15.75" customHeight="1">
      <c r="R64" s="7" t="s">
        <v>142</v>
      </c>
      <c r="S64" s="28">
        <f>2*PI()*FSW*1000/2</f>
        <v>1413716.6941154068</v>
      </c>
      <c r="T64" s="7" t="s">
        <v>145</v>
      </c>
      <c r="U64" s="28">
        <f>wn/2/PI()</f>
        <v>225000</v>
      </c>
    </row>
    <row r="65" ht="15.75" customHeight="1" thickBot="1">
      <c r="B65" s="2" t="s">
        <v>24</v>
      </c>
    </row>
    <row r="66" spans="7:19" ht="15.75" customHeight="1" thickBot="1">
      <c r="G66" s="6" t="s">
        <v>59</v>
      </c>
      <c r="I66" s="25">
        <f>QGH*10^-9/(0.15)*10^6</f>
        <v>0.10666666666666669</v>
      </c>
      <c r="R66" s="7" t="s">
        <v>133</v>
      </c>
      <c r="S66" s="7">
        <f>Rload/RS/as*1/(1+Rload/(wp_hf*LO*10^-6))</f>
        <v>6.206896551724139</v>
      </c>
    </row>
    <row r="67" spans="7:9" ht="15.75" customHeight="1">
      <c r="G67" s="6" t="s">
        <v>60</v>
      </c>
      <c r="I67" s="30">
        <f>(QGH+QGL)*10^-9/(0.15)*10^6</f>
        <v>0.21333333333333337</v>
      </c>
    </row>
    <row r="68" ht="15.75" customHeight="1">
      <c r="R68" s="26" t="s">
        <v>148</v>
      </c>
    </row>
    <row r="69" spans="18:19" ht="15.75" customHeight="1">
      <c r="R69" s="7" t="s">
        <v>152</v>
      </c>
      <c r="S69" s="7">
        <f>CCOMP*CHF/(CCOMP+CHF)</f>
        <v>2.699392636656752</v>
      </c>
    </row>
    <row r="70" ht="15.75" customHeight="1" thickBot="1">
      <c r="B70" s="2" t="s">
        <v>25</v>
      </c>
    </row>
    <row r="71" spans="7:21" ht="15.75" customHeight="1" thickBot="1">
      <c r="G71" s="6" t="s">
        <v>27</v>
      </c>
      <c r="I71" s="31">
        <v>90</v>
      </c>
      <c r="R71" s="7" t="s">
        <v>151</v>
      </c>
      <c r="S71" s="28">
        <f>1/(RCOMP*CCOMP*10^-12)</f>
        <v>6720.430107526882</v>
      </c>
      <c r="T71" s="7" t="s">
        <v>154</v>
      </c>
      <c r="U71" s="28">
        <f>wz_ea/2/PI()</f>
        <v>1069.589671316501</v>
      </c>
    </row>
    <row r="72" spans="7:21" ht="15.75" customHeight="1" thickBot="1">
      <c r="G72" s="6" t="s">
        <v>26</v>
      </c>
      <c r="I72" s="24">
        <v>0.1</v>
      </c>
      <c r="R72" s="7" t="s">
        <v>150</v>
      </c>
      <c r="S72" s="28">
        <f>1/(RCOMP*ccomp_chf*10^-12)</f>
        <v>29875298.685782555</v>
      </c>
      <c r="T72" s="7" t="s">
        <v>153</v>
      </c>
      <c r="U72" s="28">
        <f>wp_ea/2/PI()</f>
        <v>4754801.462189098</v>
      </c>
    </row>
    <row r="73" spans="7:9" ht="15.75" customHeight="1" thickBot="1">
      <c r="G73" s="6" t="s">
        <v>61</v>
      </c>
      <c r="I73" s="32">
        <v>0.02</v>
      </c>
    </row>
    <row r="74" spans="7:19" ht="15.75" customHeight="1">
      <c r="G74" s="6" t="s">
        <v>34</v>
      </c>
      <c r="I74" s="33">
        <f>COUT1+COUT2</f>
        <v>90.1</v>
      </c>
      <c r="R74" s="7" t="s">
        <v>149</v>
      </c>
      <c r="S74" s="7">
        <f>1/(RFB2*(CCOMP+CHF)*10^-12)</f>
        <v>16696.310130487844</v>
      </c>
    </row>
    <row r="75" spans="7:9" ht="15.75" customHeight="1">
      <c r="G75" s="17" t="s">
        <v>66</v>
      </c>
      <c r="I75" s="29">
        <f>VOUT/(LO*10^-6)/(FSW*1000)*(1-VOUT/VINMAX)*SQRT(RESR^2+(1/(8*FSW*1000*COUT*10^-6))^2)*10^3</f>
        <v>13.54847057319592</v>
      </c>
    </row>
    <row r="76" spans="7:18" ht="15.75" customHeight="1">
      <c r="G76" s="6" t="s">
        <v>43</v>
      </c>
      <c r="I76" s="21">
        <f>VOUT/(LO*10^-6)/(FSW*1000)*(1-VOUT/VINMAX)/SQRT(12)</f>
        <v>0.1932725260107722</v>
      </c>
      <c r="R76" s="26" t="s">
        <v>155</v>
      </c>
    </row>
    <row r="78" spans="18:21" ht="15.75" customHeight="1">
      <c r="R78" s="7" t="s">
        <v>157</v>
      </c>
      <c r="S78" s="28">
        <f>1/SQRT(LO*10^-6*(COUT1+COUT2)*10^-6)</f>
        <v>27201.44497913696</v>
      </c>
      <c r="T78" s="7" t="s">
        <v>156</v>
      </c>
      <c r="U78" s="28">
        <f>wlc/2/PI()</f>
        <v>4329.244427671865</v>
      </c>
    </row>
    <row r="79" ht="15.75" customHeight="1">
      <c r="B79" s="2" t="s">
        <v>28</v>
      </c>
    </row>
    <row r="80" spans="7:28" ht="15.75" customHeight="1">
      <c r="G80" s="6" t="s">
        <v>206</v>
      </c>
      <c r="I80" s="10">
        <v>60</v>
      </c>
      <c r="R80" s="7" t="s">
        <v>158</v>
      </c>
      <c r="S80" s="7" t="s">
        <v>158</v>
      </c>
      <c r="T80" s="7" t="s">
        <v>162</v>
      </c>
      <c r="V80" s="7" t="s">
        <v>164</v>
      </c>
      <c r="X80" s="7" t="s">
        <v>165</v>
      </c>
      <c r="Z80" s="7" t="s">
        <v>193</v>
      </c>
      <c r="AB80" s="7" t="s">
        <v>194</v>
      </c>
    </row>
    <row r="81" spans="7:29" ht="15.75" customHeight="1">
      <c r="G81" s="6" t="s">
        <v>44</v>
      </c>
      <c r="I81" s="14">
        <f>IOUT/4/(FSW*1000)/(CIN*10^-6)</f>
        <v>0.0462962962962963</v>
      </c>
      <c r="R81" s="7" t="s">
        <v>159</v>
      </c>
      <c r="S81" s="7" t="s">
        <v>160</v>
      </c>
      <c r="T81" s="7" t="s">
        <v>161</v>
      </c>
      <c r="U81" s="7" t="s">
        <v>163</v>
      </c>
      <c r="V81" s="7" t="s">
        <v>161</v>
      </c>
      <c r="W81" s="7" t="s">
        <v>163</v>
      </c>
      <c r="X81" s="7" t="s">
        <v>161</v>
      </c>
      <c r="Y81" s="7" t="s">
        <v>163</v>
      </c>
      <c r="Z81" s="7" t="s">
        <v>161</v>
      </c>
      <c r="AA81" s="7" t="s">
        <v>163</v>
      </c>
      <c r="AB81" s="7" t="s">
        <v>161</v>
      </c>
      <c r="AC81" s="7" t="s">
        <v>163</v>
      </c>
    </row>
    <row r="82" spans="7:29" ht="15.75" customHeight="1">
      <c r="G82" s="6" t="s">
        <v>45</v>
      </c>
      <c r="I82" s="21">
        <f>IF(AND(VINMIN&lt;VOUT*2,VINMAX&gt;VOUT*2),IOUT*SQRT(1/4),MAX(IOUT*SQRT(VOUT/VINMIN*(1-VOUT/VINMIN)),IOUT*SQRT(VOUT/VINMAX*(1-VOUT/VINMAX))))</f>
        <v>2.1650635094610964</v>
      </c>
      <c r="Q82" s="7">
        <v>1</v>
      </c>
      <c r="R82" s="7">
        <f aca="true" t="shared" si="3" ref="R82:R99">FSW*1000*Q82/100000</f>
        <v>4.5</v>
      </c>
      <c r="S82" s="28">
        <f aca="true" t="shared" si="4" ref="S82:S90">2*PI()*R82</f>
        <v>28.274333882308138</v>
      </c>
      <c r="T82" s="34">
        <f aca="true" t="shared" si="5" ref="T82:T113">20*LOG(Am*IMABS(IMDIV(IMDIV(IMDIV(COMPLEX(1,S82/wz_esr),COMPLEX(1,S82/wp_lf)),COMPLEX(1,S82/wp_esr)),COMPLEX(1-S82^2/(wn^2),S82/wp_hf))))</f>
        <v>15.857464806037289</v>
      </c>
      <c r="U82" s="34">
        <f aca="true" t="shared" si="6" ref="U82:U113">IMARGUMENT(IMDIV(IMDIV(IMDIV(COMPLEX(1,S82/wz_esr),COMPLEX(1,S82/wp_lf)),COMPLEX(1,S82/wp_esr)),COMPLEX(1-S82^2/(wn^2),S82/wp_hf)))*180/PI()</f>
        <v>-0.13730960759197086</v>
      </c>
      <c r="V82" s="34">
        <f aca="true" t="shared" si="7" ref="V82:V113">20*LOG(Afb*IMABS(IMDIV(IMDIV(COMPLEX(1,S82/wz_ea),COMPLEX(1,S82/wp_ea)),COMPLEX(0,S82))))</f>
        <v>55.42463929108251</v>
      </c>
      <c r="W82" s="34">
        <f aca="true" t="shared" si="8" ref="W82:W113">IMARGUMENT(IMDIV(IMDIV(COMPLEX(-1,-S82/wz_ea),COMPLEX(1,S82/wp_ea)),COMPLEX(0,S82)))*180/PI()</f>
        <v>90.24100035232856</v>
      </c>
      <c r="X82" s="34">
        <f>T82+V82</f>
        <v>71.2821040971198</v>
      </c>
      <c r="Y82" s="34">
        <f>U82+W82</f>
        <v>90.10369074473658</v>
      </c>
      <c r="Z82" s="34">
        <f aca="true" t="shared" si="9" ref="Z82:Z113">20*LOG(Am*IMABS(IMDIV(IMDIV(IMDIV(COMPLEX(1,S82/wz_esr2),COMPLEX(1,S82/wp_lf2)),COMPLEX(1,S82/wp_esr2)),COMPLEX(1-S82^2/(wn^2),S82/wp_hf))))</f>
        <v>15.857465620895058</v>
      </c>
      <c r="AA82" s="34">
        <f aca="true" t="shared" si="10" ref="AA82:AA113">IMARGUMENT(IMDIV(IMDIV(IMDIV(COMPLEX(1,S82/wz_esr2),COMPLEX(1,S82/wp_lf2)),COMPLEX(1,S82/wp_esr2)),COMPLEX(1-S82^2/(wn^2),S82/wp_hf)))*180/PI()</f>
        <v>-0.13765713474184796</v>
      </c>
      <c r="AB82" s="34">
        <f>Z82+V82</f>
        <v>71.28210491197757</v>
      </c>
      <c r="AC82" s="34">
        <f>AA82+W82</f>
        <v>90.10334321758671</v>
      </c>
    </row>
    <row r="83" spans="17:29" ht="15.75" customHeight="1">
      <c r="Q83" s="7">
        <v>1.5</v>
      </c>
      <c r="R83" s="7">
        <f t="shared" si="3"/>
        <v>6.75</v>
      </c>
      <c r="S83" s="28">
        <f t="shared" si="4"/>
        <v>42.411500823462205</v>
      </c>
      <c r="T83" s="34">
        <f t="shared" si="5"/>
        <v>15.857433133683209</v>
      </c>
      <c r="U83" s="34">
        <f t="shared" si="6"/>
        <v>-0.20596390643963572</v>
      </c>
      <c r="V83" s="34">
        <f t="shared" si="7"/>
        <v>51.90291019869527</v>
      </c>
      <c r="W83" s="34">
        <f t="shared" si="8"/>
        <v>90.3614978617963</v>
      </c>
      <c r="X83" s="34">
        <f aca="true" t="shared" si="11" ref="X83:Y146">T83+V83</f>
        <v>67.76034333237848</v>
      </c>
      <c r="Y83" s="34">
        <f t="shared" si="11"/>
        <v>90.15553395535666</v>
      </c>
      <c r="Z83" s="34">
        <f t="shared" si="9"/>
        <v>15.857434967099852</v>
      </c>
      <c r="AA83" s="34">
        <f t="shared" si="10"/>
        <v>-0.2064852216387248</v>
      </c>
      <c r="AB83" s="34">
        <f aca="true" t="shared" si="12" ref="AB83:AC146">Z83+V83</f>
        <v>67.76034516579512</v>
      </c>
      <c r="AC83" s="34">
        <f t="shared" si="12"/>
        <v>90.15501264015757</v>
      </c>
    </row>
    <row r="84" spans="17:29" ht="15.75" customHeight="1">
      <c r="Q84" s="7">
        <v>2</v>
      </c>
      <c r="R84" s="7">
        <f t="shared" si="3"/>
        <v>9</v>
      </c>
      <c r="S84" s="28">
        <f t="shared" si="4"/>
        <v>56.548667764616276</v>
      </c>
      <c r="T84" s="34">
        <f t="shared" si="5"/>
        <v>15.857388792775854</v>
      </c>
      <c r="U84" s="34">
        <f t="shared" si="6"/>
        <v>-0.2746175993592201</v>
      </c>
      <c r="V84" s="34">
        <f t="shared" si="7"/>
        <v>49.40426998717476</v>
      </c>
      <c r="W84" s="34">
        <f t="shared" si="8"/>
        <v>90.48199217138674</v>
      </c>
      <c r="X84" s="34">
        <f t="shared" si="11"/>
        <v>65.26165877995061</v>
      </c>
      <c r="Y84" s="34">
        <f t="shared" si="11"/>
        <v>90.20737457202752</v>
      </c>
      <c r="Z84" s="34">
        <f t="shared" si="9"/>
        <v>15.857392052150024</v>
      </c>
      <c r="AA84" s="34">
        <f t="shared" si="10"/>
        <v>-0.2753127319758611</v>
      </c>
      <c r="AB84" s="34">
        <f t="shared" si="12"/>
        <v>65.26166203932478</v>
      </c>
      <c r="AC84" s="34">
        <f t="shared" si="12"/>
        <v>90.20667943941088</v>
      </c>
    </row>
    <row r="85" spans="2:29" ht="15.75" customHeight="1">
      <c r="B85" s="2" t="s">
        <v>29</v>
      </c>
      <c r="Q85" s="7">
        <v>2.5</v>
      </c>
      <c r="R85" s="7">
        <f t="shared" si="3"/>
        <v>11.25</v>
      </c>
      <c r="S85" s="28">
        <f t="shared" si="4"/>
        <v>70.68583470577035</v>
      </c>
      <c r="T85" s="34">
        <f t="shared" si="5"/>
        <v>15.85733178370358</v>
      </c>
      <c r="U85" s="34">
        <f t="shared" si="6"/>
        <v>-0.3432704843911985</v>
      </c>
      <c r="V85" s="34">
        <f t="shared" si="7"/>
        <v>47.46624267600696</v>
      </c>
      <c r="W85" s="34">
        <f t="shared" si="8"/>
        <v>90.60248221473847</v>
      </c>
      <c r="X85" s="34">
        <f t="shared" si="11"/>
        <v>63.323574459710535</v>
      </c>
      <c r="Y85" s="34">
        <f t="shared" si="11"/>
        <v>90.25921173034727</v>
      </c>
      <c r="Z85" s="34">
        <f t="shared" si="9"/>
        <v>15.857336876409043</v>
      </c>
      <c r="AA85" s="34">
        <f t="shared" si="10"/>
        <v>-0.34413947358186847</v>
      </c>
      <c r="AB85" s="34">
        <f t="shared" si="12"/>
        <v>63.323579552416</v>
      </c>
      <c r="AC85" s="34">
        <f t="shared" si="12"/>
        <v>90.25834274115661</v>
      </c>
    </row>
    <row r="86" spans="7:29" ht="15.75" customHeight="1" thickBot="1">
      <c r="G86" s="17" t="s">
        <v>31</v>
      </c>
      <c r="I86" s="12">
        <v>8</v>
      </c>
      <c r="Q86" s="7">
        <v>3</v>
      </c>
      <c r="R86" s="7">
        <f t="shared" si="3"/>
        <v>13.5</v>
      </c>
      <c r="S86" s="28">
        <f t="shared" si="4"/>
        <v>84.82300164692441</v>
      </c>
      <c r="T86" s="34">
        <f t="shared" si="5"/>
        <v>15.857262106965674</v>
      </c>
      <c r="U86" s="34">
        <f t="shared" si="6"/>
        <v>-0.4119223595901968</v>
      </c>
      <c r="V86" s="34">
        <f t="shared" si="7"/>
        <v>45.882829127804655</v>
      </c>
      <c r="W86" s="34">
        <f t="shared" si="8"/>
        <v>90.72296692571649</v>
      </c>
      <c r="X86" s="34">
        <f t="shared" si="11"/>
        <v>61.74009123477033</v>
      </c>
      <c r="Y86" s="34">
        <f t="shared" si="11"/>
        <v>90.3110445661263</v>
      </c>
      <c r="Z86" s="34">
        <f t="shared" si="9"/>
        <v>15.857269440344178</v>
      </c>
      <c r="AA86" s="34">
        <f t="shared" si="10"/>
        <v>-0.4129652542983799</v>
      </c>
      <c r="AB86" s="34">
        <f t="shared" si="12"/>
        <v>61.74009856814883</v>
      </c>
      <c r="AC86" s="34">
        <f t="shared" si="12"/>
        <v>90.3100016714181</v>
      </c>
    </row>
    <row r="87" spans="7:29" ht="15.75" customHeight="1" thickBot="1">
      <c r="G87" s="17" t="s">
        <v>30</v>
      </c>
      <c r="I87" s="35">
        <f>TSS*10^-3*iss/0.8*10^6</f>
        <v>0.09999999999999999</v>
      </c>
      <c r="Q87" s="7">
        <v>3.5</v>
      </c>
      <c r="R87" s="7">
        <f t="shared" si="3"/>
        <v>15.75</v>
      </c>
      <c r="S87" s="28">
        <f t="shared" si="4"/>
        <v>98.96016858807849</v>
      </c>
      <c r="T87" s="34">
        <f t="shared" si="5"/>
        <v>15.857179763172354</v>
      </c>
      <c r="U87" s="34">
        <f t="shared" si="6"/>
        <v>-0.4805730230285129</v>
      </c>
      <c r="V87" s="34">
        <f t="shared" si="7"/>
        <v>44.54414312608911</v>
      </c>
      <c r="W87" s="34">
        <f t="shared" si="8"/>
        <v>90.8434452384689</v>
      </c>
      <c r="X87" s="34">
        <f t="shared" si="11"/>
        <v>60.401322889261465</v>
      </c>
      <c r="Y87" s="34">
        <f t="shared" si="11"/>
        <v>90.36287221544039</v>
      </c>
      <c r="Z87" s="34">
        <f t="shared" si="9"/>
        <v>15.857189744526526</v>
      </c>
      <c r="AA87" s="34">
        <f t="shared" si="10"/>
        <v>-0.4817898819833026</v>
      </c>
      <c r="AB87" s="34">
        <f t="shared" si="12"/>
        <v>60.40133287061563</v>
      </c>
      <c r="AC87" s="34">
        <f t="shared" si="12"/>
        <v>90.3616553564856</v>
      </c>
    </row>
    <row r="88" spans="17:29" ht="15.75" customHeight="1">
      <c r="Q88" s="7">
        <v>4</v>
      </c>
      <c r="R88" s="7">
        <f t="shared" si="3"/>
        <v>18</v>
      </c>
      <c r="S88" s="28">
        <f t="shared" si="4"/>
        <v>113.09733552923255</v>
      </c>
      <c r="T88" s="34">
        <f t="shared" si="5"/>
        <v>15.857084753044731</v>
      </c>
      <c r="U88" s="34">
        <f t="shared" si="6"/>
        <v>-0.5492222727996677</v>
      </c>
      <c r="V88" s="34">
        <f t="shared" si="7"/>
        <v>43.384592388949216</v>
      </c>
      <c r="W88" s="34">
        <f t="shared" si="8"/>
        <v>90.96391608748335</v>
      </c>
      <c r="X88" s="34">
        <f t="shared" si="11"/>
        <v>59.24167714199395</v>
      </c>
      <c r="Y88" s="34">
        <f t="shared" si="11"/>
        <v>90.41469381468369</v>
      </c>
      <c r="Z88" s="34">
        <f t="shared" si="9"/>
        <v>15.857097789630979</v>
      </c>
      <c r="AA88" s="34">
        <f t="shared" si="10"/>
        <v>-0.5506131645140764</v>
      </c>
      <c r="AB88" s="34">
        <f t="shared" si="12"/>
        <v>59.24169017858019</v>
      </c>
      <c r="AC88" s="34">
        <f t="shared" si="12"/>
        <v>90.41330292296928</v>
      </c>
    </row>
    <row r="89" spans="17:29" ht="15.75" customHeight="1">
      <c r="Q89" s="7">
        <v>4.5</v>
      </c>
      <c r="R89" s="7">
        <f t="shared" si="3"/>
        <v>20.25</v>
      </c>
      <c r="S89" s="28">
        <f t="shared" si="4"/>
        <v>127.23450247038662</v>
      </c>
      <c r="T89" s="34">
        <f t="shared" si="5"/>
        <v>15.856977077414815</v>
      </c>
      <c r="U89" s="34">
        <f t="shared" si="6"/>
        <v>-0.6178699070219301</v>
      </c>
      <c r="V89" s="34">
        <f t="shared" si="7"/>
        <v>42.361868546285244</v>
      </c>
      <c r="W89" s="34">
        <f t="shared" si="8"/>
        <v>91.08437840764368</v>
      </c>
      <c r="X89" s="34">
        <f t="shared" si="11"/>
        <v>58.21884562370006</v>
      </c>
      <c r="Y89" s="34">
        <f t="shared" si="11"/>
        <v>90.46650850062176</v>
      </c>
      <c r="Z89" s="34">
        <f t="shared" si="9"/>
        <v>15.856993576436196</v>
      </c>
      <c r="AA89" s="34">
        <f t="shared" si="10"/>
        <v>-0.6194349097909193</v>
      </c>
      <c r="AB89" s="34">
        <f t="shared" si="12"/>
        <v>58.21886212272144</v>
      </c>
      <c r="AC89" s="34">
        <f t="shared" si="12"/>
        <v>90.46494349785276</v>
      </c>
    </row>
    <row r="90" spans="2:29" ht="15.75" customHeight="1">
      <c r="B90" s="2" t="s">
        <v>35</v>
      </c>
      <c r="Q90" s="7">
        <v>5</v>
      </c>
      <c r="R90" s="7">
        <f t="shared" si="3"/>
        <v>22.5</v>
      </c>
      <c r="S90" s="28">
        <f t="shared" si="4"/>
        <v>141.3716694115407</v>
      </c>
      <c r="T90" s="34">
        <f t="shared" si="5"/>
        <v>15.856856737225458</v>
      </c>
      <c r="U90" s="34">
        <f t="shared" si="6"/>
        <v>-0.6865157238418295</v>
      </c>
      <c r="V90" s="34">
        <f t="shared" si="7"/>
        <v>41.44708373655987</v>
      </c>
      <c r="W90" s="34">
        <f t="shared" si="8"/>
        <v>91.20483113428608</v>
      </c>
      <c r="X90" s="34">
        <f t="shared" si="11"/>
        <v>57.303940473785325</v>
      </c>
      <c r="Y90" s="34">
        <f t="shared" si="11"/>
        <v>90.51831541044425</v>
      </c>
      <c r="Z90" s="34">
        <f t="shared" si="9"/>
        <v>15.856877105824639</v>
      </c>
      <c r="AA90" s="34">
        <f t="shared" si="10"/>
        <v>-0.6882549257400749</v>
      </c>
      <c r="AB90" s="34">
        <f t="shared" si="12"/>
        <v>57.303960842384505</v>
      </c>
      <c r="AC90" s="34">
        <f t="shared" si="12"/>
        <v>90.51657620854601</v>
      </c>
    </row>
    <row r="91" spans="7:29" ht="15.75" customHeight="1" thickBot="1">
      <c r="G91" s="17" t="s">
        <v>32</v>
      </c>
      <c r="I91" s="12">
        <v>59</v>
      </c>
      <c r="Q91" s="7">
        <v>5.5</v>
      </c>
      <c r="R91" s="7">
        <f t="shared" si="3"/>
        <v>24.75</v>
      </c>
      <c r="S91" s="28">
        <f>2*PI()*R91</f>
        <v>155.50883635269477</v>
      </c>
      <c r="T91" s="34">
        <f t="shared" si="5"/>
        <v>15.856723733530359</v>
      </c>
      <c r="U91" s="34">
        <f t="shared" si="6"/>
        <v>-0.755159521437753</v>
      </c>
      <c r="V91" s="34">
        <f t="shared" si="7"/>
        <v>40.61963342040598</v>
      </c>
      <c r="W91" s="34">
        <f t="shared" si="8"/>
        <v>91.32527320325575</v>
      </c>
      <c r="X91" s="34">
        <f t="shared" si="11"/>
        <v>56.47635715393634</v>
      </c>
      <c r="Y91" s="34">
        <f t="shared" si="11"/>
        <v>90.570113681818</v>
      </c>
      <c r="Z91" s="34">
        <f t="shared" si="9"/>
        <v>15.856748378782422</v>
      </c>
      <c r="AA91" s="34">
        <f t="shared" si="10"/>
        <v>-0.7570730203170917</v>
      </c>
      <c r="AB91" s="34">
        <f t="shared" si="12"/>
        <v>56.4763817991884</v>
      </c>
      <c r="AC91" s="34">
        <f t="shared" si="12"/>
        <v>90.56820018293865</v>
      </c>
    </row>
    <row r="92" spans="7:29" ht="15.75" customHeight="1" thickBot="1">
      <c r="G92" s="17" t="s">
        <v>33</v>
      </c>
      <c r="I92" s="25">
        <f>TRES*10^-3*ires/resth*10^6</f>
        <v>0.47200000000000003</v>
      </c>
      <c r="Q92" s="7">
        <v>6</v>
      </c>
      <c r="R92" s="7">
        <f t="shared" si="3"/>
        <v>27</v>
      </c>
      <c r="S92" s="28">
        <f aca="true" t="shared" si="13" ref="S92:S155">2*PI()*R92</f>
        <v>169.64600329384882</v>
      </c>
      <c r="T92" s="34">
        <f t="shared" si="5"/>
        <v>15.856578067494016</v>
      </c>
      <c r="U92" s="34">
        <f t="shared" si="6"/>
        <v>-0.8238010980233778</v>
      </c>
      <c r="V92" s="34">
        <f t="shared" si="7"/>
        <v>39.864303964452844</v>
      </c>
      <c r="W92" s="34">
        <f t="shared" si="8"/>
        <v>91.44570355096302</v>
      </c>
      <c r="X92" s="34">
        <f t="shared" si="11"/>
        <v>55.72088203194686</v>
      </c>
      <c r="Y92" s="34">
        <f t="shared" si="11"/>
        <v>90.62190245293964</v>
      </c>
      <c r="Z92" s="34">
        <f t="shared" si="9"/>
        <v>15.856607396399438</v>
      </c>
      <c r="AA92" s="34">
        <f t="shared" si="10"/>
        <v>-0.8258890015100295</v>
      </c>
      <c r="AB92" s="34">
        <f t="shared" si="12"/>
        <v>55.720911360852284</v>
      </c>
      <c r="AC92" s="34">
        <f t="shared" si="12"/>
        <v>90.61981454945298</v>
      </c>
    </row>
    <row r="93" spans="17:29" ht="15.75" customHeight="1">
      <c r="Q93" s="7">
        <v>6.5</v>
      </c>
      <c r="R93" s="7">
        <f t="shared" si="3"/>
        <v>29.25</v>
      </c>
      <c r="S93" s="28">
        <f t="shared" si="13"/>
        <v>183.7831702350029</v>
      </c>
      <c r="T93" s="34">
        <f t="shared" si="5"/>
        <v>15.856419740391681</v>
      </c>
      <c r="U93" s="34">
        <f t="shared" si="6"/>
        <v>-0.8924402518512781</v>
      </c>
      <c r="V93" s="34">
        <f t="shared" si="7"/>
        <v>39.16954196421487</v>
      </c>
      <c r="W93" s="34">
        <f t="shared" si="8"/>
        <v>91.5661211144396</v>
      </c>
      <c r="X93" s="34">
        <f t="shared" si="11"/>
        <v>55.02596170460655</v>
      </c>
      <c r="Y93" s="34">
        <f t="shared" si="11"/>
        <v>90.67368086258831</v>
      </c>
      <c r="Z93" s="34">
        <f t="shared" si="9"/>
        <v>15.856454159869195</v>
      </c>
      <c r="AA93" s="34">
        <f t="shared" si="10"/>
        <v>-0.8947026773427468</v>
      </c>
      <c r="AB93" s="34">
        <f t="shared" si="12"/>
        <v>55.02599612408407</v>
      </c>
      <c r="AC93" s="34">
        <f t="shared" si="12"/>
        <v>90.67141843709685</v>
      </c>
    </row>
    <row r="94" spans="17:29" ht="15.75" customHeight="1">
      <c r="Q94" s="7">
        <v>7</v>
      </c>
      <c r="R94" s="7">
        <f t="shared" si="3"/>
        <v>31.5</v>
      </c>
      <c r="S94" s="28">
        <f t="shared" si="13"/>
        <v>197.92033717615698</v>
      </c>
      <c r="T94" s="34">
        <f t="shared" si="5"/>
        <v>15.856248753609378</v>
      </c>
      <c r="U94" s="34">
        <f t="shared" si="6"/>
        <v>-0.961076781216429</v>
      </c>
      <c r="V94" s="34">
        <f t="shared" si="7"/>
        <v>38.52636677211707</v>
      </c>
      <c r="W94" s="34">
        <f t="shared" si="8"/>
        <v>91.68652483139479</v>
      </c>
      <c r="X94" s="34">
        <f t="shared" si="11"/>
        <v>54.38261552572645</v>
      </c>
      <c r="Y94" s="34">
        <f t="shared" si="11"/>
        <v>90.72544805017836</v>
      </c>
      <c r="Z94" s="34">
        <f t="shared" si="9"/>
        <v>15.856288670488885</v>
      </c>
      <c r="AA94" s="34">
        <f t="shared" si="10"/>
        <v>-0.9635138558781158</v>
      </c>
      <c r="AB94" s="34">
        <f t="shared" si="12"/>
        <v>54.38265544260596</v>
      </c>
      <c r="AC94" s="34">
        <f t="shared" si="12"/>
        <v>90.72301097551667</v>
      </c>
    </row>
    <row r="95" spans="2:29" ht="15.75" customHeight="1" thickBot="1">
      <c r="B95" s="2" t="s">
        <v>37</v>
      </c>
      <c r="Q95" s="7">
        <v>7.5</v>
      </c>
      <c r="R95" s="7">
        <f t="shared" si="3"/>
        <v>33.75</v>
      </c>
      <c r="S95" s="28">
        <f t="shared" si="13"/>
        <v>212.05750411731103</v>
      </c>
      <c r="T95" s="34">
        <f t="shared" si="5"/>
        <v>15.856065108643776</v>
      </c>
      <c r="U95" s="34">
        <f t="shared" si="6"/>
        <v>-1.029710484459711</v>
      </c>
      <c r="V95" s="34">
        <f t="shared" si="7"/>
        <v>37.92765911654254</v>
      </c>
      <c r="W95" s="34">
        <f t="shared" si="8"/>
        <v>91.80691364027156</v>
      </c>
      <c r="X95" s="34">
        <f t="shared" si="11"/>
        <v>53.78372422518632</v>
      </c>
      <c r="Y95" s="34">
        <f t="shared" si="11"/>
        <v>90.77720315581185</v>
      </c>
      <c r="Z95" s="34">
        <f t="shared" si="9"/>
        <v>15.856110929659277</v>
      </c>
      <c r="AA95" s="34">
        <f t="shared" si="10"/>
        <v>-1.0323223452212837</v>
      </c>
      <c r="AB95" s="34">
        <f t="shared" si="12"/>
        <v>53.78377004620182</v>
      </c>
      <c r="AC95" s="34">
        <f t="shared" si="12"/>
        <v>90.77459129505027</v>
      </c>
    </row>
    <row r="96" spans="7:29" ht="15.75" customHeight="1" thickBot="1">
      <c r="G96" s="17" t="s">
        <v>70</v>
      </c>
      <c r="I96" s="31">
        <v>4990</v>
      </c>
      <c r="Q96" s="7">
        <v>8</v>
      </c>
      <c r="R96" s="7">
        <f t="shared" si="3"/>
        <v>36</v>
      </c>
      <c r="S96" s="28">
        <f t="shared" si="13"/>
        <v>226.1946710584651</v>
      </c>
      <c r="T96" s="34">
        <f t="shared" si="5"/>
        <v>15.855868807102198</v>
      </c>
      <c r="U96" s="34">
        <f t="shared" si="6"/>
        <v>-1.0983411599714419</v>
      </c>
      <c r="V96" s="34">
        <f t="shared" si="7"/>
        <v>37.36767977840431</v>
      </c>
      <c r="W96" s="34">
        <f t="shared" si="8"/>
        <v>91.92728648030239</v>
      </c>
      <c r="X96" s="34">
        <f t="shared" si="11"/>
        <v>53.22354858550651</v>
      </c>
      <c r="Y96" s="34">
        <f t="shared" si="11"/>
        <v>90.82894532033094</v>
      </c>
      <c r="Z96" s="34">
        <f t="shared" si="9"/>
        <v>15.855920938884712</v>
      </c>
      <c r="AA96" s="34">
        <f t="shared" si="10"/>
        <v>-1.1011279535229146</v>
      </c>
      <c r="AB96" s="34">
        <f t="shared" si="12"/>
        <v>53.22360071728902</v>
      </c>
      <c r="AC96" s="34">
        <f t="shared" si="12"/>
        <v>90.82615852677947</v>
      </c>
    </row>
    <row r="97" spans="7:29" ht="15.75" customHeight="1" thickBot="1">
      <c r="G97" s="17" t="s">
        <v>71</v>
      </c>
      <c r="I97" s="36">
        <f>RFB2/(VOUT/0.8-1)</f>
        <v>950.4761904761905</v>
      </c>
      <c r="Q97" s="7">
        <v>8.5</v>
      </c>
      <c r="R97" s="7">
        <f t="shared" si="3"/>
        <v>38.25</v>
      </c>
      <c r="S97" s="28">
        <f t="shared" si="13"/>
        <v>240.33183799961918</v>
      </c>
      <c r="T97" s="34">
        <f t="shared" si="5"/>
        <v>15.855659850702594</v>
      </c>
      <c r="U97" s="34">
        <f t="shared" si="6"/>
        <v>-1.1669686061949422</v>
      </c>
      <c r="V97" s="34">
        <f t="shared" si="7"/>
        <v>36.841734443953975</v>
      </c>
      <c r="W97" s="34">
        <f t="shared" si="8"/>
        <v>92.04764229156524</v>
      </c>
      <c r="X97" s="34">
        <f t="shared" si="11"/>
        <v>52.69739429465657</v>
      </c>
      <c r="Y97" s="34">
        <f t="shared" si="11"/>
        <v>90.8806736853703</v>
      </c>
      <c r="Z97" s="34">
        <f t="shared" si="9"/>
        <v>15.855718699773039</v>
      </c>
      <c r="AA97" s="34">
        <f t="shared" si="10"/>
        <v>-1.1699304889824558</v>
      </c>
      <c r="AB97" s="34">
        <f t="shared" si="12"/>
        <v>52.69745314372702</v>
      </c>
      <c r="AC97" s="34">
        <f t="shared" si="12"/>
        <v>90.87771180258278</v>
      </c>
    </row>
    <row r="98" spans="17:29" ht="15.75" customHeight="1">
      <c r="Q98" s="7">
        <v>9</v>
      </c>
      <c r="R98" s="7">
        <f t="shared" si="3"/>
        <v>40.5</v>
      </c>
      <c r="S98" s="28">
        <f t="shared" si="13"/>
        <v>254.46900494077323</v>
      </c>
      <c r="T98" s="34">
        <f t="shared" si="5"/>
        <v>15.85543824127344</v>
      </c>
      <c r="U98" s="34">
        <f t="shared" si="6"/>
        <v>-1.2355926216299788</v>
      </c>
      <c r="V98" s="34">
        <f t="shared" si="7"/>
        <v>36.34593449880909</v>
      </c>
      <c r="W98" s="34">
        <f t="shared" si="8"/>
        <v>92.16798001503919</v>
      </c>
      <c r="X98" s="34">
        <f t="shared" si="11"/>
        <v>52.20137274008253</v>
      </c>
      <c r="Y98" s="34">
        <f t="shared" si="11"/>
        <v>90.93238739340921</v>
      </c>
      <c r="Z98" s="34">
        <f t="shared" si="9"/>
        <v>15.855504214035605</v>
      </c>
      <c r="AA98" s="34">
        <f t="shared" si="10"/>
        <v>-1.2387297598513014</v>
      </c>
      <c r="AB98" s="34">
        <f t="shared" si="12"/>
        <v>52.2014387128447</v>
      </c>
      <c r="AC98" s="34">
        <f t="shared" si="12"/>
        <v>90.9292502551879</v>
      </c>
    </row>
    <row r="99" spans="17:29" ht="15.75" customHeight="1">
      <c r="Q99" s="7">
        <v>9.5</v>
      </c>
      <c r="R99" s="7">
        <f t="shared" si="3"/>
        <v>42.75</v>
      </c>
      <c r="S99" s="28">
        <f t="shared" si="13"/>
        <v>268.6061718819273</v>
      </c>
      <c r="T99" s="34">
        <f t="shared" si="5"/>
        <v>15.855203980753716</v>
      </c>
      <c r="U99" s="34">
        <f t="shared" si="6"/>
        <v>-1.304213004836322</v>
      </c>
      <c r="V99" s="34">
        <f t="shared" si="7"/>
        <v>35.877022582754584</v>
      </c>
      <c r="W99" s="34">
        <f t="shared" si="8"/>
        <v>92.28829859266024</v>
      </c>
      <c r="X99" s="34">
        <f t="shared" si="11"/>
        <v>51.7322265635083</v>
      </c>
      <c r="Y99" s="34">
        <f t="shared" si="11"/>
        <v>90.98408558782391</v>
      </c>
      <c r="Z99" s="34">
        <f t="shared" si="9"/>
        <v>15.855277483487164</v>
      </c>
      <c r="AA99" s="34">
        <f t="shared" si="10"/>
        <v>-1.307525574436117</v>
      </c>
      <c r="AB99" s="34">
        <f t="shared" si="12"/>
        <v>51.73230006624175</v>
      </c>
      <c r="AC99" s="34">
        <f t="shared" si="12"/>
        <v>90.98077301822413</v>
      </c>
    </row>
    <row r="100" spans="2:29" ht="15.75" customHeight="1">
      <c r="B100" s="2" t="s">
        <v>36</v>
      </c>
      <c r="Q100" s="26">
        <v>1</v>
      </c>
      <c r="R100" s="26">
        <f aca="true" t="shared" si="14" ref="R100:R117">FSW*1000*Q100/10000</f>
        <v>45</v>
      </c>
      <c r="S100" s="47">
        <f t="shared" si="13"/>
        <v>282.7433388230814</v>
      </c>
      <c r="T100" s="48">
        <f t="shared" si="5"/>
        <v>15.854957071192837</v>
      </c>
      <c r="U100" s="48">
        <f t="shared" si="6"/>
        <v>-1.3728295544372555</v>
      </c>
      <c r="V100" s="48">
        <f t="shared" si="7"/>
        <v>35.43224294226322</v>
      </c>
      <c r="W100" s="48">
        <f t="shared" si="8"/>
        <v>92.40859696737657</v>
      </c>
      <c r="X100" s="48">
        <f t="shared" si="11"/>
        <v>51.28720001345606</v>
      </c>
      <c r="Y100" s="48">
        <f t="shared" si="11"/>
        <v>91.03576741293931</v>
      </c>
      <c r="Z100" s="34">
        <f t="shared" si="9"/>
        <v>15.85503851004584</v>
      </c>
      <c r="AA100" s="34">
        <f t="shared" si="10"/>
        <v>-1.376317741102011</v>
      </c>
      <c r="AB100" s="34">
        <f t="shared" si="12"/>
        <v>51.28728145230906</v>
      </c>
      <c r="AC100" s="34">
        <f t="shared" si="12"/>
        <v>91.03227922627455</v>
      </c>
    </row>
    <row r="101" spans="7:29" ht="15.75" customHeight="1">
      <c r="G101" s="6" t="s">
        <v>38</v>
      </c>
      <c r="I101" s="12">
        <v>23</v>
      </c>
      <c r="Q101" s="26">
        <v>1.5</v>
      </c>
      <c r="R101" s="26">
        <f t="shared" si="14"/>
        <v>67.5</v>
      </c>
      <c r="S101" s="47">
        <f t="shared" si="13"/>
        <v>424.11500823462205</v>
      </c>
      <c r="T101" s="48">
        <f t="shared" si="5"/>
        <v>15.851792808028476</v>
      </c>
      <c r="U101" s="48">
        <f t="shared" si="6"/>
        <v>-2.0587399517010407</v>
      </c>
      <c r="V101" s="48">
        <f t="shared" si="7"/>
        <v>31.919999353918747</v>
      </c>
      <c r="W101" s="48">
        <f t="shared" si="8"/>
        <v>93.61023783758513</v>
      </c>
      <c r="X101" s="48">
        <f t="shared" si="11"/>
        <v>47.771792161947225</v>
      </c>
      <c r="Y101" s="48">
        <f t="shared" si="11"/>
        <v>91.55149788588409</v>
      </c>
      <c r="Z101" s="34">
        <f t="shared" si="9"/>
        <v>15.85197591231175</v>
      </c>
      <c r="AA101" s="34">
        <f t="shared" si="10"/>
        <v>-2.063996660813614</v>
      </c>
      <c r="AB101" s="34">
        <f t="shared" si="12"/>
        <v>47.7719752662305</v>
      </c>
      <c r="AC101" s="34">
        <f t="shared" si="12"/>
        <v>91.54624117677152</v>
      </c>
    </row>
    <row r="102" spans="7:29" ht="15.75" customHeight="1" thickBot="1">
      <c r="G102" s="49" t="s">
        <v>98</v>
      </c>
      <c r="I102" s="50">
        <f>2*3.14*RS*10*COUT*10^-6*RFB2*FCROSS*1000</f>
        <v>9741.011934</v>
      </c>
      <c r="Q102" s="26">
        <v>2</v>
      </c>
      <c r="R102" s="26">
        <f t="shared" si="14"/>
        <v>90</v>
      </c>
      <c r="S102" s="47">
        <f t="shared" si="13"/>
        <v>565.4866776461628</v>
      </c>
      <c r="T102" s="48">
        <f t="shared" si="5"/>
        <v>15.847366712418879</v>
      </c>
      <c r="U102" s="48">
        <f t="shared" si="6"/>
        <v>-2.744046080327326</v>
      </c>
      <c r="V102" s="48">
        <f t="shared" si="7"/>
        <v>29.43460343650369</v>
      </c>
      <c r="W102" s="48">
        <f t="shared" si="8"/>
        <v>94.80870528781574</v>
      </c>
      <c r="X102" s="48">
        <f t="shared" si="11"/>
        <v>45.28197014892257</v>
      </c>
      <c r="Y102" s="48">
        <f t="shared" si="11"/>
        <v>92.06465920748842</v>
      </c>
      <c r="Z102" s="34">
        <f t="shared" si="9"/>
        <v>15.847691900353496</v>
      </c>
      <c r="AA102" s="34">
        <f t="shared" si="10"/>
        <v>-2.751100548440381</v>
      </c>
      <c r="AB102" s="34">
        <f t="shared" si="12"/>
        <v>45.28229533685719</v>
      </c>
      <c r="AC102" s="34">
        <f t="shared" si="12"/>
        <v>92.05760473937536</v>
      </c>
    </row>
    <row r="103" spans="7:29" ht="15.75" customHeight="1" thickBot="1">
      <c r="G103" s="49" t="s">
        <v>166</v>
      </c>
      <c r="I103" s="52">
        <v>12400</v>
      </c>
      <c r="Q103" s="26">
        <v>2.5</v>
      </c>
      <c r="R103" s="26">
        <f t="shared" si="14"/>
        <v>112.5</v>
      </c>
      <c r="S103" s="47">
        <f t="shared" si="13"/>
        <v>706.8583470577034</v>
      </c>
      <c r="T103" s="48">
        <f t="shared" si="5"/>
        <v>15.841682643663532</v>
      </c>
      <c r="U103" s="48">
        <f t="shared" si="6"/>
        <v>-3.428548158334467</v>
      </c>
      <c r="V103" s="48">
        <f t="shared" si="7"/>
        <v>27.513544170583565</v>
      </c>
      <c r="W103" s="48">
        <f t="shared" si="8"/>
        <v>96.00296748361346</v>
      </c>
      <c r="X103" s="48">
        <f t="shared" si="11"/>
        <v>43.3552268142471</v>
      </c>
      <c r="Y103" s="48">
        <f t="shared" si="11"/>
        <v>92.574419325279</v>
      </c>
      <c r="Z103" s="34">
        <f t="shared" si="9"/>
        <v>15.842190086796368</v>
      </c>
      <c r="AA103" s="34">
        <f t="shared" si="10"/>
        <v>-3.4374392373796883</v>
      </c>
      <c r="AB103" s="34">
        <f t="shared" si="12"/>
        <v>43.355734257379936</v>
      </c>
      <c r="AC103" s="34">
        <f t="shared" si="12"/>
        <v>92.56552824623377</v>
      </c>
    </row>
    <row r="104" spans="7:29" ht="15.75" customHeight="1" thickBot="1">
      <c r="G104" s="49" t="s">
        <v>97</v>
      </c>
      <c r="I104" s="53">
        <f>VOUT/IOUT*COUT*10^-6/RCOMP*10^12</f>
        <v>7266.1290322580635</v>
      </c>
      <c r="Q104" s="26">
        <v>3</v>
      </c>
      <c r="R104" s="26">
        <f t="shared" si="14"/>
        <v>135</v>
      </c>
      <c r="S104" s="47">
        <f t="shared" si="13"/>
        <v>848.2300164692441</v>
      </c>
      <c r="T104" s="48">
        <f t="shared" si="5"/>
        <v>15.834745544495847</v>
      </c>
      <c r="U104" s="48">
        <f t="shared" si="6"/>
        <v>-4.112047801031014</v>
      </c>
      <c r="V104" s="48">
        <f t="shared" si="7"/>
        <v>25.95077789339772</v>
      </c>
      <c r="W104" s="48">
        <f t="shared" si="8"/>
        <v>97.19201441516633</v>
      </c>
      <c r="X104" s="48">
        <f t="shared" si="11"/>
        <v>41.785523437893566</v>
      </c>
      <c r="Y104" s="48">
        <f t="shared" si="11"/>
        <v>93.07996661413532</v>
      </c>
      <c r="Z104" s="34">
        <f t="shared" si="9"/>
        <v>15.83547509903373</v>
      </c>
      <c r="AA104" s="34">
        <f t="shared" si="10"/>
        <v>-4.1228238477755115</v>
      </c>
      <c r="AB104" s="34">
        <f t="shared" si="12"/>
        <v>41.78625299243145</v>
      </c>
      <c r="AC104" s="34">
        <f t="shared" si="12"/>
        <v>93.06919056739082</v>
      </c>
    </row>
    <row r="105" spans="7:29" ht="15.75" customHeight="1" thickBot="1">
      <c r="G105" s="49" t="s">
        <v>167</v>
      </c>
      <c r="I105" s="52">
        <v>12000</v>
      </c>
      <c r="Q105" s="26">
        <v>3.5</v>
      </c>
      <c r="R105" s="26">
        <f t="shared" si="14"/>
        <v>157.5</v>
      </c>
      <c r="S105" s="47">
        <f t="shared" si="13"/>
        <v>989.6016858807849</v>
      </c>
      <c r="T105" s="48">
        <f t="shared" si="5"/>
        <v>15.826561426826713</v>
      </c>
      <c r="U105" s="48">
        <f t="shared" si="6"/>
        <v>-4.794348358934523</v>
      </c>
      <c r="V105" s="48">
        <f t="shared" si="7"/>
        <v>24.636364756984005</v>
      </c>
      <c r="W105" s="48">
        <f t="shared" si="8"/>
        <v>98.37486281943535</v>
      </c>
      <c r="X105" s="48">
        <f t="shared" si="11"/>
        <v>40.462926183810715</v>
      </c>
      <c r="Y105" s="48">
        <f t="shared" si="11"/>
        <v>93.58051446050082</v>
      </c>
      <c r="Z105" s="34">
        <f t="shared" si="9"/>
        <v>15.827552566310274</v>
      </c>
      <c r="AA105" s="34">
        <f t="shared" si="10"/>
        <v>-4.807067098043822</v>
      </c>
      <c r="AB105" s="34">
        <f t="shared" si="12"/>
        <v>40.46391732329428</v>
      </c>
      <c r="AC105" s="34">
        <f t="shared" si="12"/>
        <v>93.56779572139153</v>
      </c>
    </row>
    <row r="106" spans="7:29" ht="15.75" customHeight="1">
      <c r="G106" s="92" t="s">
        <v>207</v>
      </c>
      <c r="I106" s="53">
        <f>IF(FCROSS*1000&lt;(Fz_esr/10),"NU",RESR*COUT*10^-6*CCOMP*10^-12/(RCOMP*CCOMP*10^-12-RESR*COUT*10^-6)*10^12)</f>
        <v>147.10404223186708</v>
      </c>
      <c r="K106" s="9" t="s">
        <v>190</v>
      </c>
      <c r="Q106" s="26">
        <v>4</v>
      </c>
      <c r="R106" s="26">
        <f t="shared" si="14"/>
        <v>180</v>
      </c>
      <c r="S106" s="47">
        <f t="shared" si="13"/>
        <v>1130.9733552923256</v>
      </c>
      <c r="T106" s="48">
        <f t="shared" si="5"/>
        <v>15.817137354496936</v>
      </c>
      <c r="U106" s="48">
        <f t="shared" si="6"/>
        <v>-5.475255248223432</v>
      </c>
      <c r="V106" s="48">
        <f t="shared" si="7"/>
        <v>23.50465019258834</v>
      </c>
      <c r="W106" s="48">
        <f t="shared" si="8"/>
        <v>99.5505607652072</v>
      </c>
      <c r="X106" s="48">
        <f t="shared" si="11"/>
        <v>39.32178754708528</v>
      </c>
      <c r="Y106" s="48">
        <f t="shared" si="11"/>
        <v>94.07530551698376</v>
      </c>
      <c r="Z106" s="34">
        <f t="shared" si="9"/>
        <v>15.818429104089605</v>
      </c>
      <c r="AA106" s="34">
        <f t="shared" si="10"/>
        <v>-5.489983609740763</v>
      </c>
      <c r="AB106" s="34">
        <f t="shared" si="12"/>
        <v>39.323079296677946</v>
      </c>
      <c r="AC106" s="34">
        <f t="shared" si="12"/>
        <v>94.06057715546643</v>
      </c>
    </row>
    <row r="107" spans="7:29" ht="15.75" customHeight="1" thickBot="1">
      <c r="G107" s="92" t="s">
        <v>208</v>
      </c>
      <c r="I107" s="50">
        <f>IF(FCROSS*1000&lt;(Fz_esr/10),"NU",RESR/10*COUT*10^-6*CCOMP*10^-12/(RCOMP*CCOMP*10^-12-RESR/10*COUT*10^-6)*10^12)</f>
        <v>14.549878280013836</v>
      </c>
      <c r="Q107" s="26">
        <v>4.5</v>
      </c>
      <c r="R107" s="26">
        <f t="shared" si="14"/>
        <v>202.5</v>
      </c>
      <c r="S107" s="47">
        <f t="shared" si="13"/>
        <v>1272.345024703866</v>
      </c>
      <c r="T107" s="48">
        <f t="shared" si="5"/>
        <v>15.806481423141426</v>
      </c>
      <c r="U107" s="48">
        <f t="shared" si="6"/>
        <v>-6.15457627236187</v>
      </c>
      <c r="V107" s="48">
        <f t="shared" si="7"/>
        <v>22.51325540127873</v>
      </c>
      <c r="W107" s="48">
        <f t="shared" si="8"/>
        <v>100.7181918516441</v>
      </c>
      <c r="X107" s="48">
        <f t="shared" si="11"/>
        <v>38.319736824420154</v>
      </c>
      <c r="Y107" s="48">
        <f t="shared" si="11"/>
        <v>94.56361557928223</v>
      </c>
      <c r="Z107" s="34">
        <f t="shared" si="9"/>
        <v>15.808112295797281</v>
      </c>
      <c r="AA107" s="34">
        <f t="shared" si="10"/>
        <v>-6.171390204557029</v>
      </c>
      <c r="AB107" s="34">
        <f t="shared" si="12"/>
        <v>38.32136769707601</v>
      </c>
      <c r="AC107" s="34">
        <f t="shared" si="12"/>
        <v>94.54680164708707</v>
      </c>
    </row>
    <row r="108" spans="7:29" ht="15.75" customHeight="1" thickBot="1">
      <c r="G108" s="92" t="s">
        <v>209</v>
      </c>
      <c r="I108" s="52">
        <v>2.7</v>
      </c>
      <c r="Q108" s="26">
        <v>5</v>
      </c>
      <c r="R108" s="26">
        <f t="shared" si="14"/>
        <v>225</v>
      </c>
      <c r="S108" s="47">
        <f t="shared" si="13"/>
        <v>1413.7166941154069</v>
      </c>
      <c r="T108" s="48">
        <f t="shared" si="5"/>
        <v>15.79460273728482</v>
      </c>
      <c r="U108" s="48">
        <f t="shared" si="6"/>
        <v>-6.832121933607056</v>
      </c>
      <c r="V108" s="48">
        <f t="shared" si="7"/>
        <v>21.633214518059717</v>
      </c>
      <c r="W108" s="48">
        <f t="shared" si="8"/>
        <v>101.87687897957815</v>
      </c>
      <c r="X108" s="48">
        <f t="shared" si="11"/>
        <v>37.427817255344536</v>
      </c>
      <c r="Y108" s="48">
        <f t="shared" si="11"/>
        <v>95.0447570459711</v>
      </c>
      <c r="Z108" s="34">
        <f t="shared" si="9"/>
        <v>15.796610672043558</v>
      </c>
      <c r="AA108" s="34">
        <f t="shared" si="10"/>
        <v>-6.851106192282345</v>
      </c>
      <c r="AB108" s="34">
        <f t="shared" si="12"/>
        <v>37.42982519010327</v>
      </c>
      <c r="AC108" s="34">
        <f t="shared" si="12"/>
        <v>95.02577278729581</v>
      </c>
    </row>
    <row r="109" spans="17:29" ht="15.75" customHeight="1">
      <c r="Q109" s="26">
        <v>5.5</v>
      </c>
      <c r="R109" s="26">
        <f t="shared" si="14"/>
        <v>247.5</v>
      </c>
      <c r="S109" s="47">
        <f t="shared" si="13"/>
        <v>1555.0883635269477</v>
      </c>
      <c r="T109" s="48">
        <f t="shared" si="5"/>
        <v>15.781511384802853</v>
      </c>
      <c r="U109" s="48">
        <f t="shared" si="6"/>
        <v>-7.507705733188788</v>
      </c>
      <c r="V109" s="48">
        <f t="shared" si="7"/>
        <v>20.843838037608165</v>
      </c>
      <c r="W109" s="48">
        <f t="shared" si="8"/>
        <v>103.02578766404493</v>
      </c>
      <c r="X109" s="48">
        <f t="shared" si="11"/>
        <v>36.62534942241102</v>
      </c>
      <c r="Y109" s="48">
        <f t="shared" si="11"/>
        <v>95.51808193085614</v>
      </c>
      <c r="Z109" s="34">
        <f t="shared" si="9"/>
        <v>15.783933687444552</v>
      </c>
      <c r="AA109" s="34">
        <f t="shared" si="10"/>
        <v>-7.528953648652281</v>
      </c>
      <c r="AB109" s="34">
        <f t="shared" si="12"/>
        <v>36.62777172505272</v>
      </c>
      <c r="AC109" s="34">
        <f t="shared" si="12"/>
        <v>95.49683401539265</v>
      </c>
    </row>
    <row r="110" spans="2:29" ht="15.75" customHeight="1">
      <c r="B110" s="56" t="s">
        <v>39</v>
      </c>
      <c r="Q110" s="26">
        <v>6</v>
      </c>
      <c r="R110" s="26">
        <f t="shared" si="14"/>
        <v>270</v>
      </c>
      <c r="S110" s="47">
        <f t="shared" si="13"/>
        <v>1696.4600329384882</v>
      </c>
      <c r="T110" s="48">
        <f t="shared" si="5"/>
        <v>15.767218408897572</v>
      </c>
      <c r="U110" s="48">
        <f t="shared" si="6"/>
        <v>-8.18114445903582</v>
      </c>
      <c r="V110" s="48">
        <f t="shared" si="7"/>
        <v>20.129821045410935</v>
      </c>
      <c r="W110" s="48">
        <f t="shared" si="8"/>
        <v>104.16412886608147</v>
      </c>
      <c r="X110" s="48">
        <f t="shared" si="11"/>
        <v>35.897039454308505</v>
      </c>
      <c r="Y110" s="48">
        <f t="shared" si="11"/>
        <v>95.98298440704565</v>
      </c>
      <c r="Z110" s="34">
        <f t="shared" si="9"/>
        <v>15.770091695171644</v>
      </c>
      <c r="AA110" s="34">
        <f t="shared" si="10"/>
        <v>-8.204757682065862</v>
      </c>
      <c r="AB110" s="34">
        <f t="shared" si="12"/>
        <v>35.89991274058258</v>
      </c>
      <c r="AC110" s="34">
        <f t="shared" si="12"/>
        <v>95.95937118401561</v>
      </c>
    </row>
    <row r="111" spans="7:29" ht="15.75" customHeight="1">
      <c r="G111" s="6" t="s">
        <v>41</v>
      </c>
      <c r="I111" s="10">
        <v>25</v>
      </c>
      <c r="Q111" s="26">
        <v>6.5</v>
      </c>
      <c r="R111" s="26">
        <f t="shared" si="14"/>
        <v>292.5</v>
      </c>
      <c r="S111" s="47">
        <f t="shared" si="13"/>
        <v>1837.831702350029</v>
      </c>
      <c r="T111" s="48">
        <f t="shared" si="5"/>
        <v>15.75173577774688</v>
      </c>
      <c r="U111" s="48">
        <f t="shared" si="6"/>
        <v>-8.852258460022643</v>
      </c>
      <c r="V111" s="48">
        <f t="shared" si="7"/>
        <v>19.47951321345525</v>
      </c>
      <c r="W111" s="48">
        <f t="shared" si="8"/>
        <v>105.29116133130564</v>
      </c>
      <c r="X111" s="48">
        <f t="shared" si="11"/>
        <v>35.23124899120213</v>
      </c>
      <c r="Y111" s="48">
        <f t="shared" si="11"/>
        <v>96.438902871283</v>
      </c>
      <c r="Z111" s="34">
        <f t="shared" si="9"/>
        <v>15.755095919370625</v>
      </c>
      <c r="AA111" s="34">
        <f t="shared" si="10"/>
        <v>-8.878346688243438</v>
      </c>
      <c r="AB111" s="34">
        <f t="shared" si="12"/>
        <v>35.234609132825874</v>
      </c>
      <c r="AC111" s="34">
        <f t="shared" si="12"/>
        <v>96.4128146430622</v>
      </c>
    </row>
    <row r="112" spans="7:29" ht="15.75" customHeight="1">
      <c r="G112" s="6" t="s">
        <v>42</v>
      </c>
      <c r="I112" s="60" t="s">
        <v>84</v>
      </c>
      <c r="Q112" s="26">
        <v>7</v>
      </c>
      <c r="R112" s="26">
        <f t="shared" si="14"/>
        <v>315</v>
      </c>
      <c r="S112" s="47">
        <f t="shared" si="13"/>
        <v>1979.2033717615698</v>
      </c>
      <c r="T112" s="48">
        <f t="shared" si="5"/>
        <v>15.735076351999256</v>
      </c>
      <c r="U112" s="48">
        <f t="shared" si="6"/>
        <v>-9.520871905806795</v>
      </c>
      <c r="V112" s="48">
        <f t="shared" si="7"/>
        <v>18.88383201697056</v>
      </c>
      <c r="W112" s="48">
        <f t="shared" si="8"/>
        <v>106.40619343199353</v>
      </c>
      <c r="X112" s="48">
        <f t="shared" si="11"/>
        <v>34.61890836896981</v>
      </c>
      <c r="Y112" s="48">
        <f t="shared" si="11"/>
        <v>96.88532152618673</v>
      </c>
      <c r="Z112" s="34">
        <f t="shared" si="9"/>
        <v>15.738958425601265</v>
      </c>
      <c r="AA112" s="34">
        <f t="shared" si="10"/>
        <v>-9.549552591983302</v>
      </c>
      <c r="AB112" s="34">
        <f t="shared" si="12"/>
        <v>34.62279044257183</v>
      </c>
      <c r="AC112" s="34">
        <f t="shared" si="12"/>
        <v>96.85664084001023</v>
      </c>
    </row>
    <row r="113" spans="7:29" ht="15.75" customHeight="1">
      <c r="G113" s="6" t="str">
        <f>IF(EXT="YES","External VCC supply voltage [V]","")</f>
        <v>External VCC supply voltage [V]</v>
      </c>
      <c r="I113" s="10">
        <v>12</v>
      </c>
      <c r="Q113" s="26">
        <v>7.5</v>
      </c>
      <c r="R113" s="26">
        <f t="shared" si="14"/>
        <v>337.5</v>
      </c>
      <c r="S113" s="47">
        <f t="shared" si="13"/>
        <v>2120.5750411731105</v>
      </c>
      <c r="T113" s="48">
        <f t="shared" si="5"/>
        <v>15.717253850293979</v>
      </c>
      <c r="U113" s="48">
        <f t="shared" si="6"/>
        <v>-10.186813031435522</v>
      </c>
      <c r="V113" s="48">
        <f t="shared" si="7"/>
        <v>18.335552048854037</v>
      </c>
      <c r="W113" s="48">
        <f t="shared" si="8"/>
        <v>107.50858451801145</v>
      </c>
      <c r="X113" s="48">
        <f t="shared" si="11"/>
        <v>34.05280589914801</v>
      </c>
      <c r="Y113" s="48">
        <f t="shared" si="11"/>
        <v>97.32177148657593</v>
      </c>
      <c r="Z113" s="34">
        <f t="shared" si="9"/>
        <v>15.72169208945624</v>
      </c>
      <c r="AA113" s="34">
        <f t="shared" si="10"/>
        <v>-10.218211075266241</v>
      </c>
      <c r="AB113" s="34">
        <f t="shared" si="12"/>
        <v>34.05724413831028</v>
      </c>
      <c r="AC113" s="34">
        <f t="shared" si="12"/>
        <v>97.2903734427452</v>
      </c>
    </row>
    <row r="114" spans="7:29" ht="15.75" customHeight="1">
      <c r="G114" s="6" t="s">
        <v>99</v>
      </c>
      <c r="I114" s="10">
        <v>3250</v>
      </c>
      <c r="Q114" s="26">
        <v>8</v>
      </c>
      <c r="R114" s="26">
        <f t="shared" si="14"/>
        <v>360</v>
      </c>
      <c r="S114" s="47">
        <f t="shared" si="13"/>
        <v>2261.946710584651</v>
      </c>
      <c r="T114" s="48">
        <f aca="true" t="shared" si="15" ref="T114:T145">20*LOG(Am*IMABS(IMDIV(IMDIV(IMDIV(COMPLEX(1,S114/wz_esr),COMPLEX(1,S114/wp_lf)),COMPLEX(1,S114/wp_esr)),COMPLEX(1-S114^2/(wn^2),S114/wp_hf))))</f>
        <v>15.69828281299431</v>
      </c>
      <c r="U114" s="48">
        <f aca="true" t="shared" si="16" ref="U114:U145">IMARGUMENT(IMDIV(IMDIV(IMDIV(COMPLEX(1,S114/wz_esr),COMPLEX(1,S114/wp_lf)),COMPLEX(1,S114/wp_esr)),COMPLEX(1-S114^2/(wn^2),S114/wp_hf)))*180/PI()</f>
        <v>-10.849914366009862</v>
      </c>
      <c r="V114" s="48">
        <f aca="true" t="shared" si="17" ref="V114:V145">20*LOG(Afb*IMABS(IMDIV(IMDIV(COMPLEX(1,S114/wz_ea),COMPLEX(1,S114/wp_ea)),COMPLEX(0,S114))))</f>
        <v>17.828824389544902</v>
      </c>
      <c r="W114" s="48">
        <f aca="true" t="shared" si="18" ref="W114:W145">IMARGUMENT(IMDIV(IMDIV(COMPLEX(-1,-S114/wz_ea),COMPLEX(1,S114/wp_ea)),COMPLEX(0,S114)))*180/PI()</f>
        <v>108.59774578984889</v>
      </c>
      <c r="X114" s="48">
        <f t="shared" si="11"/>
        <v>33.52710720253921</v>
      </c>
      <c r="Y114" s="48">
        <f t="shared" si="11"/>
        <v>97.74783142383902</v>
      </c>
      <c r="Z114" s="34">
        <f aca="true" t="shared" si="19" ref="Z114:Z145">20*LOG(Am*IMABS(IMDIV(IMDIV(IMDIV(COMPLEX(1,S114/wz_esr2),COMPLEX(1,S114/wp_lf2)),COMPLEX(1,S114/wp_esr2)),COMPLEX(1-S114^2/(wn^2),S114/wp_hf))))</f>
        <v>15.703310563525406</v>
      </c>
      <c r="AA114" s="34">
        <f aca="true" t="shared" si="20" ref="AA114:AA145">IMARGUMENT(IMDIV(IMDIV(IMDIV(COMPLEX(1,S114/wz_esr2),COMPLEX(1,S114/wp_lf2)),COMPLEX(1,S114/wp_esr2)),COMPLEX(1-S114^2/(wn^2),S114/wp_hf)))*180/PI()</f>
        <v>-10.884161791054904</v>
      </c>
      <c r="AB114" s="34">
        <f t="shared" si="12"/>
        <v>33.53213495307031</v>
      </c>
      <c r="AC114" s="34">
        <f t="shared" si="12"/>
        <v>97.71358399879398</v>
      </c>
    </row>
    <row r="115" spans="7:29" ht="15.75" customHeight="1">
      <c r="G115" s="6" t="s">
        <v>100</v>
      </c>
      <c r="I115" s="10">
        <v>250</v>
      </c>
      <c r="Q115" s="26">
        <v>8.5</v>
      </c>
      <c r="R115" s="26">
        <f t="shared" si="14"/>
        <v>382.5</v>
      </c>
      <c r="S115" s="47">
        <f t="shared" si="13"/>
        <v>2403.3183799961917</v>
      </c>
      <c r="T115" s="48">
        <f t="shared" si="15"/>
        <v>15.678178564326766</v>
      </c>
      <c r="U115" s="48">
        <f t="shared" si="16"/>
        <v>-11.510012944804835</v>
      </c>
      <c r="V115" s="48">
        <f t="shared" si="17"/>
        <v>17.358842142979018</v>
      </c>
      <c r="W115" s="48">
        <f t="shared" si="18"/>
        <v>109.67314071396737</v>
      </c>
      <c r="X115" s="48">
        <f t="shared" si="11"/>
        <v>33.037020707305786</v>
      </c>
      <c r="Y115" s="48">
        <f t="shared" si="11"/>
        <v>98.16312776916254</v>
      </c>
      <c r="Z115" s="34">
        <f t="shared" si="19"/>
        <v>15.683828242876299</v>
      </c>
      <c r="AA115" s="34">
        <f t="shared" si="20"/>
        <v>-11.547248562228742</v>
      </c>
      <c r="AB115" s="34">
        <f t="shared" si="12"/>
        <v>33.04267038585532</v>
      </c>
      <c r="AC115" s="34">
        <f t="shared" si="12"/>
        <v>98.12589215173863</v>
      </c>
    </row>
    <row r="116" spans="7:29" ht="15.75" customHeight="1">
      <c r="G116" s="6" t="s">
        <v>101</v>
      </c>
      <c r="I116" s="10">
        <v>3250</v>
      </c>
      <c r="Q116" s="26">
        <v>9</v>
      </c>
      <c r="R116" s="26">
        <f t="shared" si="14"/>
        <v>405</v>
      </c>
      <c r="S116" s="47">
        <f t="shared" si="13"/>
        <v>2544.690049407732</v>
      </c>
      <c r="T116" s="48">
        <f t="shared" si="15"/>
        <v>15.656957173124251</v>
      </c>
      <c r="U116" s="48">
        <f t="shared" si="16"/>
        <v>-12.16695050436008</v>
      </c>
      <c r="V116" s="48">
        <f t="shared" si="17"/>
        <v>16.92160189630941</v>
      </c>
      <c r="W116" s="48">
        <f t="shared" si="18"/>
        <v>110.73428500663285</v>
      </c>
      <c r="X116" s="48">
        <f t="shared" si="11"/>
        <v>32.578559069433666</v>
      </c>
      <c r="Y116" s="48">
        <f t="shared" si="11"/>
        <v>98.56733450227276</v>
      </c>
      <c r="Z116" s="34">
        <f t="shared" si="19"/>
        <v>15.663260229226134</v>
      </c>
      <c r="AA116" s="34">
        <f t="shared" si="20"/>
        <v>-12.207319565198773</v>
      </c>
      <c r="AB116" s="34">
        <f t="shared" si="12"/>
        <v>32.584862125535544</v>
      </c>
      <c r="AC116" s="34">
        <f t="shared" si="12"/>
        <v>98.52696544143407</v>
      </c>
    </row>
    <row r="117" spans="7:29" ht="15.75" customHeight="1">
      <c r="G117" s="6" t="s">
        <v>102</v>
      </c>
      <c r="I117" s="10">
        <v>250</v>
      </c>
      <c r="Q117" s="26">
        <v>9.5</v>
      </c>
      <c r="R117" s="26">
        <f t="shared" si="14"/>
        <v>427.5</v>
      </c>
      <c r="S117" s="47">
        <f t="shared" si="13"/>
        <v>2686.061718819273</v>
      </c>
      <c r="T117" s="48">
        <f t="shared" si="15"/>
        <v>15.634635412372326</v>
      </c>
      <c r="U117" s="48">
        <f t="shared" si="16"/>
        <v>-12.820573660167195</v>
      </c>
      <c r="V117" s="48">
        <f t="shared" si="17"/>
        <v>16.513729916525335</v>
      </c>
      <c r="W117" s="48">
        <f t="shared" si="18"/>
        <v>111.78074621724105</v>
      </c>
      <c r="X117" s="48">
        <f t="shared" si="11"/>
        <v>32.14836532889766</v>
      </c>
      <c r="Y117" s="48">
        <f t="shared" si="11"/>
        <v>98.96017255707385</v>
      </c>
      <c r="Z117" s="34">
        <f t="shared" si="19"/>
        <v>15.641622293982728</v>
      </c>
      <c r="AA117" s="34">
        <f t="shared" si="20"/>
        <v>-12.864227497844297</v>
      </c>
      <c r="AB117" s="34">
        <f t="shared" si="12"/>
        <v>32.15535221050806</v>
      </c>
      <c r="AC117" s="34">
        <f t="shared" si="12"/>
        <v>98.91651871939675</v>
      </c>
    </row>
    <row r="118" spans="7:29" ht="15.75" customHeight="1">
      <c r="G118" s="6" t="s">
        <v>40</v>
      </c>
      <c r="I118" s="21" t="e">
        <f>IF(EXT="Yes",VINMAX*(Ivin_oper+vrt/(RT*1000))+EXTVCC*(7.6/rvcc+ivcc+7.6*FSW*1000*(CGS_H+CGS_L)*10^-12+VINMAX*FSW*1000*(CGD_H+CGD_L)*10^-12),VINMAX*(Ivin_oper+vrt/(RT*1000)+7.6/rvcc+ivcc+7.6*FSW*1000*(CGS_H+CGS_L)*10^-12+VINMAX*FSW*1000*(CGD_H+CGD_L)*10^-12))</f>
        <v>#NAME?</v>
      </c>
      <c r="Q118" s="26">
        <v>1</v>
      </c>
      <c r="R118" s="26">
        <f aca="true" t="shared" si="21" ref="R118:R135">FSW*1000*Q118/1000</f>
        <v>450</v>
      </c>
      <c r="S118" s="47">
        <f t="shared" si="13"/>
        <v>2827.4333882308138</v>
      </c>
      <c r="T118" s="48">
        <f t="shared" si="15"/>
        <v>15.611230717759398</v>
      </c>
      <c r="U118" s="48">
        <f t="shared" si="16"/>
        <v>-13.470734066693213</v>
      </c>
      <c r="V118" s="48">
        <f t="shared" si="17"/>
        <v>16.13235311540938</v>
      </c>
      <c r="W118" s="48">
        <f t="shared" si="18"/>
        <v>112.81214294589563</v>
      </c>
      <c r="X118" s="48">
        <f t="shared" si="11"/>
        <v>31.743583833168778</v>
      </c>
      <c r="Y118" s="48">
        <f t="shared" si="11"/>
        <v>99.34140887920242</v>
      </c>
      <c r="Z118" s="34">
        <f t="shared" si="19"/>
        <v>15.618930840332645</v>
      </c>
      <c r="AA118" s="34">
        <f t="shared" si="20"/>
        <v>-13.517829731510632</v>
      </c>
      <c r="AB118" s="34">
        <f t="shared" si="12"/>
        <v>31.751283955742025</v>
      </c>
      <c r="AC118" s="34">
        <f t="shared" si="12"/>
        <v>99.294313214385</v>
      </c>
    </row>
    <row r="119" spans="7:29" ht="15.75" customHeight="1">
      <c r="G119" s="17" t="s">
        <v>200</v>
      </c>
      <c r="I119" s="29" t="e">
        <f>TAMB+PLOSSIC*theta_tssop</f>
        <v>#NAME?</v>
      </c>
      <c r="Q119" s="26">
        <v>1.5</v>
      </c>
      <c r="R119" s="26">
        <f t="shared" si="21"/>
        <v>675</v>
      </c>
      <c r="S119" s="47">
        <f t="shared" si="13"/>
        <v>4241.150082346221</v>
      </c>
      <c r="T119" s="48">
        <f t="shared" si="15"/>
        <v>15.321846364577784</v>
      </c>
      <c r="U119" s="48">
        <f t="shared" si="16"/>
        <v>-19.75308534588567</v>
      </c>
      <c r="V119" s="48">
        <f t="shared" si="17"/>
        <v>13.358634876373795</v>
      </c>
      <c r="W119" s="48">
        <f t="shared" si="18"/>
        <v>122.24719837651219</v>
      </c>
      <c r="X119" s="48">
        <f t="shared" si="11"/>
        <v>28.68048124095158</v>
      </c>
      <c r="Y119" s="48">
        <f t="shared" si="11"/>
        <v>102.49411303062652</v>
      </c>
      <c r="Z119" s="34">
        <f t="shared" si="19"/>
        <v>15.33805455129407</v>
      </c>
      <c r="AA119" s="34">
        <f t="shared" si="20"/>
        <v>-19.844225712111292</v>
      </c>
      <c r="AB119" s="34">
        <f t="shared" si="12"/>
        <v>28.696689427667863</v>
      </c>
      <c r="AC119" s="34">
        <f t="shared" si="12"/>
        <v>102.40297266440089</v>
      </c>
    </row>
    <row r="120" spans="9:29" ht="15.75" customHeight="1">
      <c r="I120" s="85"/>
      <c r="Q120" s="26">
        <v>2</v>
      </c>
      <c r="R120" s="26">
        <f t="shared" si="21"/>
        <v>900</v>
      </c>
      <c r="S120" s="47">
        <f t="shared" si="13"/>
        <v>5654.8667764616275</v>
      </c>
      <c r="T120" s="48">
        <f t="shared" si="15"/>
        <v>14.946625660020132</v>
      </c>
      <c r="U120" s="48">
        <f t="shared" si="16"/>
        <v>-25.566659327401457</v>
      </c>
      <c r="V120" s="48">
        <f t="shared" si="17"/>
        <v>11.72891297606692</v>
      </c>
      <c r="W120" s="48">
        <f t="shared" si="18"/>
        <v>130.06789354170004</v>
      </c>
      <c r="X120" s="48">
        <f t="shared" si="11"/>
        <v>26.675538636087055</v>
      </c>
      <c r="Y120" s="48">
        <f t="shared" si="11"/>
        <v>104.50123421429859</v>
      </c>
      <c r="Z120" s="34">
        <f t="shared" si="19"/>
        <v>14.973049383451649</v>
      </c>
      <c r="AA120" s="34">
        <f t="shared" si="20"/>
        <v>-25.721079856234955</v>
      </c>
      <c r="AB120" s="34">
        <f t="shared" si="12"/>
        <v>26.701962359518568</v>
      </c>
      <c r="AC120" s="34">
        <f t="shared" si="12"/>
        <v>104.3468136854651</v>
      </c>
    </row>
    <row r="121" spans="17:29" ht="15.75" customHeight="1">
      <c r="Q121" s="26">
        <v>2.5</v>
      </c>
      <c r="R121" s="26">
        <f t="shared" si="21"/>
        <v>1125</v>
      </c>
      <c r="S121" s="47">
        <f t="shared" si="13"/>
        <v>7068.583470577035</v>
      </c>
      <c r="T121" s="48">
        <f t="shared" si="15"/>
        <v>14.50746781278373</v>
      </c>
      <c r="U121" s="48">
        <f t="shared" si="16"/>
        <v>-30.853100728548778</v>
      </c>
      <c r="V121" s="48">
        <f t="shared" si="17"/>
        <v>10.700952365368126</v>
      </c>
      <c r="W121" s="48">
        <f t="shared" si="18"/>
        <v>136.432774890606</v>
      </c>
      <c r="X121" s="48">
        <f t="shared" si="11"/>
        <v>25.208420178151854</v>
      </c>
      <c r="Y121" s="48">
        <f t="shared" si="11"/>
        <v>105.57967416205722</v>
      </c>
      <c r="Z121" s="34">
        <f t="shared" si="19"/>
        <v>14.544763675548658</v>
      </c>
      <c r="AA121" s="34">
        <f t="shared" si="20"/>
        <v>-31.090062475087237</v>
      </c>
      <c r="AB121" s="34">
        <f t="shared" si="12"/>
        <v>25.245716040916783</v>
      </c>
      <c r="AC121" s="34">
        <f t="shared" si="12"/>
        <v>105.34271241551876</v>
      </c>
    </row>
    <row r="122" spans="17:29" ht="15.75" customHeight="1">
      <c r="Q122" s="26">
        <v>3</v>
      </c>
      <c r="R122" s="26">
        <f t="shared" si="21"/>
        <v>1350</v>
      </c>
      <c r="S122" s="47">
        <f t="shared" si="13"/>
        <v>8482.300164692442</v>
      </c>
      <c r="T122" s="48">
        <f t="shared" si="15"/>
        <v>14.024862522128576</v>
      </c>
      <c r="U122" s="48">
        <f t="shared" si="16"/>
        <v>-35.6000629694425</v>
      </c>
      <c r="V122" s="48">
        <f t="shared" si="17"/>
        <v>10.020268795113235</v>
      </c>
      <c r="W122" s="48">
        <f t="shared" si="18"/>
        <v>141.59434671840668</v>
      </c>
      <c r="X122" s="48">
        <f t="shared" si="11"/>
        <v>24.04513131724181</v>
      </c>
      <c r="Y122" s="48">
        <f t="shared" si="11"/>
        <v>105.9942837489642</v>
      </c>
      <c r="Z122" s="34">
        <f t="shared" si="19"/>
        <v>14.07287362914979</v>
      </c>
      <c r="AA122" s="34">
        <f t="shared" si="20"/>
        <v>-35.936656180684466</v>
      </c>
      <c r="AB122" s="34">
        <f t="shared" si="12"/>
        <v>24.093142424263025</v>
      </c>
      <c r="AC122" s="34">
        <f t="shared" si="12"/>
        <v>105.65769053772222</v>
      </c>
    </row>
    <row r="123" spans="3:29" ht="15.75" customHeight="1">
      <c r="C123" s="69" t="s">
        <v>83</v>
      </c>
      <c r="D123" s="70"/>
      <c r="E123" s="70"/>
      <c r="F123" s="70"/>
      <c r="G123" s="71"/>
      <c r="H123" s="72"/>
      <c r="I123" s="71"/>
      <c r="J123" s="72"/>
      <c r="K123" s="71"/>
      <c r="L123" s="71"/>
      <c r="M123" s="71"/>
      <c r="N123" s="73"/>
      <c r="Q123" s="26">
        <v>3.5</v>
      </c>
      <c r="R123" s="26">
        <f t="shared" si="21"/>
        <v>1575</v>
      </c>
      <c r="S123" s="47">
        <f t="shared" si="13"/>
        <v>9896.016858807849</v>
      </c>
      <c r="T123" s="48">
        <f t="shared" si="15"/>
        <v>13.51613120735073</v>
      </c>
      <c r="U123" s="48">
        <f t="shared" si="16"/>
        <v>-39.827697969313895</v>
      </c>
      <c r="V123" s="48">
        <f t="shared" si="17"/>
        <v>9.551514299776514</v>
      </c>
      <c r="W123" s="48">
        <f t="shared" si="18"/>
        <v>145.80041654831098</v>
      </c>
      <c r="X123" s="48">
        <f t="shared" si="11"/>
        <v>23.067645507127246</v>
      </c>
      <c r="Y123" s="48">
        <f t="shared" si="11"/>
        <v>105.97271857899707</v>
      </c>
      <c r="Z123" s="34">
        <f t="shared" si="19"/>
        <v>13.574171620289334</v>
      </c>
      <c r="AA123" s="34">
        <f t="shared" si="20"/>
        <v>-40.277844143974605</v>
      </c>
      <c r="AB123" s="34">
        <f t="shared" si="12"/>
        <v>23.125685920065848</v>
      </c>
      <c r="AC123" s="34">
        <f t="shared" si="12"/>
        <v>105.52257240433637</v>
      </c>
    </row>
    <row r="124" spans="3:29" ht="15.75" customHeight="1">
      <c r="C124" s="74" t="s">
        <v>78</v>
      </c>
      <c r="D124" s="75"/>
      <c r="E124" s="75"/>
      <c r="F124" s="75"/>
      <c r="G124" s="76"/>
      <c r="H124" s="77"/>
      <c r="I124" s="76"/>
      <c r="J124" s="77"/>
      <c r="K124" s="76"/>
      <c r="L124" s="76"/>
      <c r="M124" s="76"/>
      <c r="N124" s="78"/>
      <c r="Q124" s="26">
        <v>4</v>
      </c>
      <c r="R124" s="26">
        <f t="shared" si="21"/>
        <v>1800</v>
      </c>
      <c r="S124" s="47">
        <f t="shared" si="13"/>
        <v>11309.733552923255</v>
      </c>
      <c r="T124" s="48">
        <f t="shared" si="15"/>
        <v>12.994874591715337</v>
      </c>
      <c r="U124" s="48">
        <f t="shared" si="16"/>
        <v>-43.57532287076271</v>
      </c>
      <c r="V124" s="48">
        <f t="shared" si="17"/>
        <v>9.217745274039471</v>
      </c>
      <c r="W124" s="48">
        <f t="shared" si="18"/>
        <v>149.25883030484218</v>
      </c>
      <c r="X124" s="48">
        <f t="shared" si="11"/>
        <v>22.21261986575481</v>
      </c>
      <c r="Y124" s="48">
        <f t="shared" si="11"/>
        <v>105.68350743407947</v>
      </c>
      <c r="Z124" s="34">
        <f t="shared" si="19"/>
        <v>13.061975892218832</v>
      </c>
      <c r="AA124" s="34">
        <f t="shared" si="20"/>
        <v>-44.14966125580625</v>
      </c>
      <c r="AB124" s="34">
        <f t="shared" si="12"/>
        <v>22.279721166258305</v>
      </c>
      <c r="AC124" s="34">
        <f t="shared" si="12"/>
        <v>105.10916904903593</v>
      </c>
    </row>
    <row r="125" spans="3:29" ht="15.75" customHeight="1">
      <c r="C125" s="4" t="s">
        <v>79</v>
      </c>
      <c r="D125" s="75"/>
      <c r="E125" s="75"/>
      <c r="F125" s="75"/>
      <c r="G125" s="76"/>
      <c r="H125" s="77"/>
      <c r="I125" s="76"/>
      <c r="J125" s="77"/>
      <c r="K125" s="76"/>
      <c r="L125" s="76"/>
      <c r="M125" s="76"/>
      <c r="N125" s="78"/>
      <c r="Q125" s="26">
        <v>4.5</v>
      </c>
      <c r="R125" s="26">
        <f t="shared" si="21"/>
        <v>2025</v>
      </c>
      <c r="S125" s="47">
        <f t="shared" si="13"/>
        <v>12723.450247038661</v>
      </c>
      <c r="T125" s="48">
        <f t="shared" si="15"/>
        <v>12.47118261311633</v>
      </c>
      <c r="U125" s="48">
        <f t="shared" si="16"/>
        <v>-46.891018244102945</v>
      </c>
      <c r="V125" s="48">
        <f t="shared" si="17"/>
        <v>8.973130026272191</v>
      </c>
      <c r="W125" s="48">
        <f t="shared" si="18"/>
        <v>152.13292349830843</v>
      </c>
      <c r="X125" s="48">
        <f t="shared" si="11"/>
        <v>21.44431263938852</v>
      </c>
      <c r="Y125" s="48">
        <f t="shared" si="11"/>
        <v>105.24190525420548</v>
      </c>
      <c r="Z125" s="34">
        <f t="shared" si="19"/>
        <v>12.54627159236959</v>
      </c>
      <c r="AA125" s="34">
        <f t="shared" si="20"/>
        <v>-47.59727670673813</v>
      </c>
      <c r="AB125" s="34">
        <f t="shared" si="12"/>
        <v>21.51940161864178</v>
      </c>
      <c r="AC125" s="34">
        <f t="shared" si="12"/>
        <v>104.5356467915703</v>
      </c>
    </row>
    <row r="126" spans="3:29" ht="15.75" customHeight="1">
      <c r="C126" s="74" t="s">
        <v>80</v>
      </c>
      <c r="D126" s="75"/>
      <c r="E126" s="75"/>
      <c r="F126" s="75"/>
      <c r="G126" s="76"/>
      <c r="H126" s="77"/>
      <c r="I126" s="76"/>
      <c r="J126" s="77"/>
      <c r="K126" s="76"/>
      <c r="L126" s="76"/>
      <c r="M126" s="76"/>
      <c r="N126" s="78"/>
      <c r="Q126" s="26">
        <v>5</v>
      </c>
      <c r="R126" s="26">
        <f t="shared" si="21"/>
        <v>2250</v>
      </c>
      <c r="S126" s="47">
        <f t="shared" si="13"/>
        <v>14137.16694115407</v>
      </c>
      <c r="T126" s="48">
        <f t="shared" si="15"/>
        <v>11.952194475216869</v>
      </c>
      <c r="U126" s="48">
        <f t="shared" si="16"/>
        <v>-49.824690110912854</v>
      </c>
      <c r="V126" s="48">
        <f t="shared" si="17"/>
        <v>8.78930038773846</v>
      </c>
      <c r="W126" s="48">
        <f t="shared" si="18"/>
        <v>154.54772587939812</v>
      </c>
      <c r="X126" s="48">
        <f t="shared" si="11"/>
        <v>20.741494862955328</v>
      </c>
      <c r="Y126" s="48">
        <f t="shared" si="11"/>
        <v>104.72303576848526</v>
      </c>
      <c r="Z126" s="34">
        <f t="shared" si="19"/>
        <v>12.034204632980545</v>
      </c>
      <c r="AA126" s="34">
        <f t="shared" si="20"/>
        <v>-50.66823500682082</v>
      </c>
      <c r="AB126" s="34">
        <f t="shared" si="12"/>
        <v>20.823505020719004</v>
      </c>
      <c r="AC126" s="34">
        <f t="shared" si="12"/>
        <v>103.87949087257729</v>
      </c>
    </row>
    <row r="127" spans="3:29" ht="15.75" customHeight="1">
      <c r="C127" s="79" t="s">
        <v>81</v>
      </c>
      <c r="D127" s="80"/>
      <c r="E127" s="80"/>
      <c r="F127" s="80"/>
      <c r="G127" s="81"/>
      <c r="H127" s="82"/>
      <c r="I127" s="81"/>
      <c r="J127" s="82"/>
      <c r="K127" s="81"/>
      <c r="L127" s="81"/>
      <c r="M127" s="81"/>
      <c r="N127" s="83"/>
      <c r="Q127" s="26">
        <v>5.5</v>
      </c>
      <c r="R127" s="26">
        <f t="shared" si="21"/>
        <v>2475</v>
      </c>
      <c r="S127" s="47">
        <f t="shared" si="13"/>
        <v>15550.883635269476</v>
      </c>
      <c r="T127" s="48">
        <f t="shared" si="15"/>
        <v>11.442739186088515</v>
      </c>
      <c r="U127" s="48">
        <f t="shared" si="16"/>
        <v>-52.42402370020556</v>
      </c>
      <c r="V127" s="48">
        <f t="shared" si="17"/>
        <v>8.648096710866108</v>
      </c>
      <c r="W127" s="48">
        <f t="shared" si="18"/>
        <v>156.5982299074563</v>
      </c>
      <c r="X127" s="48">
        <f t="shared" si="11"/>
        <v>20.090835896954623</v>
      </c>
      <c r="Y127" s="48">
        <f t="shared" si="11"/>
        <v>104.17420620725073</v>
      </c>
      <c r="Z127" s="34">
        <f t="shared" si="19"/>
        <v>11.530671823881011</v>
      </c>
      <c r="AA127" s="34">
        <f t="shared" si="20"/>
        <v>-53.408412106155765</v>
      </c>
      <c r="AB127" s="34">
        <f t="shared" si="12"/>
        <v>20.17876853474712</v>
      </c>
      <c r="AC127" s="34">
        <f t="shared" si="12"/>
        <v>103.18981780130053</v>
      </c>
    </row>
    <row r="128" spans="2:29" ht="15.75" customHeight="1">
      <c r="B128" s="84"/>
      <c r="C128" s="75"/>
      <c r="D128" s="75"/>
      <c r="E128" s="75"/>
      <c r="F128" s="76"/>
      <c r="G128" s="77"/>
      <c r="H128" s="76"/>
      <c r="I128" s="77"/>
      <c r="J128" s="76"/>
      <c r="K128" s="76"/>
      <c r="L128" s="76"/>
      <c r="M128" s="76"/>
      <c r="Q128" s="26">
        <v>6</v>
      </c>
      <c r="R128" s="26">
        <f t="shared" si="21"/>
        <v>2700</v>
      </c>
      <c r="S128" s="47">
        <f t="shared" si="13"/>
        <v>16964.600329384884</v>
      </c>
      <c r="T128" s="48">
        <f t="shared" si="15"/>
        <v>10.945919958103627</v>
      </c>
      <c r="U128" s="48">
        <f t="shared" si="16"/>
        <v>-54.73246916223733</v>
      </c>
      <c r="V128" s="48">
        <f t="shared" si="17"/>
        <v>8.5375393306369</v>
      </c>
      <c r="W128" s="48">
        <f t="shared" si="18"/>
        <v>158.35675124742065</v>
      </c>
      <c r="X128" s="48">
        <f t="shared" si="11"/>
        <v>19.483459288740526</v>
      </c>
      <c r="Y128" s="48">
        <f t="shared" si="11"/>
        <v>103.62428208518332</v>
      </c>
      <c r="Z128" s="34">
        <f t="shared" si="19"/>
        <v>11.038871767343977</v>
      </c>
      <c r="AA128" s="34">
        <f t="shared" si="20"/>
        <v>-55.85992474931627</v>
      </c>
      <c r="AB128" s="34">
        <f t="shared" si="12"/>
        <v>19.576411097980877</v>
      </c>
      <c r="AC128" s="34">
        <f t="shared" si="12"/>
        <v>102.49682649810438</v>
      </c>
    </row>
    <row r="129" spans="17:29" ht="15.75" customHeight="1">
      <c r="Q129" s="26">
        <v>6.5</v>
      </c>
      <c r="R129" s="26">
        <f t="shared" si="21"/>
        <v>2925</v>
      </c>
      <c r="S129" s="47">
        <f t="shared" si="13"/>
        <v>18378.31702350029</v>
      </c>
      <c r="T129" s="48">
        <f t="shared" si="15"/>
        <v>10.46359274917658</v>
      </c>
      <c r="U129" s="48">
        <f t="shared" si="16"/>
        <v>-56.78849984269635</v>
      </c>
      <c r="V129" s="48">
        <f t="shared" si="17"/>
        <v>8.449508955078004</v>
      </c>
      <c r="W129" s="48">
        <f t="shared" si="18"/>
        <v>159.87871847628418</v>
      </c>
      <c r="X129" s="48">
        <f t="shared" si="11"/>
        <v>18.913101704254586</v>
      </c>
      <c r="Y129" s="48">
        <f t="shared" si="11"/>
        <v>103.09021863358782</v>
      </c>
      <c r="Z129" s="34">
        <f t="shared" si="19"/>
        <v>10.560763272667907</v>
      </c>
      <c r="AA129" s="34">
        <f t="shared" si="20"/>
        <v>-58.060290971497224</v>
      </c>
      <c r="AB129" s="34">
        <f t="shared" si="12"/>
        <v>19.01027222774591</v>
      </c>
      <c r="AC129" s="34">
        <f t="shared" si="12"/>
        <v>101.81842750478695</v>
      </c>
    </row>
    <row r="130" spans="17:29" ht="15.75" customHeight="1">
      <c r="Q130" s="26">
        <v>7</v>
      </c>
      <c r="R130" s="26">
        <f t="shared" si="21"/>
        <v>3150</v>
      </c>
      <c r="S130" s="47">
        <f t="shared" si="13"/>
        <v>19792.033717615697</v>
      </c>
      <c r="T130" s="48">
        <f t="shared" si="15"/>
        <v>9.99673470555067</v>
      </c>
      <c r="U130" s="48">
        <f t="shared" si="16"/>
        <v>-58.625593363042505</v>
      </c>
      <c r="V130" s="48">
        <f t="shared" si="17"/>
        <v>8.37836724631315</v>
      </c>
      <c r="W130" s="48">
        <f t="shared" si="18"/>
        <v>161.20700663733547</v>
      </c>
      <c r="X130" s="48">
        <f t="shared" si="11"/>
        <v>18.37510195186382</v>
      </c>
      <c r="Y130" s="48">
        <f t="shared" si="11"/>
        <v>102.58141327429297</v>
      </c>
      <c r="Z130" s="34">
        <f t="shared" si="19"/>
        <v>10.097422829872047</v>
      </c>
      <c r="AA130" s="34">
        <f t="shared" si="20"/>
        <v>-60.04231928981523</v>
      </c>
      <c r="AB130" s="34">
        <f t="shared" si="12"/>
        <v>18.4757900761852</v>
      </c>
      <c r="AC130" s="34">
        <f t="shared" si="12"/>
        <v>101.16468734752024</v>
      </c>
    </row>
    <row r="131" spans="17:29" ht="15.75" customHeight="1">
      <c r="Q131" s="26">
        <v>7.5</v>
      </c>
      <c r="R131" s="26">
        <f t="shared" si="21"/>
        <v>3375</v>
      </c>
      <c r="S131" s="47">
        <f t="shared" si="13"/>
        <v>21205.750411731104</v>
      </c>
      <c r="T131" s="48">
        <f t="shared" si="15"/>
        <v>9.545717233992832</v>
      </c>
      <c r="U131" s="48">
        <f t="shared" si="16"/>
        <v>-60.27257996980764</v>
      </c>
      <c r="V131" s="48">
        <f t="shared" si="17"/>
        <v>8.320112055418376</v>
      </c>
      <c r="W131" s="48">
        <f t="shared" si="18"/>
        <v>162.37511755756083</v>
      </c>
      <c r="X131" s="48">
        <f t="shared" si="11"/>
        <v>17.86582928941121</v>
      </c>
      <c r="Y131" s="48">
        <f t="shared" si="11"/>
        <v>102.10253758775319</v>
      </c>
      <c r="Z131" s="34">
        <f t="shared" si="19"/>
        <v>9.649312430340709</v>
      </c>
      <c r="AA131" s="34">
        <f t="shared" si="20"/>
        <v>-61.83438093111083</v>
      </c>
      <c r="AB131" s="34">
        <f t="shared" si="12"/>
        <v>17.969424485759085</v>
      </c>
      <c r="AC131" s="34">
        <f t="shared" si="12"/>
        <v>100.54073662645</v>
      </c>
    </row>
    <row r="132" spans="17:29" ht="15.75" customHeight="1">
      <c r="Q132" s="26">
        <v>8</v>
      </c>
      <c r="R132" s="26">
        <f t="shared" si="21"/>
        <v>3600</v>
      </c>
      <c r="S132" s="47">
        <f t="shared" si="13"/>
        <v>22619.46710584651</v>
      </c>
      <c r="T132" s="48">
        <f t="shared" si="15"/>
        <v>9.110503428095445</v>
      </c>
      <c r="U132" s="48">
        <f t="shared" si="16"/>
        <v>-61.75414586474161</v>
      </c>
      <c r="V132" s="48">
        <f t="shared" si="17"/>
        <v>8.271845967743278</v>
      </c>
      <c r="W132" s="48">
        <f t="shared" si="18"/>
        <v>163.4095012446592</v>
      </c>
      <c r="X132" s="48">
        <f t="shared" si="11"/>
        <v>17.382349395838723</v>
      </c>
      <c r="Y132" s="48">
        <f t="shared" si="11"/>
        <v>101.65535537991758</v>
      </c>
      <c r="Z132" s="34">
        <f t="shared" si="19"/>
        <v>9.216475064063266</v>
      </c>
      <c r="AA132" s="34">
        <f t="shared" si="20"/>
        <v>-63.46085415182513</v>
      </c>
      <c r="AB132" s="34">
        <f t="shared" si="12"/>
        <v>17.488321031806542</v>
      </c>
      <c r="AC132" s="34">
        <f t="shared" si="12"/>
        <v>99.94864709283407</v>
      </c>
    </row>
    <row r="133" spans="17:29" ht="15.75" customHeight="1">
      <c r="Q133" s="26">
        <v>8.5</v>
      </c>
      <c r="R133" s="26">
        <f t="shared" si="21"/>
        <v>3825</v>
      </c>
      <c r="S133" s="47">
        <f t="shared" si="13"/>
        <v>24033.183799961917</v>
      </c>
      <c r="T133" s="48">
        <f t="shared" si="15"/>
        <v>8.690788388493743</v>
      </c>
      <c r="U133" s="48">
        <f t="shared" si="16"/>
        <v>-63.09137342970467</v>
      </c>
      <c r="V133" s="48">
        <f t="shared" si="17"/>
        <v>8.231433598264783</v>
      </c>
      <c r="W133" s="48">
        <f t="shared" si="18"/>
        <v>164.33125371262074</v>
      </c>
      <c r="X133" s="48">
        <f t="shared" si="11"/>
        <v>16.922221986758526</v>
      </c>
      <c r="Y133" s="48">
        <f t="shared" si="11"/>
        <v>101.23988028291606</v>
      </c>
      <c r="Z133" s="34">
        <f t="shared" si="19"/>
        <v>8.798674908428307</v>
      </c>
      <c r="AA133" s="34">
        <f t="shared" si="20"/>
        <v>-64.94262045693489</v>
      </c>
      <c r="AB133" s="34">
        <f t="shared" si="12"/>
        <v>17.03010850669309</v>
      </c>
      <c r="AC133" s="34">
        <f t="shared" si="12"/>
        <v>99.38863325568585</v>
      </c>
    </row>
    <row r="134" spans="17:29" ht="15.75" customHeight="1">
      <c r="Q134" s="26">
        <v>9</v>
      </c>
      <c r="R134" s="26">
        <f t="shared" si="21"/>
        <v>4050</v>
      </c>
      <c r="S134" s="47">
        <f t="shared" si="13"/>
        <v>25446.900494077323</v>
      </c>
      <c r="T134" s="48">
        <f t="shared" si="15"/>
        <v>8.28609769663608</v>
      </c>
      <c r="U134" s="48">
        <f t="shared" si="16"/>
        <v>-64.3022578729026</v>
      </c>
      <c r="V134" s="48">
        <f t="shared" si="17"/>
        <v>8.197275538886979</v>
      </c>
      <c r="W134" s="48">
        <f t="shared" si="18"/>
        <v>165.15736612037068</v>
      </c>
      <c r="X134" s="48">
        <f t="shared" si="11"/>
        <v>16.48337323552306</v>
      </c>
      <c r="Y134" s="48">
        <f t="shared" si="11"/>
        <v>100.85510824746808</v>
      </c>
      <c r="Z134" s="34">
        <f t="shared" si="19"/>
        <v>8.39549655528512</v>
      </c>
      <c r="AA134" s="34">
        <f t="shared" si="20"/>
        <v>-66.29754920222939</v>
      </c>
      <c r="AB134" s="34">
        <f t="shared" si="12"/>
        <v>16.592772094172098</v>
      </c>
      <c r="AC134" s="34">
        <f t="shared" si="12"/>
        <v>98.85981691814129</v>
      </c>
    </row>
    <row r="135" spans="17:29" ht="15.75" customHeight="1">
      <c r="Q135" s="26">
        <v>9.5</v>
      </c>
      <c r="R135" s="26">
        <f t="shared" si="21"/>
        <v>4275</v>
      </c>
      <c r="S135" s="47">
        <f t="shared" si="13"/>
        <v>26860.61718819273</v>
      </c>
      <c r="T135" s="48">
        <f t="shared" si="15"/>
        <v>7.895855788239552</v>
      </c>
      <c r="U135" s="48">
        <f t="shared" si="16"/>
        <v>-65.40217316168425</v>
      </c>
      <c r="V135" s="48">
        <f t="shared" si="17"/>
        <v>8.168156120703246</v>
      </c>
      <c r="W135" s="48">
        <f t="shared" si="18"/>
        <v>165.90165117644878</v>
      </c>
      <c r="X135" s="48">
        <f t="shared" si="11"/>
        <v>16.0640119089428</v>
      </c>
      <c r="Y135" s="48">
        <f t="shared" si="11"/>
        <v>100.49947801476453</v>
      </c>
      <c r="Z135" s="34">
        <f t="shared" si="19"/>
        <v>8.00641450318344</v>
      </c>
      <c r="AA135" s="34">
        <f t="shared" si="20"/>
        <v>-67.5409405428817</v>
      </c>
      <c r="AB135" s="34">
        <f t="shared" si="12"/>
        <v>16.174570623886687</v>
      </c>
      <c r="AC135" s="34">
        <f t="shared" si="12"/>
        <v>98.36071063356708</v>
      </c>
    </row>
    <row r="136" spans="17:29" ht="15.75" customHeight="1">
      <c r="Q136" s="26">
        <v>1</v>
      </c>
      <c r="R136" s="26">
        <f aca="true" t="shared" si="22" ref="R136:R153">FSW*1000*Q136/100</f>
        <v>4500</v>
      </c>
      <c r="S136" s="47">
        <f t="shared" si="13"/>
        <v>28274.33388230814</v>
      </c>
      <c r="T136" s="48">
        <f t="shared" si="15"/>
        <v>7.519432931490156</v>
      </c>
      <c r="U136" s="48">
        <f t="shared" si="16"/>
        <v>-66.40427841294675</v>
      </c>
      <c r="V136" s="48">
        <f t="shared" si="17"/>
        <v>8.143138913810224</v>
      </c>
      <c r="W136" s="48">
        <f t="shared" si="18"/>
        <v>166.5754364112346</v>
      </c>
      <c r="X136" s="48">
        <f t="shared" si="11"/>
        <v>15.66257184530038</v>
      </c>
      <c r="Y136" s="48">
        <f t="shared" si="11"/>
        <v>100.17115799828784</v>
      </c>
      <c r="Z136" s="34">
        <f t="shared" si="19"/>
        <v>7.630841340053527</v>
      </c>
      <c r="AA136" s="34">
        <f t="shared" si="20"/>
        <v>-68.68591549883257</v>
      </c>
      <c r="AB136" s="34">
        <f t="shared" si="12"/>
        <v>15.773980253863751</v>
      </c>
      <c r="AC136" s="34">
        <f t="shared" si="12"/>
        <v>97.88952091240202</v>
      </c>
    </row>
    <row r="137" spans="17:29" ht="15.75" customHeight="1">
      <c r="Q137" s="26">
        <v>1.5</v>
      </c>
      <c r="R137" s="26">
        <f t="shared" si="22"/>
        <v>6750</v>
      </c>
      <c r="S137" s="47">
        <f t="shared" si="13"/>
        <v>42411.50082346221</v>
      </c>
      <c r="T137" s="48">
        <f t="shared" si="15"/>
        <v>4.378668800752453</v>
      </c>
      <c r="U137" s="48">
        <f t="shared" si="16"/>
        <v>-72.91311815312116</v>
      </c>
      <c r="V137" s="48">
        <f t="shared" si="17"/>
        <v>8.012159770109644</v>
      </c>
      <c r="W137" s="48">
        <f t="shared" si="18"/>
        <v>170.91456562569365</v>
      </c>
      <c r="X137" s="48">
        <f t="shared" si="11"/>
        <v>12.390828570862098</v>
      </c>
      <c r="Y137" s="48">
        <f t="shared" si="11"/>
        <v>98.0014474725725</v>
      </c>
      <c r="Z137" s="34">
        <f t="shared" si="19"/>
        <v>4.487221312532464</v>
      </c>
      <c r="AA137" s="34">
        <f t="shared" si="20"/>
        <v>-76.59179644209401</v>
      </c>
      <c r="AB137" s="34">
        <f t="shared" si="12"/>
        <v>12.499381082642108</v>
      </c>
      <c r="AC137" s="34">
        <f t="shared" si="12"/>
        <v>94.32276918359965</v>
      </c>
    </row>
    <row r="138" spans="17:29" ht="15.75" customHeight="1">
      <c r="Q138" s="26">
        <v>2</v>
      </c>
      <c r="R138" s="26">
        <f t="shared" si="22"/>
        <v>9000</v>
      </c>
      <c r="S138" s="47">
        <f t="shared" si="13"/>
        <v>56548.66776461628</v>
      </c>
      <c r="T138" s="48">
        <f t="shared" si="15"/>
        <v>2.034562437573623</v>
      </c>
      <c r="U138" s="48">
        <f t="shared" si="16"/>
        <v>-76.10267860015452</v>
      </c>
      <c r="V138" s="48">
        <f t="shared" si="17"/>
        <v>7.96536257334575</v>
      </c>
      <c r="W138" s="48">
        <f t="shared" si="18"/>
        <v>173.11411824071072</v>
      </c>
      <c r="X138" s="48">
        <f t="shared" si="11"/>
        <v>9.999925010919373</v>
      </c>
      <c r="Y138" s="48">
        <f t="shared" si="11"/>
        <v>97.0114396405562</v>
      </c>
      <c r="Z138" s="34">
        <f t="shared" si="19"/>
        <v>2.1281184143474503</v>
      </c>
      <c r="AA138" s="34">
        <f t="shared" si="20"/>
        <v>-81.13586938189387</v>
      </c>
      <c r="AB138" s="34">
        <f t="shared" si="12"/>
        <v>10.093480987693201</v>
      </c>
      <c r="AC138" s="34">
        <f t="shared" si="12"/>
        <v>91.97824885881685</v>
      </c>
    </row>
    <row r="139" spans="17:29" ht="15.75" customHeight="1">
      <c r="Q139" s="26">
        <v>2.5</v>
      </c>
      <c r="R139" s="26">
        <f t="shared" si="22"/>
        <v>11250</v>
      </c>
      <c r="S139" s="47">
        <f t="shared" si="13"/>
        <v>70685.83470577035</v>
      </c>
      <c r="T139" s="48">
        <f t="shared" si="15"/>
        <v>0.18419523870526983</v>
      </c>
      <c r="U139" s="48">
        <f t="shared" si="16"/>
        <v>-77.85799747242606</v>
      </c>
      <c r="V139" s="48">
        <f t="shared" si="17"/>
        <v>7.9435246999887585</v>
      </c>
      <c r="W139" s="48">
        <f t="shared" si="18"/>
        <v>174.4333861244773</v>
      </c>
      <c r="X139" s="48">
        <f t="shared" si="11"/>
        <v>8.127719938694028</v>
      </c>
      <c r="Y139" s="48">
        <f t="shared" si="11"/>
        <v>96.57538865205123</v>
      </c>
      <c r="Z139" s="34">
        <f t="shared" si="19"/>
        <v>0.2551284618038861</v>
      </c>
      <c r="AA139" s="34">
        <f t="shared" si="20"/>
        <v>-84.21864887555668</v>
      </c>
      <c r="AB139" s="34">
        <f t="shared" si="12"/>
        <v>8.198653161792645</v>
      </c>
      <c r="AC139" s="34">
        <f t="shared" si="12"/>
        <v>90.21473724892061</v>
      </c>
    </row>
    <row r="140" spans="17:29" ht="15.75" customHeight="1">
      <c r="Q140" s="26">
        <v>3</v>
      </c>
      <c r="R140" s="26">
        <f t="shared" si="22"/>
        <v>13500</v>
      </c>
      <c r="S140" s="47">
        <f t="shared" si="13"/>
        <v>84823.00164692441</v>
      </c>
      <c r="T140" s="48">
        <f t="shared" si="15"/>
        <v>-1.3358013349062736</v>
      </c>
      <c r="U140" s="48">
        <f t="shared" si="16"/>
        <v>-78.87650903254422</v>
      </c>
      <c r="V140" s="48">
        <f t="shared" si="17"/>
        <v>7.931610058546113</v>
      </c>
      <c r="W140" s="48">
        <f t="shared" si="18"/>
        <v>175.30730749748747</v>
      </c>
      <c r="X140" s="48">
        <f t="shared" si="11"/>
        <v>6.5958087236398395</v>
      </c>
      <c r="Y140" s="48">
        <f t="shared" si="11"/>
        <v>96.43079846494325</v>
      </c>
      <c r="Z140" s="34">
        <f t="shared" si="19"/>
        <v>-1.2937251144901198</v>
      </c>
      <c r="AA140" s="34">
        <f t="shared" si="20"/>
        <v>-86.54446953750023</v>
      </c>
      <c r="AB140" s="34">
        <f t="shared" si="12"/>
        <v>6.637884944055993</v>
      </c>
      <c r="AC140" s="34">
        <f t="shared" si="12"/>
        <v>88.76283795998724</v>
      </c>
    </row>
    <row r="141" spans="17:29" ht="15.75" customHeight="1">
      <c r="Q141" s="26">
        <v>3.5</v>
      </c>
      <c r="R141" s="26">
        <f t="shared" si="22"/>
        <v>15750</v>
      </c>
      <c r="S141" s="47">
        <f t="shared" si="13"/>
        <v>98960.16858807848</v>
      </c>
      <c r="T141" s="48">
        <f t="shared" si="15"/>
        <v>-2.6202604965945495</v>
      </c>
      <c r="U141" s="48">
        <f t="shared" si="16"/>
        <v>-79.47208361170453</v>
      </c>
      <c r="V141" s="48">
        <f t="shared" si="17"/>
        <v>7.924403913219572</v>
      </c>
      <c r="W141" s="48">
        <f t="shared" si="18"/>
        <v>175.92519434127112</v>
      </c>
      <c r="X141" s="48">
        <f t="shared" si="11"/>
        <v>5.304143416625022</v>
      </c>
      <c r="Y141" s="48">
        <f t="shared" si="11"/>
        <v>96.45311072956659</v>
      </c>
      <c r="Z141" s="34">
        <f t="shared" si="19"/>
        <v>-2.6126843968370794</v>
      </c>
      <c r="AA141" s="34">
        <f t="shared" si="20"/>
        <v>-88.42987608421868</v>
      </c>
      <c r="AB141" s="34">
        <f t="shared" si="12"/>
        <v>5.311719516382492</v>
      </c>
      <c r="AC141" s="34">
        <f t="shared" si="12"/>
        <v>87.49531825705245</v>
      </c>
    </row>
    <row r="142" spans="17:29" ht="15.75" customHeight="1">
      <c r="Q142" s="26">
        <v>4</v>
      </c>
      <c r="R142" s="26">
        <f t="shared" si="22"/>
        <v>18000</v>
      </c>
      <c r="S142" s="47">
        <f t="shared" si="13"/>
        <v>113097.33552923256</v>
      </c>
      <c r="T142" s="48">
        <f t="shared" si="15"/>
        <v>-3.7284519775578713</v>
      </c>
      <c r="U142" s="48">
        <f t="shared" si="16"/>
        <v>-79.80636358383501</v>
      </c>
      <c r="V142" s="48">
        <f t="shared" si="17"/>
        <v>7.919714081505335</v>
      </c>
      <c r="W142" s="48">
        <f t="shared" si="18"/>
        <v>176.38248845431173</v>
      </c>
      <c r="X142" s="48">
        <f t="shared" si="11"/>
        <v>4.191262103947464</v>
      </c>
      <c r="Y142" s="48">
        <f t="shared" si="11"/>
        <v>96.57612487047672</v>
      </c>
      <c r="Z142" s="34">
        <f t="shared" si="19"/>
        <v>-3.7606816316767917</v>
      </c>
      <c r="AA142" s="34">
        <f t="shared" si="20"/>
        <v>-90.0372758511217</v>
      </c>
      <c r="AB142" s="34">
        <f t="shared" si="12"/>
        <v>4.159032449828543</v>
      </c>
      <c r="AC142" s="34">
        <f t="shared" si="12"/>
        <v>86.34521260319002</v>
      </c>
    </row>
    <row r="143" spans="17:29" ht="15.75" customHeight="1">
      <c r="Q143" s="26">
        <v>4.5</v>
      </c>
      <c r="R143" s="26">
        <f t="shared" si="22"/>
        <v>20250</v>
      </c>
      <c r="S143" s="47">
        <f t="shared" si="13"/>
        <v>127234.50247038662</v>
      </c>
      <c r="T143" s="48">
        <f t="shared" si="15"/>
        <v>-4.699715722004011</v>
      </c>
      <c r="U143" s="48">
        <f t="shared" si="16"/>
        <v>-79.97114617317098</v>
      </c>
      <c r="V143" s="48">
        <f t="shared" si="17"/>
        <v>7.916489306555037</v>
      </c>
      <c r="W143" s="48">
        <f t="shared" si="18"/>
        <v>176.73247712292005</v>
      </c>
      <c r="X143" s="48">
        <f t="shared" si="11"/>
        <v>3.216773584551026</v>
      </c>
      <c r="Y143" s="48">
        <f t="shared" si="11"/>
        <v>96.76133094974907</v>
      </c>
      <c r="Z143" s="34">
        <f t="shared" si="19"/>
        <v>-4.776809899336013</v>
      </c>
      <c r="AA143" s="34">
        <f t="shared" si="20"/>
        <v>-91.4583344958105</v>
      </c>
      <c r="AB143" s="34">
        <f t="shared" si="12"/>
        <v>3.139679407219024</v>
      </c>
      <c r="AC143" s="34">
        <f t="shared" si="12"/>
        <v>85.27414262710954</v>
      </c>
    </row>
    <row r="144" spans="17:29" ht="15.75" customHeight="1">
      <c r="Q144" s="26">
        <v>5</v>
      </c>
      <c r="R144" s="26">
        <f t="shared" si="22"/>
        <v>22500</v>
      </c>
      <c r="S144" s="47">
        <f t="shared" si="13"/>
        <v>141371.6694115407</v>
      </c>
      <c r="T144" s="48">
        <f t="shared" si="15"/>
        <v>-5.561450806862541</v>
      </c>
      <c r="U144" s="48">
        <f t="shared" si="16"/>
        <v>-80.0225802909693</v>
      </c>
      <c r="V144" s="48">
        <f t="shared" si="17"/>
        <v>7.914174537561506</v>
      </c>
      <c r="W144" s="48">
        <f t="shared" si="18"/>
        <v>177.00723617779116</v>
      </c>
      <c r="X144" s="48">
        <f t="shared" si="11"/>
        <v>2.3527237306989646</v>
      </c>
      <c r="Y144" s="48">
        <f t="shared" si="11"/>
        <v>96.98465588682186</v>
      </c>
      <c r="Z144" s="34">
        <f t="shared" si="19"/>
        <v>-5.68825474081893</v>
      </c>
      <c r="AA144" s="34">
        <f t="shared" si="20"/>
        <v>-92.74864027768753</v>
      </c>
      <c r="AB144" s="34">
        <f t="shared" si="12"/>
        <v>2.2259197967425752</v>
      </c>
      <c r="AC144" s="34">
        <f t="shared" si="12"/>
        <v>84.25859590010363</v>
      </c>
    </row>
    <row r="145" spans="17:29" ht="15.75" customHeight="1">
      <c r="Q145" s="26">
        <v>5.5</v>
      </c>
      <c r="R145" s="26">
        <f t="shared" si="22"/>
        <v>24750</v>
      </c>
      <c r="S145" s="47">
        <f t="shared" si="13"/>
        <v>155508.83635269475</v>
      </c>
      <c r="T145" s="48">
        <f t="shared" si="15"/>
        <v>-6.333497678732179</v>
      </c>
      <c r="U145" s="48">
        <f t="shared" si="16"/>
        <v>-79.99707254857852</v>
      </c>
      <c r="V145" s="48">
        <f t="shared" si="17"/>
        <v>7.912454337519569</v>
      </c>
      <c r="W145" s="48">
        <f t="shared" si="18"/>
        <v>177.2272229584761</v>
      </c>
      <c r="X145" s="48">
        <f t="shared" si="11"/>
        <v>1.5789566587873898</v>
      </c>
      <c r="Y145" s="48">
        <f t="shared" si="11"/>
        <v>97.23015040989758</v>
      </c>
      <c r="Z145" s="34">
        <f t="shared" si="19"/>
        <v>-6.514654019094211</v>
      </c>
      <c r="AA145" s="34">
        <f t="shared" si="20"/>
        <v>-93.94384273857084</v>
      </c>
      <c r="AB145" s="34">
        <f t="shared" si="12"/>
        <v>1.3978003184253582</v>
      </c>
      <c r="AC145" s="34">
        <f t="shared" si="12"/>
        <v>83.28338021990525</v>
      </c>
    </row>
    <row r="146" spans="17:29" ht="15.75" customHeight="1">
      <c r="Q146" s="26">
        <v>6</v>
      </c>
      <c r="R146" s="26">
        <f t="shared" si="22"/>
        <v>27000</v>
      </c>
      <c r="S146" s="47">
        <f t="shared" si="13"/>
        <v>169646.00329384883</v>
      </c>
      <c r="T146" s="48">
        <f aca="true" t="shared" si="23" ref="T146:T172">20*LOG(Am*IMABS(IMDIV(IMDIV(IMDIV(COMPLEX(1,S146/wz_esr),COMPLEX(1,S146/wp_lf)),COMPLEX(1,S146/wp_esr)),COMPLEX(1-S146^2/(wn^2),S146/wp_hf))))</f>
        <v>-7.030691257871238</v>
      </c>
      <c r="U146" s="48">
        <f aca="true" t="shared" si="24" ref="U146:U172">IMARGUMENT(IMDIV(IMDIV(IMDIV(COMPLEX(1,S146/wz_esr),COMPLEX(1,S146/wp_lf)),COMPLEX(1,S146/wp_esr)),COMPLEX(1-S146^2/(wn^2),S146/wp_hf)))*180/PI()</f>
        <v>-79.91936316571916</v>
      </c>
      <c r="V146" s="48">
        <f aca="true" t="shared" si="25" ref="V146:V172">20*LOG(Afb*IMABS(IMDIV(IMDIV(COMPLEX(1,S146/wz_ea),COMPLEX(1,S146/wp_ea)),COMPLEX(0,S146))))</f>
        <v>7.911138704588372</v>
      </c>
      <c r="W146" s="48">
        <f aca="true" t="shared" si="26" ref="W146:W172">IMARGUMENT(IMDIV(IMDIV(COMPLEX(-1,-S146/wz_ea),COMPLEX(1,S146/wp_ea)),COMPLEX(0,S146)))*180/PI()</f>
        <v>177.40609751092632</v>
      </c>
      <c r="X146" s="48">
        <f t="shared" si="11"/>
        <v>0.8804474467171337</v>
      </c>
      <c r="Y146" s="48">
        <f t="shared" si="11"/>
        <v>97.48673434520715</v>
      </c>
      <c r="Z146" s="34">
        <f aca="true" t="shared" si="27" ref="Z146:Z172">20*LOG(Am*IMABS(IMDIV(IMDIV(IMDIV(COMPLEX(1,S146/wz_esr2),COMPLEX(1,S146/wp_lf2)),COMPLEX(1,S146/wp_esr2)),COMPLEX(1-S146^2/(wn^2),S146/wp_hf))))</f>
        <v>-7.270641882218188</v>
      </c>
      <c r="AA146" s="34">
        <f aca="true" t="shared" si="28" ref="AA146:AA172">IMARGUMENT(IMDIV(IMDIV(IMDIV(COMPLEX(1,S146/wz_esr2),COMPLEX(1,S146/wp_lf2)),COMPLEX(1,S146/wp_esr2)),COMPLEX(1-S146^2/(wn^2),S146/wp_hf)))*180/PI()</f>
        <v>-95.06785260847263</v>
      </c>
      <c r="AB146" s="34">
        <f t="shared" si="12"/>
        <v>0.6404968223701841</v>
      </c>
      <c r="AC146" s="34">
        <f t="shared" si="12"/>
        <v>82.33824490245368</v>
      </c>
    </row>
    <row r="147" spans="17:29" ht="15.75" customHeight="1">
      <c r="Q147" s="26">
        <v>6.5</v>
      </c>
      <c r="R147" s="26">
        <f t="shared" si="22"/>
        <v>29250</v>
      </c>
      <c r="S147" s="47">
        <f t="shared" si="13"/>
        <v>183783.1702350029</v>
      </c>
      <c r="T147" s="48">
        <f t="shared" si="23"/>
        <v>-7.664425194360435</v>
      </c>
      <c r="U147" s="48">
        <f t="shared" si="24"/>
        <v>-79.80692171933198</v>
      </c>
      <c r="V147" s="48">
        <f t="shared" si="25"/>
        <v>7.910107661350571</v>
      </c>
      <c r="W147" s="48">
        <f t="shared" si="26"/>
        <v>177.55332803891494</v>
      </c>
      <c r="X147" s="48">
        <f aca="true" t="shared" si="29" ref="X147:Y172">T147+V147</f>
        <v>0.24568246699013585</v>
      </c>
      <c r="Y147" s="48">
        <f t="shared" si="29"/>
        <v>97.74640631958296</v>
      </c>
      <c r="Z147" s="34">
        <f t="shared" si="27"/>
        <v>-7.967409450724547</v>
      </c>
      <c r="AA147" s="34">
        <f t="shared" si="28"/>
        <v>-96.13730734917388</v>
      </c>
      <c r="AB147" s="34">
        <f aca="true" t="shared" si="30" ref="AB147:AC172">Z147+V147</f>
        <v>-0.057301789373976675</v>
      </c>
      <c r="AC147" s="34">
        <f t="shared" si="30"/>
        <v>81.41602068974106</v>
      </c>
    </row>
    <row r="148" spans="17:29" ht="15.75" customHeight="1">
      <c r="Q148" s="26">
        <v>7</v>
      </c>
      <c r="R148" s="26">
        <f t="shared" si="22"/>
        <v>31500</v>
      </c>
      <c r="S148" s="47">
        <f t="shared" si="13"/>
        <v>197920.33717615696</v>
      </c>
      <c r="T148" s="48">
        <f t="shared" si="23"/>
        <v>-8.243651594127844</v>
      </c>
      <c r="U148" s="48">
        <f t="shared" si="24"/>
        <v>-79.67247927597913</v>
      </c>
      <c r="V148" s="48">
        <f t="shared" si="25"/>
        <v>7.909282428223526</v>
      </c>
      <c r="W148" s="48">
        <f t="shared" si="26"/>
        <v>177.67568369334515</v>
      </c>
      <c r="X148" s="48">
        <f t="shared" si="29"/>
        <v>-0.33436916590431753</v>
      </c>
      <c r="Y148" s="48">
        <f t="shared" si="29"/>
        <v>98.00320441736602</v>
      </c>
      <c r="Z148" s="34">
        <f t="shared" si="27"/>
        <v>-8.613703510145617</v>
      </c>
      <c r="AA148" s="34">
        <f t="shared" si="28"/>
        <v>-97.164144087117</v>
      </c>
      <c r="AB148" s="34">
        <f t="shared" si="30"/>
        <v>-0.7044210819220913</v>
      </c>
      <c r="AC148" s="34">
        <f t="shared" si="30"/>
        <v>80.51153960622815</v>
      </c>
    </row>
    <row r="149" spans="17:29" ht="15.75" customHeight="1">
      <c r="Q149" s="26">
        <v>7.5</v>
      </c>
      <c r="R149" s="26">
        <f t="shared" si="22"/>
        <v>33750</v>
      </c>
      <c r="S149" s="47">
        <f t="shared" si="13"/>
        <v>212057.50411731104</v>
      </c>
      <c r="T149" s="48">
        <f t="shared" si="23"/>
        <v>-8.775543174132494</v>
      </c>
      <c r="U149" s="48">
        <f t="shared" si="24"/>
        <v>-79.5255575316191</v>
      </c>
      <c r="V149" s="48">
        <f t="shared" si="25"/>
        <v>7.908609546361464</v>
      </c>
      <c r="W149" s="48">
        <f t="shared" si="26"/>
        <v>177.7781320469245</v>
      </c>
      <c r="X149" s="48">
        <f t="shared" si="29"/>
        <v>-0.8669336277710302</v>
      </c>
      <c r="Y149" s="48">
        <f t="shared" si="29"/>
        <v>98.2525745153054</v>
      </c>
      <c r="Z149" s="34">
        <f t="shared" si="27"/>
        <v>-9.216488844467328</v>
      </c>
      <c r="AA149" s="34">
        <f t="shared" si="28"/>
        <v>-98.15715301122574</v>
      </c>
      <c r="AB149" s="34">
        <f t="shared" si="30"/>
        <v>-1.3078792981058642</v>
      </c>
      <c r="AC149" s="34">
        <f t="shared" si="30"/>
        <v>79.62097903569875</v>
      </c>
    </row>
    <row r="150" spans="17:29" ht="15.75" customHeight="1">
      <c r="Q150" s="26">
        <v>8</v>
      </c>
      <c r="R150" s="26">
        <f t="shared" si="22"/>
        <v>36000</v>
      </c>
      <c r="S150" s="47">
        <f t="shared" si="13"/>
        <v>226194.67105846512</v>
      </c>
      <c r="T150" s="48">
        <f t="shared" si="23"/>
        <v>-9.265945414049575</v>
      </c>
      <c r="U150" s="48">
        <f t="shared" si="24"/>
        <v>-79.3734300903305</v>
      </c>
      <c r="V150" s="48">
        <f t="shared" si="25"/>
        <v>7.908051705439516</v>
      </c>
      <c r="W150" s="48">
        <f t="shared" si="26"/>
        <v>177.8644008903829</v>
      </c>
      <c r="X150" s="48">
        <f t="shared" si="29"/>
        <v>-1.3578937086100593</v>
      </c>
      <c r="Y150" s="48">
        <f t="shared" si="29"/>
        <v>98.49097080005241</v>
      </c>
      <c r="Z150" s="34">
        <f t="shared" si="27"/>
        <v>-9.781401152220688</v>
      </c>
      <c r="AA150" s="34">
        <f t="shared" si="28"/>
        <v>-99.12295289957837</v>
      </c>
      <c r="AB150" s="34">
        <f t="shared" si="30"/>
        <v>-1.8733494467811722</v>
      </c>
      <c r="AC150" s="34">
        <f t="shared" si="30"/>
        <v>78.74144799080455</v>
      </c>
    </row>
    <row r="151" spans="17:29" ht="15.75" customHeight="1">
      <c r="Q151" s="26">
        <v>8.5</v>
      </c>
      <c r="R151" s="26">
        <f t="shared" si="22"/>
        <v>38250</v>
      </c>
      <c r="S151" s="47">
        <f t="shared" si="13"/>
        <v>240331.83799961917</v>
      </c>
      <c r="T151" s="48">
        <f t="shared" si="23"/>
        <v>-9.719693540506135</v>
      </c>
      <c r="U151" s="48">
        <f t="shared" si="24"/>
        <v>-79.2217481771404</v>
      </c>
      <c r="V151" s="48">
        <f t="shared" si="25"/>
        <v>7.907582225642039</v>
      </c>
      <c r="W151" s="48">
        <f t="shared" si="26"/>
        <v>177.93734219637983</v>
      </c>
      <c r="X151" s="48">
        <f t="shared" si="29"/>
        <v>-1.8121113148640964</v>
      </c>
      <c r="Y151" s="48">
        <f t="shared" si="29"/>
        <v>98.71559401923943</v>
      </c>
      <c r="Z151" s="34">
        <f t="shared" si="27"/>
        <v>-10.313065063913973</v>
      </c>
      <c r="AA151" s="34">
        <f t="shared" si="28"/>
        <v>-100.0666246974629</v>
      </c>
      <c r="AB151" s="34">
        <f t="shared" si="30"/>
        <v>-2.4054828382719338</v>
      </c>
      <c r="AC151" s="34">
        <f t="shared" si="30"/>
        <v>77.87071749891693</v>
      </c>
    </row>
    <row r="152" spans="17:29" ht="15.75" customHeight="1">
      <c r="Q152" s="26">
        <v>9</v>
      </c>
      <c r="R152" s="26">
        <f t="shared" si="22"/>
        <v>40500</v>
      </c>
      <c r="S152" s="47">
        <f t="shared" si="13"/>
        <v>254469.00494077324</v>
      </c>
      <c r="T152" s="48">
        <f t="shared" si="23"/>
        <v>-10.140839905651601</v>
      </c>
      <c r="U152" s="48">
        <f t="shared" si="24"/>
        <v>-79.07496064712683</v>
      </c>
      <c r="V152" s="48">
        <f t="shared" si="25"/>
        <v>7.907181620182211</v>
      </c>
      <c r="W152" s="48">
        <f t="shared" si="26"/>
        <v>177.99917500343622</v>
      </c>
      <c r="X152" s="48">
        <f t="shared" si="29"/>
        <v>-2.2336582854693905</v>
      </c>
      <c r="Y152" s="48">
        <f t="shared" si="29"/>
        <v>98.92421435630939</v>
      </c>
      <c r="Z152" s="34">
        <f t="shared" si="27"/>
        <v>-10.81532265170965</v>
      </c>
      <c r="AA152" s="34">
        <f t="shared" si="28"/>
        <v>-100.99213513751846</v>
      </c>
      <c r="AB152" s="34">
        <f t="shared" si="30"/>
        <v>-2.908141031527439</v>
      </c>
      <c r="AC152" s="34">
        <f t="shared" si="30"/>
        <v>77.00703986591776</v>
      </c>
    </row>
    <row r="153" spans="17:29" ht="15.75" customHeight="1">
      <c r="Q153" s="26">
        <v>9.5</v>
      </c>
      <c r="R153" s="26">
        <f t="shared" si="22"/>
        <v>42750</v>
      </c>
      <c r="S153" s="47">
        <f t="shared" si="13"/>
        <v>268606.1718819273</v>
      </c>
      <c r="T153" s="48">
        <f t="shared" si="23"/>
        <v>-10.532820412801554</v>
      </c>
      <c r="U153" s="48">
        <f t="shared" si="24"/>
        <v>-78.93660381749</v>
      </c>
      <c r="V153" s="48">
        <f t="shared" si="25"/>
        <v>7.90683538792337</v>
      </c>
      <c r="W153" s="48">
        <f t="shared" si="26"/>
        <v>178.0516517348722</v>
      </c>
      <c r="X153" s="48">
        <f t="shared" si="29"/>
        <v>-2.625985024878184</v>
      </c>
      <c r="Y153" s="48">
        <f t="shared" si="29"/>
        <v>99.1150479173822</v>
      </c>
      <c r="Z153" s="34">
        <f t="shared" si="27"/>
        <v>-11.2914009876868</v>
      </c>
      <c r="AA153" s="34">
        <f t="shared" si="28"/>
        <v>-101.90262724765545</v>
      </c>
      <c r="AB153" s="34">
        <f t="shared" si="30"/>
        <v>-3.3845655997634294</v>
      </c>
      <c r="AC153" s="34">
        <f t="shared" si="30"/>
        <v>76.14902448721675</v>
      </c>
    </row>
    <row r="154" spans="17:29" ht="15.75" customHeight="1">
      <c r="Q154" s="26">
        <v>1</v>
      </c>
      <c r="R154" s="26">
        <f aca="true" t="shared" si="31" ref="R154:R172">FSW*1000*Q154/10</f>
        <v>45000</v>
      </c>
      <c r="S154" s="47">
        <f t="shared" si="13"/>
        <v>282743.3388230814</v>
      </c>
      <c r="T154" s="48">
        <f t="shared" si="23"/>
        <v>-10.89857852887816</v>
      </c>
      <c r="U154" s="48">
        <f t="shared" si="24"/>
        <v>-78.80950657869266</v>
      </c>
      <c r="V154" s="48">
        <f t="shared" si="25"/>
        <v>7.906532557628284</v>
      </c>
      <c r="W154" s="48">
        <f t="shared" si="26"/>
        <v>178.09617470055153</v>
      </c>
      <c r="X154" s="48">
        <f t="shared" si="29"/>
        <v>-2.9920459712498753</v>
      </c>
      <c r="Y154" s="48">
        <f t="shared" si="29"/>
        <v>99.28666812185887</v>
      </c>
      <c r="Z154" s="34">
        <f t="shared" si="27"/>
        <v>-11.744037234469547</v>
      </c>
      <c r="AA154" s="34">
        <f t="shared" si="28"/>
        <v>-102.80062406514729</v>
      </c>
      <c r="AB154" s="34">
        <f t="shared" si="30"/>
        <v>-3.837504676841262</v>
      </c>
      <c r="AC154" s="34">
        <f t="shared" si="30"/>
        <v>75.29555063540424</v>
      </c>
    </row>
    <row r="155" spans="17:29" ht="15.75" customHeight="1">
      <c r="Q155" s="7">
        <v>1.5</v>
      </c>
      <c r="R155" s="7">
        <f t="shared" si="31"/>
        <v>67500</v>
      </c>
      <c r="S155" s="28">
        <f t="shared" si="13"/>
        <v>424115.0082346221</v>
      </c>
      <c r="T155" s="34">
        <f t="shared" si="23"/>
        <v>-13.54768005160702</v>
      </c>
      <c r="U155" s="34">
        <f t="shared" si="24"/>
        <v>-78.48667603598597</v>
      </c>
      <c r="V155" s="34">
        <f t="shared" si="25"/>
        <v>7.904683860476252</v>
      </c>
      <c r="W155" s="34">
        <f t="shared" si="26"/>
        <v>178.27885370991967</v>
      </c>
      <c r="X155" s="34">
        <f t="shared" si="29"/>
        <v>-5.642996191130768</v>
      </c>
      <c r="Y155" s="34">
        <f t="shared" si="29"/>
        <v>99.79217767393371</v>
      </c>
      <c r="Z155" s="34">
        <f t="shared" si="27"/>
        <v>-15.372910502537817</v>
      </c>
      <c r="AA155" s="34">
        <f t="shared" si="28"/>
        <v>-111.40943361406951</v>
      </c>
      <c r="AB155" s="34">
        <f t="shared" si="30"/>
        <v>-7.468226642061564</v>
      </c>
      <c r="AC155" s="34">
        <f t="shared" si="30"/>
        <v>66.86942009585016</v>
      </c>
    </row>
    <row r="156" spans="17:29" ht="15.75" customHeight="1">
      <c r="Q156" s="7">
        <v>2</v>
      </c>
      <c r="R156" s="7">
        <f t="shared" si="31"/>
        <v>90000</v>
      </c>
      <c r="S156" s="28">
        <f aca="true" t="shared" si="32" ref="S156:S172">2*PI()*R156</f>
        <v>565486.6776461628</v>
      </c>
      <c r="T156" s="34">
        <f t="shared" si="23"/>
        <v>-15.154177955288919</v>
      </c>
      <c r="U156" s="34">
        <f t="shared" si="24"/>
        <v>-80.16797042020626</v>
      </c>
      <c r="V156" s="34">
        <f t="shared" si="25"/>
        <v>7.903526324609414</v>
      </c>
      <c r="W156" s="34">
        <f t="shared" si="26"/>
        <v>178.23473162633638</v>
      </c>
      <c r="X156" s="34">
        <f t="shared" si="29"/>
        <v>-7.250651630679505</v>
      </c>
      <c r="Y156" s="34">
        <f t="shared" si="29"/>
        <v>98.06676120613012</v>
      </c>
      <c r="Z156" s="34">
        <f t="shared" si="27"/>
        <v>-18.053526329191072</v>
      </c>
      <c r="AA156" s="34">
        <f t="shared" si="28"/>
        <v>-119.78549577226408</v>
      </c>
      <c r="AB156" s="34">
        <f t="shared" si="30"/>
        <v>-10.150000004581658</v>
      </c>
      <c r="AC156" s="34">
        <f t="shared" si="30"/>
        <v>58.4492358540723</v>
      </c>
    </row>
    <row r="157" spans="17:29" ht="15.75" customHeight="1">
      <c r="Q157" s="7">
        <v>2.5</v>
      </c>
      <c r="R157" s="7">
        <f t="shared" si="31"/>
        <v>112500</v>
      </c>
      <c r="S157" s="28">
        <f t="shared" si="32"/>
        <v>706858.3470577034</v>
      </c>
      <c r="T157" s="34">
        <f t="shared" si="23"/>
        <v>-16.299501198440147</v>
      </c>
      <c r="U157" s="34">
        <f t="shared" si="24"/>
        <v>-83.6186556091647</v>
      </c>
      <c r="V157" s="34">
        <f t="shared" si="25"/>
        <v>7.902430693043522</v>
      </c>
      <c r="W157" s="34">
        <f t="shared" si="26"/>
        <v>178.09989676464804</v>
      </c>
      <c r="X157" s="34">
        <f t="shared" si="29"/>
        <v>-8.397070505396625</v>
      </c>
      <c r="Y157" s="34">
        <f t="shared" si="29"/>
        <v>94.48124115548333</v>
      </c>
      <c r="Z157" s="34">
        <f t="shared" si="27"/>
        <v>-20.267040667194177</v>
      </c>
      <c r="AA157" s="34">
        <f t="shared" si="28"/>
        <v>-128.11336950043972</v>
      </c>
      <c r="AB157" s="34">
        <f t="shared" si="30"/>
        <v>-12.364609974150655</v>
      </c>
      <c r="AC157" s="34">
        <f t="shared" si="30"/>
        <v>49.98652726420832</v>
      </c>
    </row>
    <row r="158" spans="17:29" ht="15.75" customHeight="1">
      <c r="Q158" s="7">
        <v>3</v>
      </c>
      <c r="R158" s="7">
        <f t="shared" si="31"/>
        <v>135000</v>
      </c>
      <c r="S158" s="28">
        <f t="shared" si="32"/>
        <v>848230.0164692441</v>
      </c>
      <c r="T158" s="34">
        <f t="shared" si="23"/>
        <v>-17.253800878784837</v>
      </c>
      <c r="U158" s="34">
        <f t="shared" si="24"/>
        <v>-88.3508540044768</v>
      </c>
      <c r="V158" s="34">
        <f t="shared" si="25"/>
        <v>7.901241743735491</v>
      </c>
      <c r="W158" s="34">
        <f t="shared" si="26"/>
        <v>177.91973647769666</v>
      </c>
      <c r="X158" s="34">
        <f t="shared" si="29"/>
        <v>-9.352559135049347</v>
      </c>
      <c r="Y158" s="34">
        <f t="shared" si="29"/>
        <v>89.56888247321986</v>
      </c>
      <c r="Z158" s="34">
        <f t="shared" si="27"/>
        <v>-22.235819002140367</v>
      </c>
      <c r="AA158" s="34">
        <f t="shared" si="28"/>
        <v>-136.3461722640591</v>
      </c>
      <c r="AB158" s="34">
        <f t="shared" si="30"/>
        <v>-14.334577258404877</v>
      </c>
      <c r="AC158" s="34">
        <f t="shared" si="30"/>
        <v>41.57356421363755</v>
      </c>
    </row>
    <row r="159" spans="17:29" ht="15.75" customHeight="1">
      <c r="Q159" s="7">
        <v>3.5</v>
      </c>
      <c r="R159" s="7">
        <f t="shared" si="31"/>
        <v>157500</v>
      </c>
      <c r="S159" s="28">
        <f t="shared" si="32"/>
        <v>989601.6858807849</v>
      </c>
      <c r="T159" s="34">
        <f t="shared" si="23"/>
        <v>-18.1523252188905</v>
      </c>
      <c r="U159" s="34">
        <f t="shared" si="24"/>
        <v>-93.86231051279921</v>
      </c>
      <c r="V159" s="34">
        <f t="shared" si="25"/>
        <v>7.899906387661469</v>
      </c>
      <c r="W159" s="34">
        <f t="shared" si="26"/>
        <v>177.71371244038824</v>
      </c>
      <c r="X159" s="34">
        <f t="shared" si="29"/>
        <v>-10.252418831229031</v>
      </c>
      <c r="Y159" s="34">
        <f t="shared" si="29"/>
        <v>83.85140192758902</v>
      </c>
      <c r="Z159" s="34">
        <f t="shared" si="27"/>
        <v>-24.077246727073288</v>
      </c>
      <c r="AA159" s="34">
        <f t="shared" si="28"/>
        <v>-144.3394296149229</v>
      </c>
      <c r="AB159" s="34">
        <f t="shared" si="30"/>
        <v>-16.17734033941182</v>
      </c>
      <c r="AC159" s="34">
        <f t="shared" si="30"/>
        <v>33.37428282546534</v>
      </c>
    </row>
    <row r="160" spans="17:29" ht="15.75" customHeight="1">
      <c r="Q160" s="7">
        <v>4</v>
      </c>
      <c r="R160" s="7">
        <f t="shared" si="31"/>
        <v>180000</v>
      </c>
      <c r="S160" s="28">
        <f t="shared" si="32"/>
        <v>1130973.3552923256</v>
      </c>
      <c r="T160" s="34">
        <f t="shared" si="23"/>
        <v>-19.05938693290077</v>
      </c>
      <c r="U160" s="34">
        <f t="shared" si="24"/>
        <v>-99.71183715223522</v>
      </c>
      <c r="V160" s="34">
        <f t="shared" si="25"/>
        <v>7.898402556904166</v>
      </c>
      <c r="W160" s="34">
        <f t="shared" si="26"/>
        <v>177.49156232692872</v>
      </c>
      <c r="X160" s="34">
        <f t="shared" si="29"/>
        <v>-11.160984375996605</v>
      </c>
      <c r="Y160" s="34">
        <f t="shared" si="29"/>
        <v>77.7797251746935</v>
      </c>
      <c r="Z160" s="34">
        <f t="shared" si="27"/>
        <v>-25.85240283337834</v>
      </c>
      <c r="AA160" s="34">
        <f t="shared" si="28"/>
        <v>-151.917517494595</v>
      </c>
      <c r="AB160" s="34">
        <f t="shared" si="30"/>
        <v>-17.954000276474172</v>
      </c>
      <c r="AC160" s="34">
        <f t="shared" si="30"/>
        <v>25.574044832333726</v>
      </c>
    </row>
    <row r="161" spans="17:29" ht="15.75" customHeight="1">
      <c r="Q161" s="7">
        <v>4.5</v>
      </c>
      <c r="R161" s="7">
        <f t="shared" si="31"/>
        <v>202500</v>
      </c>
      <c r="S161" s="28">
        <f t="shared" si="32"/>
        <v>1272345.024703866</v>
      </c>
      <c r="T161" s="34">
        <f t="shared" si="23"/>
        <v>-19.99843589066659</v>
      </c>
      <c r="U161" s="34">
        <f t="shared" si="24"/>
        <v>-105.5520538931206</v>
      </c>
      <c r="V161" s="34">
        <f t="shared" si="25"/>
        <v>7.896719822840703</v>
      </c>
      <c r="W161" s="34">
        <f t="shared" si="26"/>
        <v>177.2587015692188</v>
      </c>
      <c r="X161" s="34">
        <f t="shared" si="29"/>
        <v>-12.101716067825889</v>
      </c>
      <c r="Y161" s="34">
        <f t="shared" si="29"/>
        <v>71.7066476760982</v>
      </c>
      <c r="Z161" s="34">
        <f t="shared" si="27"/>
        <v>-27.58792904471106</v>
      </c>
      <c r="AA161" s="34">
        <f t="shared" si="28"/>
        <v>-158.92467733470897</v>
      </c>
      <c r="AB161" s="34">
        <f t="shared" si="30"/>
        <v>-19.69120922187036</v>
      </c>
      <c r="AC161" s="34">
        <f t="shared" si="30"/>
        <v>18.334024234509826</v>
      </c>
    </row>
    <row r="162" spans="17:29" ht="15.75" customHeight="1">
      <c r="Q162" s="7">
        <v>5</v>
      </c>
      <c r="R162" s="7">
        <f t="shared" si="31"/>
        <v>225000</v>
      </c>
      <c r="S162" s="28">
        <f t="shared" si="32"/>
        <v>1413716.6941154068</v>
      </c>
      <c r="T162" s="34">
        <f t="shared" si="23"/>
        <v>-20.969957756768174</v>
      </c>
      <c r="U162" s="34">
        <f t="shared" si="24"/>
        <v>-111.14110851956247</v>
      </c>
      <c r="V162" s="34">
        <f t="shared" si="25"/>
        <v>7.894852810797916</v>
      </c>
      <c r="W162" s="34">
        <f t="shared" si="26"/>
        <v>177.01838432579044</v>
      </c>
      <c r="X162" s="34">
        <f t="shared" si="29"/>
        <v>-13.075104945970258</v>
      </c>
      <c r="Y162" s="34">
        <f t="shared" si="29"/>
        <v>65.87727580622797</v>
      </c>
      <c r="Z162" s="34">
        <f t="shared" si="27"/>
        <v>-29.289935981771368</v>
      </c>
      <c r="AA162" s="34">
        <f t="shared" si="28"/>
        <v>-165.25697296029887</v>
      </c>
      <c r="AB162" s="34">
        <f t="shared" si="30"/>
        <v>-21.39508317097345</v>
      </c>
      <c r="AC162" s="34">
        <f t="shared" si="30"/>
        <v>11.761411365491568</v>
      </c>
    </row>
    <row r="163" spans="17:29" ht="15.75" customHeight="1">
      <c r="Q163" s="7">
        <v>5.5</v>
      </c>
      <c r="R163" s="7">
        <f t="shared" si="31"/>
        <v>247500</v>
      </c>
      <c r="S163" s="28">
        <f t="shared" si="32"/>
        <v>1555088.3635269476</v>
      </c>
      <c r="T163" s="34">
        <f t="shared" si="23"/>
        <v>-21.963464925503764</v>
      </c>
      <c r="U163" s="34">
        <f t="shared" si="24"/>
        <v>-116.3356320500559</v>
      </c>
      <c r="V163" s="34">
        <f t="shared" si="25"/>
        <v>7.89279859266676</v>
      </c>
      <c r="W163" s="34">
        <f t="shared" si="26"/>
        <v>176.77268581428106</v>
      </c>
      <c r="X163" s="34">
        <f t="shared" si="29"/>
        <v>-14.070666332837003</v>
      </c>
      <c r="Y163" s="34">
        <f t="shared" si="29"/>
        <v>60.437053764225155</v>
      </c>
      <c r="Z163" s="34">
        <f t="shared" si="27"/>
        <v>-30.954156639248712</v>
      </c>
      <c r="AA163" s="34">
        <f t="shared" si="28"/>
        <v>-170.87117471427314</v>
      </c>
      <c r="AB163" s="34">
        <f t="shared" si="30"/>
        <v>-23.06135804658195</v>
      </c>
      <c r="AC163" s="34">
        <f t="shared" si="30"/>
        <v>5.901511100007923</v>
      </c>
    </row>
    <row r="164" spans="17:29" ht="15.75" customHeight="1">
      <c r="Q164" s="7">
        <v>6</v>
      </c>
      <c r="R164" s="7">
        <f t="shared" si="31"/>
        <v>270000</v>
      </c>
      <c r="S164" s="28">
        <f t="shared" si="32"/>
        <v>1696460.0329384883</v>
      </c>
      <c r="T164" s="34">
        <f t="shared" si="23"/>
        <v>-22.965170412417425</v>
      </c>
      <c r="U164" s="34">
        <f t="shared" si="24"/>
        <v>-121.07060212867628</v>
      </c>
      <c r="V164" s="34">
        <f t="shared" si="25"/>
        <v>7.8905555306051305</v>
      </c>
      <c r="W164" s="34">
        <f t="shared" si="26"/>
        <v>176.52299350137739</v>
      </c>
      <c r="X164" s="34">
        <f t="shared" si="29"/>
        <v>-15.074614881812295</v>
      </c>
      <c r="Y164" s="34">
        <f t="shared" si="29"/>
        <v>55.4523913727011</v>
      </c>
      <c r="Z164" s="34">
        <f t="shared" si="27"/>
        <v>-32.572823559347974</v>
      </c>
      <c r="AA164" s="34">
        <f t="shared" si="28"/>
        <v>-175.7759629394378</v>
      </c>
      <c r="AB164" s="34">
        <f t="shared" si="30"/>
        <v>-24.682268028742843</v>
      </c>
      <c r="AC164" s="34">
        <f t="shared" si="30"/>
        <v>0.7470305619395958</v>
      </c>
    </row>
    <row r="165" spans="17:29" ht="15.75" customHeight="1">
      <c r="Q165" s="7">
        <v>6.5</v>
      </c>
      <c r="R165" s="7">
        <f t="shared" si="31"/>
        <v>292500</v>
      </c>
      <c r="S165" s="28">
        <f t="shared" si="32"/>
        <v>1837831.702350029</v>
      </c>
      <c r="T165" s="34">
        <f t="shared" si="23"/>
        <v>-23.962182594970038</v>
      </c>
      <c r="U165" s="34">
        <f t="shared" si="24"/>
        <v>-125.3349971896514</v>
      </c>
      <c r="V165" s="34">
        <f t="shared" si="25"/>
        <v>7.88812271718011</v>
      </c>
      <c r="W165" s="34">
        <f t="shared" si="26"/>
        <v>176.27027159785982</v>
      </c>
      <c r="X165" s="34">
        <f t="shared" si="29"/>
        <v>-16.074059877789928</v>
      </c>
      <c r="Y165" s="34">
        <f t="shared" si="29"/>
        <v>50.935274408208414</v>
      </c>
      <c r="Z165" s="34">
        <f t="shared" si="27"/>
        <v>-34.138555393462404</v>
      </c>
      <c r="AA165" s="34">
        <f t="shared" si="28"/>
        <v>179.98460972486444</v>
      </c>
      <c r="AB165" s="34">
        <f t="shared" si="30"/>
        <v>-26.250432676282294</v>
      </c>
      <c r="AC165" s="34">
        <f t="shared" si="30"/>
        <v>356.25488132272426</v>
      </c>
    </row>
    <row r="166" spans="17:29" ht="15.75" customHeight="1">
      <c r="Q166" s="7">
        <v>7</v>
      </c>
      <c r="R166" s="7">
        <f t="shared" si="31"/>
        <v>315000</v>
      </c>
      <c r="S166" s="28">
        <f t="shared" si="32"/>
        <v>1979203.3717615698</v>
      </c>
      <c r="T166" s="34">
        <f t="shared" si="23"/>
        <v>-24.94424542351561</v>
      </c>
      <c r="U166" s="34">
        <f t="shared" si="24"/>
        <v>-129.15016046760766</v>
      </c>
      <c r="V166" s="34">
        <f t="shared" si="25"/>
        <v>7.885499684558593</v>
      </c>
      <c r="W166" s="34">
        <f t="shared" si="26"/>
        <v>176.01521220132227</v>
      </c>
      <c r="X166" s="34">
        <f t="shared" si="29"/>
        <v>-17.05874573895702</v>
      </c>
      <c r="Y166" s="34">
        <f t="shared" si="29"/>
        <v>46.86505173371461</v>
      </c>
      <c r="Z166" s="34">
        <f t="shared" si="27"/>
        <v>-35.64601238975175</v>
      </c>
      <c r="AA166" s="34">
        <f t="shared" si="28"/>
        <v>176.34741507123258</v>
      </c>
      <c r="AB166" s="34">
        <f t="shared" si="30"/>
        <v>-27.76051270519316</v>
      </c>
      <c r="AC166" s="34">
        <f t="shared" si="30"/>
        <v>352.36262727255485</v>
      </c>
    </row>
    <row r="167" spans="17:29" ht="15.75" customHeight="1">
      <c r="Q167" s="7">
        <v>7.5</v>
      </c>
      <c r="R167" s="7">
        <f t="shared" si="31"/>
        <v>337500</v>
      </c>
      <c r="S167" s="28">
        <f t="shared" si="32"/>
        <v>2120575.0411731103</v>
      </c>
      <c r="T167" s="34">
        <f t="shared" si="23"/>
        <v>-25.90404869878743</v>
      </c>
      <c r="U167" s="34">
        <f t="shared" si="24"/>
        <v>-132.55382027882416</v>
      </c>
      <c r="V167" s="34">
        <f t="shared" si="25"/>
        <v>7.8826862444795465</v>
      </c>
      <c r="W167" s="34">
        <f t="shared" si="26"/>
        <v>175.75832598240436</v>
      </c>
      <c r="X167" s="34">
        <f t="shared" si="29"/>
        <v>-18.021362454307884</v>
      </c>
      <c r="Y167" s="34">
        <f t="shared" si="29"/>
        <v>43.204505703580196</v>
      </c>
      <c r="Z167" s="34">
        <f t="shared" si="27"/>
        <v>-37.09221966333398</v>
      </c>
      <c r="AA167" s="34">
        <f t="shared" si="28"/>
        <v>173.2425595814972</v>
      </c>
      <c r="AB167" s="34">
        <f t="shared" si="30"/>
        <v>-29.20953341885443</v>
      </c>
      <c r="AC167" s="34">
        <f t="shared" si="30"/>
        <v>349.00088556390153</v>
      </c>
    </row>
    <row r="168" spans="17:29" ht="15.75" customHeight="1">
      <c r="Q168" s="7">
        <v>8</v>
      </c>
      <c r="R168" s="7">
        <f t="shared" si="31"/>
        <v>360000</v>
      </c>
      <c r="S168" s="28">
        <f t="shared" si="32"/>
        <v>2261946.710584651</v>
      </c>
      <c r="T168" s="34">
        <f t="shared" si="23"/>
        <v>-26.836874409724395</v>
      </c>
      <c r="U168" s="34">
        <f t="shared" si="24"/>
        <v>-135.58975611308603</v>
      </c>
      <c r="V168" s="34">
        <f t="shared" si="25"/>
        <v>7.879682395830233</v>
      </c>
      <c r="W168" s="34">
        <f t="shared" si="26"/>
        <v>175.49999886343758</v>
      </c>
      <c r="X168" s="34">
        <f t="shared" si="29"/>
        <v>-18.95719201389416</v>
      </c>
      <c r="Y168" s="34">
        <f t="shared" si="29"/>
        <v>39.91024275035156</v>
      </c>
      <c r="Z168" s="34">
        <f t="shared" si="27"/>
        <v>-38.4762651365734</v>
      </c>
      <c r="AA168" s="34">
        <f t="shared" si="28"/>
        <v>170.60116949678388</v>
      </c>
      <c r="AB168" s="34">
        <f t="shared" si="30"/>
        <v>-30.59658274074317</v>
      </c>
      <c r="AC168" s="34">
        <f t="shared" si="30"/>
        <v>346.10116836022144</v>
      </c>
    </row>
    <row r="169" spans="17:29" ht="15.75" customHeight="1">
      <c r="Q169" s="7">
        <v>8.5</v>
      </c>
      <c r="R169" s="7">
        <f t="shared" si="31"/>
        <v>382500</v>
      </c>
      <c r="S169" s="28">
        <f t="shared" si="32"/>
        <v>2403318.3799961917</v>
      </c>
      <c r="T169" s="34">
        <f t="shared" si="23"/>
        <v>-27.74003467397375</v>
      </c>
      <c r="U169" s="34">
        <f t="shared" si="24"/>
        <v>-138.30182656899385</v>
      </c>
      <c r="V169" s="34">
        <f t="shared" si="25"/>
        <v>7.876488269018152</v>
      </c>
      <c r="W169" s="34">
        <f t="shared" si="26"/>
        <v>175.24052869226267</v>
      </c>
      <c r="X169" s="34">
        <f t="shared" si="29"/>
        <v>-19.8635464049556</v>
      </c>
      <c r="Y169" s="34">
        <f t="shared" si="29"/>
        <v>36.938702123268826</v>
      </c>
      <c r="Z169" s="34">
        <f t="shared" si="27"/>
        <v>-39.79880039541081</v>
      </c>
      <c r="AA169" s="34">
        <f t="shared" si="28"/>
        <v>168.35956893628187</v>
      </c>
      <c r="AB169" s="34">
        <f t="shared" si="30"/>
        <v>-31.922312126392654</v>
      </c>
      <c r="AC169" s="34">
        <f t="shared" si="30"/>
        <v>343.6000976285445</v>
      </c>
    </row>
    <row r="170" spans="17:29" ht="15.75" customHeight="1">
      <c r="Q170" s="7">
        <v>9</v>
      </c>
      <c r="R170" s="7">
        <f t="shared" si="31"/>
        <v>405000</v>
      </c>
      <c r="S170" s="28">
        <f t="shared" si="32"/>
        <v>2544690.049407732</v>
      </c>
      <c r="T170" s="34">
        <f t="shared" si="23"/>
        <v>-28.612322068831475</v>
      </c>
      <c r="U170" s="34">
        <f t="shared" si="24"/>
        <v>-140.73091515335702</v>
      </c>
      <c r="V170" s="34">
        <f t="shared" si="25"/>
        <v>7.8731040912670665</v>
      </c>
      <c r="W170" s="34">
        <f t="shared" si="26"/>
        <v>174.98014969070394</v>
      </c>
      <c r="X170" s="34">
        <f t="shared" si="29"/>
        <v>-20.739217977564408</v>
      </c>
      <c r="Y170" s="34">
        <f t="shared" si="29"/>
        <v>34.24923453734692</v>
      </c>
      <c r="Z170" s="34">
        <f t="shared" si="27"/>
        <v>-41.06155314746273</v>
      </c>
      <c r="AA170" s="34">
        <f t="shared" si="28"/>
        <v>166.46105341835346</v>
      </c>
      <c r="AB170" s="34">
        <f t="shared" si="30"/>
        <v>-33.188449056195665</v>
      </c>
      <c r="AC170" s="34">
        <f t="shared" si="30"/>
        <v>341.44120310905737</v>
      </c>
    </row>
    <row r="171" spans="17:29" ht="15.75" customHeight="1">
      <c r="Q171" s="7">
        <v>9.5</v>
      </c>
      <c r="R171" s="7">
        <f t="shared" si="31"/>
        <v>427500</v>
      </c>
      <c r="S171" s="28">
        <f t="shared" si="32"/>
        <v>2686061.718819273</v>
      </c>
      <c r="T171" s="34">
        <f t="shared" si="23"/>
        <v>-29.4535545282002</v>
      </c>
      <c r="U171" s="34">
        <f t="shared" si="24"/>
        <v>-142.91364385909182</v>
      </c>
      <c r="V171" s="34">
        <f t="shared" si="25"/>
        <v>7.869530164271364</v>
      </c>
      <c r="W171" s="34">
        <f t="shared" si="26"/>
        <v>174.7190491816924</v>
      </c>
      <c r="X171" s="34">
        <f t="shared" si="29"/>
        <v>-21.584024363928837</v>
      </c>
      <c r="Y171" s="34">
        <f t="shared" si="29"/>
        <v>31.805405322600592</v>
      </c>
      <c r="Z171" s="34">
        <f t="shared" si="27"/>
        <v>-42.26692858287237</v>
      </c>
      <c r="AA171" s="34">
        <f t="shared" si="28"/>
        <v>164.85624876361737</v>
      </c>
      <c r="AB171" s="34">
        <f t="shared" si="30"/>
        <v>-34.397398418601</v>
      </c>
      <c r="AC171" s="34">
        <f t="shared" si="30"/>
        <v>339.5752979453098</v>
      </c>
    </row>
    <row r="172" spans="17:29" ht="15.75" customHeight="1">
      <c r="Q172" s="7">
        <v>10</v>
      </c>
      <c r="R172" s="7">
        <f t="shared" si="31"/>
        <v>450000</v>
      </c>
      <c r="S172" s="28">
        <f t="shared" si="32"/>
        <v>2827433.3882308137</v>
      </c>
      <c r="T172" s="34">
        <f t="shared" si="23"/>
        <v>-30.26422897419661</v>
      </c>
      <c r="U172" s="34">
        <f t="shared" si="24"/>
        <v>-144.88207240863065</v>
      </c>
      <c r="V172" s="34">
        <f t="shared" si="25"/>
        <v>7.865766849392512</v>
      </c>
      <c r="W172" s="34">
        <f t="shared" si="26"/>
        <v>174.4573792974749</v>
      </c>
      <c r="X172" s="34">
        <f t="shared" si="29"/>
        <v>-22.398462124804098</v>
      </c>
      <c r="Y172" s="34">
        <f t="shared" si="29"/>
        <v>29.57530688884424</v>
      </c>
      <c r="Z172" s="34">
        <f t="shared" si="27"/>
        <v>-43.41771231490973</v>
      </c>
      <c r="AA172" s="34">
        <f t="shared" si="28"/>
        <v>163.50273051579362</v>
      </c>
      <c r="AB172" s="34">
        <f t="shared" si="30"/>
        <v>-35.551945465517214</v>
      </c>
      <c r="AC172" s="34">
        <f t="shared" si="30"/>
        <v>337.9601098132685</v>
      </c>
    </row>
  </sheetData>
  <sheetProtection formatCells="0" formatColumns="0" formatRows="0"/>
  <protectedRanges>
    <protectedRange sqref="I113" name="Range6"/>
    <protectedRange sqref="G106:G108" name="Range5"/>
    <protectedRange sqref="P1:AP191" name="Range3"/>
    <protectedRange sqref="I13 I14 I15 I16 I21 I28 I30 I36 I37 I39 I47 I52 I53 I60 I61 I71 I72 I73 I80 I86 I91 I96 I101 I103 I105 I108 I111 I114 I115 I116 I117" name="Range1"/>
    <protectedRange sqref="I112" name="Range2"/>
    <protectedRange sqref="I106:I107" name="Range4"/>
  </protectedRanges>
  <conditionalFormatting sqref="I62">
    <cfRule type="cellIs" priority="13" dxfId="21" operator="notBetween" stopIfTrue="1">
      <formula>1</formula>
      <formula>$W$25</formula>
    </cfRule>
  </conditionalFormatting>
  <conditionalFormatting sqref="I73">
    <cfRule type="cellIs" priority="14" dxfId="2" operator="greaterThan" stopIfTrue="1">
      <formula>0.1</formula>
    </cfRule>
  </conditionalFormatting>
  <conditionalFormatting sqref="I86">
    <cfRule type="cellIs" priority="15" dxfId="2" operator="lessThan" stopIfTrue="1">
      <formula>$W$26</formula>
    </cfRule>
  </conditionalFormatting>
  <conditionalFormatting sqref="I91">
    <cfRule type="cellIs" priority="16" dxfId="2" operator="lessThan" stopIfTrue="1">
      <formula>$W$27</formula>
    </cfRule>
  </conditionalFormatting>
  <conditionalFormatting sqref="I102:I103">
    <cfRule type="cellIs" priority="17" dxfId="2" operator="notBetween" stopIfTrue="1">
      <formula>2000</formula>
      <formula>40000</formula>
    </cfRule>
  </conditionalFormatting>
  <conditionalFormatting sqref="I106:I107">
    <cfRule type="cellIs" priority="18" dxfId="16" operator="equal" stopIfTrue="1">
      <formula>"NU"</formula>
    </cfRule>
  </conditionalFormatting>
  <conditionalFormatting sqref="I112:I117">
    <cfRule type="cellIs" priority="25" dxfId="22" operator="equal" stopIfTrue="1">
      <formula>"NA"</formula>
    </cfRule>
  </conditionalFormatting>
  <conditionalFormatting sqref="I13">
    <cfRule type="cellIs" priority="1" dxfId="14" operator="notBetween" stopIfTrue="1">
      <formula>$I$14</formula>
      <formula>65</formula>
    </cfRule>
  </conditionalFormatting>
  <conditionalFormatting sqref="I14">
    <cfRule type="cellIs" priority="2" dxfId="3" operator="notBetween" stopIfTrue="1">
      <formula>$I$15</formula>
      <formula>$I$13</formula>
    </cfRule>
  </conditionalFormatting>
  <conditionalFormatting sqref="I15">
    <cfRule type="cellIs" priority="3" dxfId="3" operator="notBetween" stopIfTrue="1">
      <formula>0.8</formula>
      <formula>$I$14</formula>
    </cfRule>
  </conditionalFormatting>
  <conditionalFormatting sqref="I17">
    <cfRule type="cellIs" priority="4" dxfId="3" operator="equal" stopIfTrue="1">
      <formula>"Out of Spec"</formula>
    </cfRule>
  </conditionalFormatting>
  <conditionalFormatting sqref="I21">
    <cfRule type="cellIs" priority="5" dxfId="3" operator="notBetween" stopIfTrue="1">
      <formula>50</formula>
      <formula>750</formula>
    </cfRule>
  </conditionalFormatting>
  <conditionalFormatting sqref="I22:I23">
    <cfRule type="cellIs" priority="6" dxfId="2" operator="equal" stopIfTrue="1">
      <formula>"Out of Spec"</formula>
    </cfRule>
  </conditionalFormatting>
  <conditionalFormatting sqref="I28">
    <cfRule type="cellIs" priority="7" dxfId="3" operator="notBetween" stopIfTrue="1">
      <formula>1</formula>
      <formula>99</formula>
    </cfRule>
  </conditionalFormatting>
  <conditionalFormatting sqref="I36">
    <cfRule type="cellIs" priority="8" dxfId="2" operator="notBetween" stopIfTrue="1">
      <formula>10</formula>
      <formula>100</formula>
    </cfRule>
  </conditionalFormatting>
  <conditionalFormatting sqref="I37">
    <cfRule type="cellIs" priority="9" dxfId="3" operator="notBetween" stopIfTrue="1">
      <formula>0.5</formula>
      <formula>3</formula>
    </cfRule>
  </conditionalFormatting>
  <conditionalFormatting sqref="I47">
    <cfRule type="cellIs" priority="10" dxfId="3" operator="notBetween" stopIfTrue="1">
      <formula>10</formula>
      <formula>2200</formula>
    </cfRule>
  </conditionalFormatting>
  <conditionalFormatting sqref="I52">
    <cfRule type="cellIs" priority="11" dxfId="3" operator="notBetween" stopIfTrue="1">
      <formula>$W$24</formula>
      <formula>$I$14</formula>
    </cfRule>
  </conditionalFormatting>
  <conditionalFormatting sqref="I53">
    <cfRule type="cellIs" priority="12" dxfId="3" operator="notBetween" stopIfTrue="1">
      <formula>0.1</formula>
      <formula>10</formula>
    </cfRule>
  </conditionalFormatting>
  <conditionalFormatting sqref="I101">
    <cfRule type="cellIs" priority="38" dxfId="2" operator="notBetween" stopIfTrue="1">
      <formula>$W$40</formula>
      <formula>$W$32</formula>
    </cfRule>
  </conditionalFormatting>
  <conditionalFormatting sqref="I111">
    <cfRule type="cellIs" priority="40" dxfId="23" operator="notBetween" stopIfTrue="1">
      <formula>-40</formula>
      <formula>125</formula>
    </cfRule>
  </conditionalFormatting>
  <conditionalFormatting sqref="I108">
    <cfRule type="cellIs" priority="41" dxfId="0" operator="equal" stopIfTrue="1">
      <formula>"NU"</formula>
    </cfRule>
  </conditionalFormatting>
  <dataValidations count="1">
    <dataValidation type="list" allowBlank="1" showInputMessage="1" showErrorMessage="1" sqref="I112">
      <formula1>$W$22:$W$23</formula1>
    </dataValidation>
  </dataValidations>
  <hyperlinks>
    <hyperlink ref="C125" r:id="rId1" display="http://webench.national.com/"/>
  </hyperlinks>
  <printOptions/>
  <pageMargins left="0.75" right="0.75" top="1" bottom="1" header="0.5" footer="0.5"/>
  <pageSetup horizontalDpi="600" verticalDpi="600" orientation="portrait" scale="66" r:id="rId6"/>
  <rowBreaks count="1" manualBreakCount="1">
    <brk id="64" max="255" man="1"/>
  </rowBreaks>
  <colBreaks count="1" manualBreakCount="1">
    <brk id="15" max="65535" man="1"/>
  </colBreaks>
  <drawing r:id="rId5"/>
  <legacyDrawing r:id="rId4"/>
  <oleObjects>
    <oleObject progId="Visio.Drawing.11" shapeId="1120133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Will, Jeffrey</cp:lastModifiedBy>
  <cp:lastPrinted>2011-04-28T16:21:22Z</cp:lastPrinted>
  <dcterms:created xsi:type="dcterms:W3CDTF">2010-11-02T15:04:40Z</dcterms:created>
  <dcterms:modified xsi:type="dcterms:W3CDTF">2021-10-19T18:02:06Z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