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tabRatio="715" activeTab="1"/>
  </bookViews>
  <sheets>
    <sheet name="Schematics" sheetId="1" r:id="rId1"/>
    <sheet name="Calculation Tool" sheetId="2" r:id="rId2"/>
  </sheets>
  <definedNames>
    <definedName name="Cp">'Calculation Tool'!$C$57</definedName>
    <definedName name="Cr">'Calculation Tool'!$C$26</definedName>
    <definedName name="Cs">'Calculation Tool'!$C$55</definedName>
    <definedName name="Css">'Calculation Tool'!$C$39</definedName>
    <definedName name="Eff">'Calculation Tool'!$C$13</definedName>
    <definedName name="fo">'Calculation Tool'!$C$31</definedName>
    <definedName name="fp">'Calculation Tool'!$C$32</definedName>
    <definedName name="fswmax">'Calculation Tool'!$C$9</definedName>
    <definedName name="fswmin">'Calculation Tool'!$C$10</definedName>
    <definedName name="fswnom">'Calculation Tool'!$C$8</definedName>
    <definedName name="I_rated">'Calculation Tool'!$C$47</definedName>
    <definedName name="IDS_P">'Calculation Tool'!$C$48</definedName>
    <definedName name="IDS_S">'Calculation Tool'!$C$50</definedName>
    <definedName name="Ilimit">'Calculation Tool'!$C$45</definedName>
    <definedName name="Iomax">'Calculation Tool'!$C$45</definedName>
    <definedName name="IRMS_P">'Calculation Tool'!$C$29</definedName>
    <definedName name="IRMS_S">'Calculation Tool'!$C$30</definedName>
    <definedName name="IRT">'Calculation Tool'!#REF!</definedName>
    <definedName name="IRT_max">'Calculation Tool'!$C$34</definedName>
    <definedName name="IRT_min">'Calculation Tool'!$C$35</definedName>
    <definedName name="Lm">'Calculation Tool'!$C$28</definedName>
    <definedName name="Lr">'Calculation Tool'!$C$27</definedName>
    <definedName name="m">'Calculation Tool'!$C$18</definedName>
    <definedName name="Mg_max">'Calculation Tool'!$C$21</definedName>
    <definedName name="Mg_min">'Calculation Tool'!$C$20</definedName>
    <definedName name="Nt">'Calculation Tool'!$C$23</definedName>
    <definedName name="Pin">'Calculation Tool'!$C$17</definedName>
    <definedName name="Plimit">'Calculation Tool'!$C$11</definedName>
    <definedName name="Pout">'Calculation Tool'!$C$12</definedName>
    <definedName name="Qr">'Calculation Tool'!$C$19</definedName>
    <definedName name="Rac">'Calculation Tool'!$C$25</definedName>
    <definedName name="RDT">'Calculation Tool'!$C$43</definedName>
    <definedName name="RL">'Calculation Tool'!$C$15</definedName>
    <definedName name="Rlimit">'Calculation Tool'!$C$46</definedName>
    <definedName name="Rmin">'Calculation Tool'!$C$46</definedName>
    <definedName name="Rp">'Calculation Tool'!$C$56</definedName>
    <definedName name="Rs">'Calculation Tool'!$C$54</definedName>
    <definedName name="RT">'Calculation Tool'!#REF!</definedName>
    <definedName name="RT1">'Calculation Tool'!$C$37</definedName>
    <definedName name="RT2">'Calculation Tool'!$C$36</definedName>
    <definedName name="Td">'Calculation Tool'!$C$42</definedName>
    <definedName name="Tdel">'Calculation Tool'!$C$40</definedName>
    <definedName name="Tss">'Calculation Tool'!$C$38</definedName>
    <definedName name="Tss_del">'Calculation Tool'!$C$41</definedName>
    <definedName name="Vcrpk">'Calculation Tool'!$C$53</definedName>
    <definedName name="VDS_P">'Calculation Tool'!$C$49</definedName>
    <definedName name="VDS_S">'Calculation Tool'!$C$51</definedName>
    <definedName name="Vin_max">'Calculation Tool'!$C$7</definedName>
    <definedName name="Vin_min">'Calculation Tool'!$C$6</definedName>
    <definedName name="Vo">'Calculation Tool'!$C$14</definedName>
    <definedName name="VREF">'Calculation Tool'!#REF!</definedName>
  </definedNames>
  <calcPr fullCalcOnLoad="1"/>
</workbook>
</file>

<file path=xl/sharedStrings.xml><?xml version="1.0" encoding="utf-8"?>
<sst xmlns="http://schemas.openxmlformats.org/spreadsheetml/2006/main" count="167" uniqueCount="127">
  <si>
    <t>Td</t>
  </si>
  <si>
    <t>Tss</t>
  </si>
  <si>
    <t>Css</t>
  </si>
  <si>
    <t>V</t>
  </si>
  <si>
    <t>kHz</t>
  </si>
  <si>
    <t>ms</t>
  </si>
  <si>
    <t>Tss+Tdel</t>
  </si>
  <si>
    <t>A</t>
  </si>
  <si>
    <t>W</t>
  </si>
  <si>
    <t>ns</t>
  </si>
  <si>
    <t>Tdel</t>
  </si>
  <si>
    <t>nF</t>
  </si>
  <si>
    <t>shaded</t>
  </si>
  <si>
    <t xml:space="preserve">cells; </t>
  </si>
  <si>
    <t>Design Parameters:</t>
  </si>
  <si>
    <t>Variable Names</t>
  </si>
  <si>
    <t>Units</t>
  </si>
  <si>
    <t>Maximum Output Power</t>
  </si>
  <si>
    <r>
      <t>P</t>
    </r>
    <r>
      <rPr>
        <vertAlign val="subscript"/>
        <sz val="10"/>
        <rFont val="Arial"/>
        <family val="2"/>
      </rPr>
      <t>OUT</t>
    </r>
  </si>
  <si>
    <t>Full Load Efficiency</t>
  </si>
  <si>
    <t>Ω</t>
  </si>
  <si>
    <t>Minimum DC Input Voltage</t>
  </si>
  <si>
    <t>Maximum DC Input Voltage</t>
  </si>
  <si>
    <t>Switching Frequency</t>
  </si>
  <si>
    <t>Transformer Turns Ratio</t>
  </si>
  <si>
    <t>Maximum Power Limit</t>
  </si>
  <si>
    <r>
      <t>P</t>
    </r>
    <r>
      <rPr>
        <vertAlign val="subscript"/>
        <sz val="10"/>
        <rFont val="Arial"/>
        <family val="2"/>
      </rPr>
      <t>limit</t>
    </r>
  </si>
  <si>
    <t>Iout</t>
  </si>
  <si>
    <t>kΩ</t>
  </si>
  <si>
    <t>Soft start time assumed</t>
  </si>
  <si>
    <t>Soft start capacitance</t>
  </si>
  <si>
    <t>Soft start time adjusted</t>
  </si>
  <si>
    <r>
      <t>f</t>
    </r>
    <r>
      <rPr>
        <vertAlign val="subscript"/>
        <sz val="10"/>
        <rFont val="Arial"/>
        <family val="2"/>
      </rPr>
      <t>swnom</t>
    </r>
  </si>
  <si>
    <t>Maximum Rated Output Current, DC</t>
  </si>
  <si>
    <t>Maximum Output Current Limit, DC</t>
  </si>
  <si>
    <r>
      <t>I</t>
    </r>
    <r>
      <rPr>
        <vertAlign val="subscript"/>
        <sz val="10"/>
        <rFont val="Arial"/>
        <family val="2"/>
      </rPr>
      <t>limit</t>
    </r>
  </si>
  <si>
    <t>Primary MOSFET RMS Current</t>
  </si>
  <si>
    <t>Primary MOSFET Maximum Voltage</t>
  </si>
  <si>
    <t>Secondary MOSFET RMS Current</t>
  </si>
  <si>
    <r>
      <t>I</t>
    </r>
    <r>
      <rPr>
        <vertAlign val="subscript"/>
        <sz val="10"/>
        <rFont val="Arial"/>
        <family val="2"/>
      </rPr>
      <t>DS_P</t>
    </r>
  </si>
  <si>
    <r>
      <t>V</t>
    </r>
    <r>
      <rPr>
        <vertAlign val="subscript"/>
        <sz val="10"/>
        <rFont val="Arial"/>
        <family val="2"/>
      </rPr>
      <t>DS_P</t>
    </r>
  </si>
  <si>
    <r>
      <t>I</t>
    </r>
    <r>
      <rPr>
        <vertAlign val="subscript"/>
        <sz val="10"/>
        <rFont val="Arial"/>
        <family val="2"/>
      </rPr>
      <t>DS_S</t>
    </r>
  </si>
  <si>
    <r>
      <t>V</t>
    </r>
    <r>
      <rPr>
        <vertAlign val="subscript"/>
        <sz val="10"/>
        <rFont val="Arial"/>
        <family val="2"/>
      </rPr>
      <t>DS_S</t>
    </r>
  </si>
  <si>
    <t>Secondary MOSFET Maximum Voltage</t>
  </si>
  <si>
    <t>Calculated Values for the Design Example</t>
  </si>
  <si>
    <t>Enter values in the</t>
  </si>
  <si>
    <r>
      <t xml:space="preserve">Calculated results shown in </t>
    </r>
    <r>
      <rPr>
        <b/>
        <sz val="12"/>
        <color indexed="12"/>
        <rFont val="Arial"/>
        <family val="2"/>
      </rPr>
      <t>BLUE</t>
    </r>
  </si>
  <si>
    <t>Value</t>
  </si>
  <si>
    <t>Design Tool for Converters using UCC25600</t>
  </si>
  <si>
    <t>This tool was designed to work with the design example in UCC25600 datasheet.</t>
  </si>
  <si>
    <t>Input Power</t>
  </si>
  <si>
    <r>
      <t>P</t>
    </r>
    <r>
      <rPr>
        <vertAlign val="subscript"/>
        <sz val="10"/>
        <rFont val="Arial"/>
        <family val="2"/>
      </rPr>
      <t>in</t>
    </r>
  </si>
  <si>
    <t>Voltage gain of resonant network</t>
  </si>
  <si>
    <t>Transformer</t>
  </si>
  <si>
    <t>Output voltage</t>
  </si>
  <si>
    <r>
      <t>V</t>
    </r>
    <r>
      <rPr>
        <vertAlign val="subscript"/>
        <sz val="10"/>
        <rFont val="Arial"/>
        <family val="2"/>
      </rPr>
      <t>O</t>
    </r>
  </si>
  <si>
    <t>Resonant Network</t>
  </si>
  <si>
    <t>Primary equivalent load resistance</t>
  </si>
  <si>
    <r>
      <t>R</t>
    </r>
    <r>
      <rPr>
        <vertAlign val="subscript"/>
        <sz val="10"/>
        <rFont val="Arial"/>
        <family val="2"/>
      </rPr>
      <t>ac</t>
    </r>
  </si>
  <si>
    <t>Resonant capacitance</t>
  </si>
  <si>
    <r>
      <t>C</t>
    </r>
    <r>
      <rPr>
        <vertAlign val="subscript"/>
        <sz val="10"/>
        <rFont val="Arial"/>
        <family val="2"/>
      </rPr>
      <t>r</t>
    </r>
  </si>
  <si>
    <t>Resonant inductance</t>
  </si>
  <si>
    <t>uH</t>
  </si>
  <si>
    <r>
      <t>L</t>
    </r>
    <r>
      <rPr>
        <vertAlign val="subscript"/>
        <sz val="10"/>
        <rFont val="Arial"/>
        <family val="2"/>
      </rPr>
      <t>r</t>
    </r>
  </si>
  <si>
    <t>Magnetizing inductance</t>
  </si>
  <si>
    <r>
      <t>L</t>
    </r>
    <r>
      <rPr>
        <vertAlign val="subscript"/>
        <sz val="10"/>
        <rFont val="Arial"/>
        <family val="2"/>
      </rPr>
      <t>m</t>
    </r>
  </si>
  <si>
    <r>
      <t>I</t>
    </r>
    <r>
      <rPr>
        <vertAlign val="subscript"/>
        <sz val="10"/>
        <rFont val="Arial"/>
        <family val="2"/>
      </rPr>
      <t>RMS_P</t>
    </r>
  </si>
  <si>
    <t>Primary winding RMS current</t>
  </si>
  <si>
    <t>Secondary winding RMS current</t>
  </si>
  <si>
    <r>
      <t>I</t>
    </r>
    <r>
      <rPr>
        <vertAlign val="subscript"/>
        <sz val="10"/>
        <rFont val="Arial"/>
        <family val="2"/>
      </rPr>
      <t>RMS_S</t>
    </r>
  </si>
  <si>
    <t>Output load resistance at full load</t>
  </si>
  <si>
    <r>
      <t>R</t>
    </r>
    <r>
      <rPr>
        <vertAlign val="subscript"/>
        <sz val="10"/>
        <rFont val="Arial"/>
        <family val="2"/>
      </rPr>
      <t>L</t>
    </r>
  </si>
  <si>
    <t>RT current for switching frequency</t>
  </si>
  <si>
    <t>mA</t>
  </si>
  <si>
    <t>Soft start delay time</t>
  </si>
  <si>
    <t>DT resistor</t>
  </si>
  <si>
    <r>
      <t>R</t>
    </r>
    <r>
      <rPr>
        <vertAlign val="subscript"/>
        <sz val="10"/>
        <rFont val="Arial"/>
        <family val="2"/>
      </rPr>
      <t>DT</t>
    </r>
  </si>
  <si>
    <t>Dead time</t>
  </si>
  <si>
    <t>LLC Resonant Half Bridge Converter Design using UCC25600</t>
  </si>
  <si>
    <t>Resonant frequency high</t>
  </si>
  <si>
    <r>
      <t>f</t>
    </r>
    <r>
      <rPr>
        <vertAlign val="subscript"/>
        <sz val="10"/>
        <rFont val="Arial"/>
        <family val="2"/>
      </rPr>
      <t>O</t>
    </r>
  </si>
  <si>
    <t>Resonant frequency low</t>
  </si>
  <si>
    <r>
      <t>f</t>
    </r>
    <r>
      <rPr>
        <vertAlign val="subscript"/>
        <sz val="10"/>
        <rFont val="Arial"/>
        <family val="2"/>
      </rPr>
      <t>P</t>
    </r>
  </si>
  <si>
    <t>m</t>
  </si>
  <si>
    <t>Maximum switching frequency</t>
  </si>
  <si>
    <r>
      <t>f</t>
    </r>
    <r>
      <rPr>
        <sz val="8"/>
        <rFont val="Arial"/>
        <family val="2"/>
      </rPr>
      <t>swmax</t>
    </r>
  </si>
  <si>
    <t>Minimum switching frequency</t>
  </si>
  <si>
    <r>
      <t>f</t>
    </r>
    <r>
      <rPr>
        <sz val="8"/>
        <rFont val="Arial"/>
        <family val="2"/>
      </rPr>
      <t>swmin</t>
    </r>
  </si>
  <si>
    <t>Current sensing and protection</t>
  </si>
  <si>
    <t>Maximum voltage on resonant capacitor</t>
  </si>
  <si>
    <t>Vcrpk</t>
  </si>
  <si>
    <t>Load resistance at maximum current</t>
  </si>
  <si>
    <t>Rlimit</t>
  </si>
  <si>
    <t>Sensing resistor</t>
  </si>
  <si>
    <t>Rs</t>
  </si>
  <si>
    <t>MΩ</t>
  </si>
  <si>
    <t>Sensing capacitor</t>
  </si>
  <si>
    <t>Cs</t>
  </si>
  <si>
    <t>Rp</t>
  </si>
  <si>
    <t>Cp</t>
  </si>
  <si>
    <t>Qr</t>
  </si>
  <si>
    <r>
      <t>N</t>
    </r>
    <r>
      <rPr>
        <sz val="8"/>
        <rFont val="Arial"/>
        <family val="2"/>
      </rPr>
      <t>t</t>
    </r>
  </si>
  <si>
    <t>RT1</t>
  </si>
  <si>
    <t>RT2</t>
  </si>
  <si>
    <t>MOSFETs and Load</t>
  </si>
  <si>
    <t>pF</t>
  </si>
  <si>
    <t>Ratio of Lm/Lr</t>
  </si>
  <si>
    <t>Mg_min</t>
  </si>
  <si>
    <t>Mg_max</t>
  </si>
  <si>
    <r>
      <t>V</t>
    </r>
    <r>
      <rPr>
        <vertAlign val="subscript"/>
        <sz val="10"/>
        <rFont val="Arial"/>
        <family val="2"/>
      </rPr>
      <t>in_min</t>
    </r>
  </si>
  <si>
    <r>
      <t>V</t>
    </r>
    <r>
      <rPr>
        <vertAlign val="subscript"/>
        <sz val="10"/>
        <rFont val="Arial"/>
        <family val="2"/>
      </rPr>
      <t>in_max</t>
    </r>
  </si>
  <si>
    <t>Eff</t>
  </si>
  <si>
    <t>*Note</t>
  </si>
  <si>
    <t>IRT_min</t>
  </si>
  <si>
    <t>IRT_max</t>
  </si>
  <si>
    <t>*Note: based on the curves, pick up "m" and "Qr" to satisfy Mg_max value of:</t>
  </si>
  <si>
    <t>RefDes</t>
  </si>
  <si>
    <t>Lr</t>
  </si>
  <si>
    <t>Lm</t>
  </si>
  <si>
    <t>Cr</t>
  </si>
  <si>
    <t>Q1, Q2</t>
  </si>
  <si>
    <t>Vds &gt;</t>
  </si>
  <si>
    <t>ID &gt;</t>
  </si>
  <si>
    <t>Q3, Q4</t>
  </si>
  <si>
    <t xml:space="preserve">Vac &gt; </t>
  </si>
  <si>
    <t>sluc146</t>
  </si>
  <si>
    <r>
      <t>Rev 1.2</t>
    </r>
    <r>
      <rPr>
        <sz val="10"/>
        <rFont val="Arial"/>
        <family val="0"/>
      </rPr>
      <t xml:space="preserve">  2009-04-29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</si>
</sst>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E+00"/>
    <numFmt numFmtId="170" formatCode="0.0000E+00"/>
    <numFmt numFmtId="171" formatCode="0.000000E+00"/>
    <numFmt numFmtId="172" formatCode="0.E+00"/>
    <numFmt numFmtId="173" formatCode="0.000"/>
    <numFmt numFmtId="174" formatCode="0.000E+00"/>
    <numFmt numFmtId="175" formatCode="&quot;$&quot;#,##0.0"/>
    <numFmt numFmtId="176" formatCode="#,##0.0"/>
    <numFmt numFmtId="177" formatCode="0.00000"/>
    <numFmt numFmtId="178" formatCode="0.0000"/>
    <numFmt numFmtId="179" formatCode="0.0\ &quot;uH&quot;"/>
    <numFmt numFmtId="180" formatCode="0.0\ &quot;nF&quot;"/>
    <numFmt numFmtId="181" formatCode="0.0\ &quot;pF&quot;"/>
    <numFmt numFmtId="182" formatCode="0.00\ &quot;MΩ&quot;"/>
    <numFmt numFmtId="183" formatCode="0.0\ &quot;kΩ&quot;"/>
    <numFmt numFmtId="184" formatCode="0.00\ &quot;kΩ&quot;"/>
    <numFmt numFmtId="185" formatCode="0\ &quot;V&quot;"/>
    <numFmt numFmtId="186" formatCode="0.00\ &quot;A&quot;"/>
    <numFmt numFmtId="187" formatCode="0.0\ &quot;V&quot;"/>
    <numFmt numFmtId="188" formatCode="0\ &quot;Vrms&quot;"/>
    <numFmt numFmtId="189" formatCode="0.0\ &quot;A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Fswnom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/>
    </xf>
    <xf numFmtId="168" fontId="8" fillId="3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11" fillId="0" borderId="2" xfId="0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168" fontId="8" fillId="3" borderId="1" xfId="0" applyNumberFormat="1" applyFont="1" applyFill="1" applyBorder="1" applyAlignment="1" applyProtection="1">
      <alignment vertical="center"/>
      <protection hidden="1"/>
    </xf>
    <xf numFmtId="168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168" fontId="12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68" fontId="8" fillId="2" borderId="1" xfId="0" applyNumberFormat="1" applyFont="1" applyFill="1" applyBorder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4" fillId="5" borderId="0" xfId="0" applyNumberFormat="1" applyFont="1" applyFill="1" applyAlignment="1">
      <alignment horizontal="left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180" fontId="0" fillId="4" borderId="4" xfId="0" applyNumberForma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85" fontId="0" fillId="4" borderId="5" xfId="0" applyNumberFormat="1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4" fillId="6" borderId="3" xfId="0" applyFont="1" applyFill="1" applyBorder="1" applyAlignment="1">
      <alignment horizontal="center"/>
    </xf>
    <xf numFmtId="180" fontId="0" fillId="4" borderId="5" xfId="0" applyNumberFormat="1" applyFill="1" applyBorder="1" applyAlignment="1">
      <alignment horizontal="right"/>
    </xf>
    <xf numFmtId="180" fontId="0" fillId="4" borderId="3" xfId="0" applyNumberFormat="1" applyFill="1" applyBorder="1" applyAlignment="1">
      <alignment horizontal="right"/>
    </xf>
    <xf numFmtId="188" fontId="0" fillId="4" borderId="5" xfId="0" applyNumberFormat="1" applyFill="1" applyBorder="1" applyAlignment="1">
      <alignment horizontal="left"/>
    </xf>
    <xf numFmtId="0" fontId="5" fillId="4" borderId="0" xfId="0" applyFont="1" applyFill="1" applyAlignment="1">
      <alignment/>
    </xf>
    <xf numFmtId="11" fontId="8" fillId="3" borderId="1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189" fontId="0" fillId="4" borderId="4" xfId="0" applyNumberFormat="1" applyFill="1" applyBorder="1" applyAlignment="1">
      <alignment horizontal="left"/>
    </xf>
    <xf numFmtId="184" fontId="0" fillId="4" borderId="3" xfId="0" applyNumberFormat="1" applyFill="1" applyBorder="1" applyAlignment="1">
      <alignment horizontal="center"/>
    </xf>
    <xf numFmtId="184" fontId="0" fillId="4" borderId="5" xfId="0" applyNumberFormat="1" applyFill="1" applyBorder="1" applyAlignment="1">
      <alignment horizontal="center"/>
    </xf>
    <xf numFmtId="184" fontId="0" fillId="4" borderId="4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82" fontId="0" fillId="4" borderId="3" xfId="0" applyNumberFormat="1" applyFill="1" applyBorder="1" applyAlignment="1">
      <alignment horizontal="center"/>
    </xf>
    <xf numFmtId="182" fontId="0" fillId="4" borderId="5" xfId="0" applyNumberFormat="1" applyFill="1" applyBorder="1" applyAlignment="1">
      <alignment horizontal="center"/>
    </xf>
    <xf numFmtId="182" fontId="0" fillId="4" borderId="4" xfId="0" applyNumberFormat="1" applyFill="1" applyBorder="1" applyAlignment="1">
      <alignment horizontal="center"/>
    </xf>
    <xf numFmtId="183" fontId="0" fillId="4" borderId="3" xfId="0" applyNumberFormat="1" applyFill="1" applyBorder="1" applyAlignment="1">
      <alignment horizontal="center"/>
    </xf>
    <xf numFmtId="183" fontId="0" fillId="4" borderId="5" xfId="0" applyNumberFormat="1" applyFill="1" applyBorder="1" applyAlignment="1">
      <alignment horizontal="center"/>
    </xf>
    <xf numFmtId="183" fontId="0" fillId="4" borderId="4" xfId="0" applyNumberFormat="1" applyFill="1" applyBorder="1" applyAlignment="1">
      <alignment horizontal="center"/>
    </xf>
    <xf numFmtId="180" fontId="0" fillId="4" borderId="3" xfId="0" applyNumberFormat="1" applyFill="1" applyBorder="1" applyAlignment="1">
      <alignment horizontal="center"/>
    </xf>
    <xf numFmtId="180" fontId="0" fillId="4" borderId="5" xfId="0" applyNumberFormat="1" applyFill="1" applyBorder="1" applyAlignment="1">
      <alignment horizontal="center"/>
    </xf>
    <xf numFmtId="180" fontId="0" fillId="4" borderId="4" xfId="0" applyNumberFormat="1" applyFill="1" applyBorder="1" applyAlignment="1">
      <alignment horizontal="center"/>
    </xf>
    <xf numFmtId="179" fontId="0" fillId="4" borderId="3" xfId="0" applyNumberFormat="1" applyFill="1" applyBorder="1" applyAlignment="1">
      <alignment horizontal="center"/>
    </xf>
    <xf numFmtId="179" fontId="0" fillId="4" borderId="5" xfId="0" applyNumberFormat="1" applyFill="1" applyBorder="1" applyAlignment="1">
      <alignment horizontal="center"/>
    </xf>
    <xf numFmtId="179" fontId="0" fillId="4" borderId="4" xfId="0" applyNumberFormat="1" applyFill="1" applyBorder="1" applyAlignment="1">
      <alignment horizontal="center"/>
    </xf>
    <xf numFmtId="181" fontId="0" fillId="4" borderId="3" xfId="0" applyNumberFormat="1" applyFill="1" applyBorder="1" applyAlignment="1">
      <alignment horizontal="center"/>
    </xf>
    <xf numFmtId="181" fontId="0" fillId="4" borderId="5" xfId="0" applyNumberFormat="1" applyFill="1" applyBorder="1" applyAlignment="1">
      <alignment horizontal="center"/>
    </xf>
    <xf numFmtId="181" fontId="0" fillId="4" borderId="4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152400</xdr:rowOff>
    </xdr:from>
    <xdr:to>
      <xdr:col>14</xdr:col>
      <xdr:colOff>104775</xdr:colOff>
      <xdr:row>36</xdr:row>
      <xdr:rowOff>142875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90525"/>
          <a:ext cx="8867775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3</xdr:row>
      <xdr:rowOff>19050</xdr:rowOff>
    </xdr:from>
    <xdr:to>
      <xdr:col>7</xdr:col>
      <xdr:colOff>428625</xdr:colOff>
      <xdr:row>17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09600"/>
          <a:ext cx="55245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18</xdr:row>
      <xdr:rowOff>57150</xdr:rowOff>
    </xdr:from>
    <xdr:to>
      <xdr:col>7</xdr:col>
      <xdr:colOff>371475</xdr:colOff>
      <xdr:row>45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419475"/>
          <a:ext cx="52673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zoomScale="75" zoomScaleNormal="75" workbookViewId="0" topLeftCell="A1">
      <selection activeCell="B50" sqref="B50"/>
    </sheetView>
  </sheetViews>
  <sheetFormatPr defaultColWidth="9.140625" defaultRowHeight="12.75"/>
  <cols>
    <col min="1" max="2" width="9.140625" style="39" customWidth="1"/>
    <col min="3" max="3" width="7.28125" style="39" customWidth="1"/>
    <col min="4" max="4" width="10.00390625" style="39" customWidth="1"/>
    <col min="5" max="6" width="15.8515625" style="39" customWidth="1"/>
    <col min="7" max="16384" width="9.140625" style="39" customWidth="1"/>
  </cols>
  <sheetData>
    <row r="1" ht="18.75" customHeight="1">
      <c r="B1" s="49" t="s">
        <v>78</v>
      </c>
    </row>
    <row r="2" ht="12.75">
      <c r="B2" s="38"/>
    </row>
    <row r="3" ht="12.75">
      <c r="B3" s="38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spans="2:6" ht="12.75">
      <c r="B38" s="45" t="s">
        <v>116</v>
      </c>
      <c r="C38" s="56" t="s">
        <v>47</v>
      </c>
      <c r="D38" s="56"/>
      <c r="E38" s="56"/>
      <c r="F38" s="56"/>
    </row>
    <row r="39" spans="2:6" ht="12.75">
      <c r="B39" s="40" t="s">
        <v>117</v>
      </c>
      <c r="C39" s="66">
        <f>Lr</f>
        <v>62.39927418751472</v>
      </c>
      <c r="D39" s="67"/>
      <c r="E39" s="67"/>
      <c r="F39" s="68"/>
    </row>
    <row r="40" spans="2:6" ht="12.75">
      <c r="B40" s="40" t="s">
        <v>118</v>
      </c>
      <c r="C40" s="66">
        <f>Lm</f>
        <v>259.79568780006133</v>
      </c>
      <c r="D40" s="67"/>
      <c r="E40" s="67"/>
      <c r="F40" s="68"/>
    </row>
    <row r="41" spans="2:6" ht="12.75">
      <c r="B41" s="40" t="s">
        <v>119</v>
      </c>
      <c r="C41" s="47">
        <f>Cr</f>
        <v>24.04442909787905</v>
      </c>
      <c r="D41" s="46" t="s">
        <v>124</v>
      </c>
      <c r="E41" s="48">
        <f>Vcrpk+Vin_max/2</f>
        <v>403.18009346288125</v>
      </c>
      <c r="F41" s="41"/>
    </row>
    <row r="42" spans="2:6" ht="12.75">
      <c r="B42" s="40" t="s">
        <v>97</v>
      </c>
      <c r="C42" s="69">
        <f>Cs</f>
        <v>292.1275289088353</v>
      </c>
      <c r="D42" s="70"/>
      <c r="E42" s="70"/>
      <c r="F42" s="71"/>
    </row>
    <row r="43" spans="2:6" ht="12.75">
      <c r="B43" s="40" t="s">
        <v>94</v>
      </c>
      <c r="C43" s="57">
        <f>Rs</f>
        <v>0.40272499912270754</v>
      </c>
      <c r="D43" s="58"/>
      <c r="E43" s="58"/>
      <c r="F43" s="59"/>
    </row>
    <row r="44" spans="2:6" ht="12.75">
      <c r="B44" s="40" t="s">
        <v>98</v>
      </c>
      <c r="C44" s="60">
        <f>Rp</f>
        <v>6.301354934734471</v>
      </c>
      <c r="D44" s="61"/>
      <c r="E44" s="61"/>
      <c r="F44" s="62"/>
    </row>
    <row r="45" spans="2:6" ht="12.75">
      <c r="B45" s="40" t="s">
        <v>99</v>
      </c>
      <c r="C45" s="63">
        <f>Cp</f>
        <v>18.670120956848923</v>
      </c>
      <c r="D45" s="64"/>
      <c r="E45" s="64"/>
      <c r="F45" s="65"/>
    </row>
    <row r="46" spans="2:6" ht="12.75">
      <c r="B46" s="40" t="s">
        <v>102</v>
      </c>
      <c r="C46" s="53">
        <f>RT1</f>
        <v>0.6856741352201258</v>
      </c>
      <c r="D46" s="54"/>
      <c r="E46" s="54"/>
      <c r="F46" s="55"/>
    </row>
    <row r="47" spans="2:6" ht="12.75">
      <c r="B47" s="40" t="s">
        <v>103</v>
      </c>
      <c r="C47" s="53">
        <f>RT2</f>
        <v>2.388480392156863</v>
      </c>
      <c r="D47" s="54"/>
      <c r="E47" s="54"/>
      <c r="F47" s="55"/>
    </row>
    <row r="48" spans="2:6" ht="12.75">
      <c r="B48" s="40" t="s">
        <v>120</v>
      </c>
      <c r="C48" s="42" t="s">
        <v>121</v>
      </c>
      <c r="D48" s="43">
        <f>VDS_P</f>
        <v>486</v>
      </c>
      <c r="E48" s="44" t="s">
        <v>122</v>
      </c>
      <c r="F48" s="52">
        <f>IDS_P</f>
        <v>2.059826031862222</v>
      </c>
    </row>
    <row r="49" spans="2:6" ht="12.75">
      <c r="B49" s="40" t="s">
        <v>123</v>
      </c>
      <c r="C49" s="42" t="s">
        <v>121</v>
      </c>
      <c r="D49" s="43">
        <f>VDS_S</f>
        <v>36.36734693877551</v>
      </c>
      <c r="E49" s="44" t="s">
        <v>122</v>
      </c>
      <c r="F49" s="52">
        <f>IDS_S</f>
        <v>20.933333333333334</v>
      </c>
    </row>
  </sheetData>
  <sheetProtection password="A03D" sheet="1" objects="1" scenarios="1" selectLockedCells="1"/>
  <mergeCells count="9">
    <mergeCell ref="C47:F47"/>
    <mergeCell ref="C38:F38"/>
    <mergeCell ref="C43:F43"/>
    <mergeCell ref="C44:F44"/>
    <mergeCell ref="C45:F45"/>
    <mergeCell ref="C46:F46"/>
    <mergeCell ref="C39:F39"/>
    <mergeCell ref="C40:F40"/>
    <mergeCell ref="C42:F42"/>
  </mergeCells>
  <printOptions/>
  <pageMargins left="0.44" right="0.35" top="1" bottom="1" header="0.5" footer="0.5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workbookViewId="0" topLeftCell="A1">
      <selection activeCell="C6" sqref="C6"/>
    </sheetView>
  </sheetViews>
  <sheetFormatPr defaultColWidth="9.140625" defaultRowHeight="12.75"/>
  <cols>
    <col min="1" max="1" width="44.7109375" style="0" customWidth="1"/>
    <col min="2" max="2" width="16.421875" style="0" customWidth="1"/>
    <col min="3" max="3" width="10.28125" style="0" customWidth="1"/>
    <col min="4" max="4" width="7.00390625" style="0" customWidth="1"/>
    <col min="6" max="6" width="64.57421875" style="0" bestFit="1" customWidth="1"/>
  </cols>
  <sheetData>
    <row r="1" spans="1:7" ht="18">
      <c r="A1" s="6" t="s">
        <v>48</v>
      </c>
      <c r="C1" s="74" t="s">
        <v>125</v>
      </c>
      <c r="E1" s="73" t="s">
        <v>126</v>
      </c>
      <c r="G1" s="51"/>
    </row>
    <row r="2" ht="12.75">
      <c r="A2" s="16" t="s">
        <v>49</v>
      </c>
    </row>
    <row r="3" spans="1:4" ht="15.75">
      <c r="A3" s="1" t="s">
        <v>45</v>
      </c>
      <c r="B3" s="2" t="s">
        <v>12</v>
      </c>
      <c r="C3" s="3" t="s">
        <v>13</v>
      </c>
      <c r="D3" s="4"/>
    </row>
    <row r="4" spans="1:3" ht="15.75">
      <c r="A4" s="72" t="s">
        <v>46</v>
      </c>
      <c r="B4" s="72"/>
      <c r="C4" s="72"/>
    </row>
    <row r="5" spans="1:4" ht="12.75">
      <c r="A5" s="7" t="s">
        <v>14</v>
      </c>
      <c r="B5" s="8" t="s">
        <v>15</v>
      </c>
      <c r="C5" s="18" t="s">
        <v>47</v>
      </c>
      <c r="D5" s="8" t="s">
        <v>16</v>
      </c>
    </row>
    <row r="6" spans="1:4" ht="15.75">
      <c r="A6" s="5" t="s">
        <v>21</v>
      </c>
      <c r="B6" s="4" t="s">
        <v>109</v>
      </c>
      <c r="C6" s="30">
        <v>375</v>
      </c>
      <c r="D6" s="4" t="s">
        <v>3</v>
      </c>
    </row>
    <row r="7" spans="1:4" ht="15.75">
      <c r="A7" s="5" t="s">
        <v>22</v>
      </c>
      <c r="B7" s="4" t="s">
        <v>110</v>
      </c>
      <c r="C7" s="32">
        <v>405</v>
      </c>
      <c r="D7" s="4" t="s">
        <v>3</v>
      </c>
    </row>
    <row r="8" spans="1:4" ht="15.75">
      <c r="A8" s="5" t="s">
        <v>23</v>
      </c>
      <c r="B8" s="4" t="s">
        <v>32</v>
      </c>
      <c r="C8" s="33">
        <v>130</v>
      </c>
      <c r="D8" s="4" t="s">
        <v>4</v>
      </c>
    </row>
    <row r="9" spans="1:4" ht="12.75">
      <c r="A9" s="5" t="s">
        <v>84</v>
      </c>
      <c r="B9" s="4" t="s">
        <v>85</v>
      </c>
      <c r="C9" s="30">
        <v>350</v>
      </c>
      <c r="D9" s="4" t="s">
        <v>4</v>
      </c>
    </row>
    <row r="10" spans="1:4" ht="12.75">
      <c r="A10" s="5" t="s">
        <v>86</v>
      </c>
      <c r="B10" s="4" t="s">
        <v>87</v>
      </c>
      <c r="C10" s="30">
        <v>85</v>
      </c>
      <c r="D10" s="4" t="s">
        <v>4</v>
      </c>
    </row>
    <row r="11" spans="1:4" ht="15.75">
      <c r="A11" s="5" t="s">
        <v>25</v>
      </c>
      <c r="B11" s="4" t="s">
        <v>26</v>
      </c>
      <c r="C11" s="30">
        <v>350</v>
      </c>
      <c r="D11" s="4" t="s">
        <v>8</v>
      </c>
    </row>
    <row r="12" spans="1:4" ht="15.75">
      <c r="A12" s="5" t="s">
        <v>17</v>
      </c>
      <c r="B12" s="4" t="s">
        <v>18</v>
      </c>
      <c r="C12" s="30">
        <v>320</v>
      </c>
      <c r="D12" s="4" t="s">
        <v>8</v>
      </c>
    </row>
    <row r="13" spans="1:4" ht="12.75">
      <c r="A13" s="5" t="s">
        <v>19</v>
      </c>
      <c r="B13" s="4" t="s">
        <v>111</v>
      </c>
      <c r="C13" s="34">
        <v>0.96</v>
      </c>
      <c r="D13" s="4"/>
    </row>
    <row r="14" spans="1:4" ht="15.75">
      <c r="A14" s="5" t="s">
        <v>54</v>
      </c>
      <c r="B14" s="4" t="s">
        <v>55</v>
      </c>
      <c r="C14" s="30">
        <v>12</v>
      </c>
      <c r="D14" s="4" t="s">
        <v>3</v>
      </c>
    </row>
    <row r="15" spans="1:4" ht="15.75">
      <c r="A15" s="5" t="s">
        <v>70</v>
      </c>
      <c r="B15" s="4" t="s">
        <v>71</v>
      </c>
      <c r="C15" s="10">
        <f>Vo^2/Pout</f>
        <v>0.45</v>
      </c>
      <c r="D15" s="5" t="s">
        <v>20</v>
      </c>
    </row>
    <row r="16" spans="1:4" ht="12.75">
      <c r="A16" s="7" t="s">
        <v>50</v>
      </c>
      <c r="B16" s="4"/>
      <c r="C16" s="19"/>
      <c r="D16" s="4"/>
    </row>
    <row r="17" spans="1:4" ht="15.75">
      <c r="A17" s="5" t="s">
        <v>50</v>
      </c>
      <c r="B17" s="4" t="s">
        <v>51</v>
      </c>
      <c r="C17" s="11">
        <f>Pout/Eff</f>
        <v>333.33333333333337</v>
      </c>
      <c r="D17" s="4" t="s">
        <v>8</v>
      </c>
    </row>
    <row r="18" spans="1:12" ht="12.75">
      <c r="A18" s="5" t="s">
        <v>106</v>
      </c>
      <c r="B18" s="4" t="s">
        <v>83</v>
      </c>
      <c r="C18" s="35">
        <v>8.8</v>
      </c>
      <c r="D18" s="27" t="s">
        <v>112</v>
      </c>
      <c r="F18" s="28" t="s">
        <v>115</v>
      </c>
      <c r="G18" s="37">
        <f>Mg_max</f>
        <v>1.2027272727272726</v>
      </c>
      <c r="H18" s="28"/>
      <c r="I18" s="28"/>
      <c r="J18" s="28"/>
      <c r="K18" s="28"/>
      <c r="L18" s="28"/>
    </row>
    <row r="19" spans="1:4" ht="12.75">
      <c r="A19" s="5"/>
      <c r="B19" s="4" t="s">
        <v>100</v>
      </c>
      <c r="C19" s="36">
        <v>0.5</v>
      </c>
      <c r="D19" s="27" t="s">
        <v>112</v>
      </c>
    </row>
    <row r="20" spans="1:12" ht="12.75">
      <c r="A20" s="5" t="s">
        <v>52</v>
      </c>
      <c r="B20" s="4" t="s">
        <v>107</v>
      </c>
      <c r="C20" s="10">
        <f>(m+1)/m</f>
        <v>1.1136363636363635</v>
      </c>
      <c r="D20" s="4"/>
      <c r="G20" s="26"/>
      <c r="H20" s="26"/>
      <c r="I20" s="26"/>
      <c r="J20" s="26"/>
      <c r="K20" s="26"/>
      <c r="L20" s="26"/>
    </row>
    <row r="21" spans="1:4" ht="12.75">
      <c r="A21" s="5"/>
      <c r="B21" s="4" t="s">
        <v>108</v>
      </c>
      <c r="C21" s="10">
        <f>Vin_max*Mg_min/Vin_min</f>
        <v>1.2027272727272726</v>
      </c>
      <c r="D21" s="4"/>
    </row>
    <row r="22" spans="1:4" ht="12.75">
      <c r="A22" s="7" t="s">
        <v>53</v>
      </c>
      <c r="B22" s="4"/>
      <c r="C22" s="19"/>
      <c r="D22" s="4"/>
    </row>
    <row r="23" spans="1:4" ht="12.75">
      <c r="A23" s="5" t="s">
        <v>24</v>
      </c>
      <c r="B23" s="4" t="s">
        <v>101</v>
      </c>
      <c r="C23" s="10">
        <f>Vin_max*Mg_min/(2*(Vo+2*0.75))</f>
        <v>16.704545454545453</v>
      </c>
      <c r="D23" s="4"/>
    </row>
    <row r="24" spans="1:4" ht="12.75">
      <c r="A24" s="7" t="s">
        <v>56</v>
      </c>
      <c r="B24" s="4"/>
      <c r="C24" s="20"/>
      <c r="D24" s="4"/>
    </row>
    <row r="25" spans="1:4" ht="15.75">
      <c r="A25" s="5" t="s">
        <v>57</v>
      </c>
      <c r="B25" s="4" t="s">
        <v>58</v>
      </c>
      <c r="C25" s="11">
        <f>8*Nt^2*Vo^2/3.14^2/Pout</f>
        <v>101.88553489337403</v>
      </c>
      <c r="D25" s="5" t="s">
        <v>20</v>
      </c>
    </row>
    <row r="26" spans="1:4" ht="15.75">
      <c r="A26" s="5" t="s">
        <v>59</v>
      </c>
      <c r="B26" s="4" t="s">
        <v>60</v>
      </c>
      <c r="C26" s="11">
        <f>1000000000/(6.28*Qr*fswnom*10^3*Rac)</f>
        <v>24.04442909787905</v>
      </c>
      <c r="D26" s="4" t="s">
        <v>11</v>
      </c>
    </row>
    <row r="27" spans="1:4" ht="15.75">
      <c r="A27" s="5" t="s">
        <v>61</v>
      </c>
      <c r="B27" s="4" t="s">
        <v>63</v>
      </c>
      <c r="C27" s="11">
        <f>1000000/(6.28*fswnom*10^3)^2/(Cr*0.000000001)</f>
        <v>62.39927418751472</v>
      </c>
      <c r="D27" s="4" t="s">
        <v>62</v>
      </c>
    </row>
    <row r="28" spans="1:4" ht="15.75">
      <c r="A28" s="5" t="s">
        <v>64</v>
      </c>
      <c r="B28" s="4" t="s">
        <v>65</v>
      </c>
      <c r="C28" s="11">
        <f>((m+1)^2*Lr/(2*m+1))-Lr</f>
        <v>259.79568780006133</v>
      </c>
      <c r="D28" s="4" t="s">
        <v>62</v>
      </c>
    </row>
    <row r="29" spans="1:4" ht="15.75">
      <c r="A29" s="5" t="s">
        <v>67</v>
      </c>
      <c r="B29" s="4" t="s">
        <v>66</v>
      </c>
      <c r="C29" s="11">
        <f>0.1768*(Vo/Nt/RL)*SQRT((Nt^4*RL^2/(fswnom*10^3)^2/(Lm*0.000001)^2)+39.44)</f>
        <v>2.059826031862222</v>
      </c>
      <c r="D29" s="4" t="s">
        <v>7</v>
      </c>
    </row>
    <row r="30" spans="1:4" ht="15.75">
      <c r="A30" s="5" t="s">
        <v>68</v>
      </c>
      <c r="B30" s="4" t="s">
        <v>69</v>
      </c>
      <c r="C30" s="29">
        <f>(3.14/4)*Pout/Vo</f>
        <v>20.933333333333334</v>
      </c>
      <c r="D30" s="4" t="s">
        <v>7</v>
      </c>
    </row>
    <row r="31" spans="1:4" ht="15.75">
      <c r="A31" s="5" t="s">
        <v>79</v>
      </c>
      <c r="B31" s="4" t="s">
        <v>80</v>
      </c>
      <c r="C31" s="11">
        <f>0.001/(6.28*SQRT(Cr*10^-9*(Lr*10^-6)))</f>
        <v>129.99999999999997</v>
      </c>
      <c r="D31" s="4" t="s">
        <v>4</v>
      </c>
    </row>
    <row r="32" spans="1:4" ht="15.75">
      <c r="A32" s="5" t="s">
        <v>81</v>
      </c>
      <c r="B32" s="4" t="s">
        <v>82</v>
      </c>
      <c r="C32" s="11">
        <f>0.001/(2*PI()*SQRT(Cr*10^-9*(Lm*10^-6+Lr*10^-6)))</f>
        <v>57.181234090102066</v>
      </c>
      <c r="D32" s="4" t="s">
        <v>4</v>
      </c>
    </row>
    <row r="33" spans="1:4" ht="25.5">
      <c r="A33" s="9" t="s">
        <v>44</v>
      </c>
      <c r="B33" s="5"/>
      <c r="C33" s="5"/>
      <c r="D33" s="5"/>
    </row>
    <row r="34" spans="1:4" ht="12.75">
      <c r="A34" s="21" t="s">
        <v>72</v>
      </c>
      <c r="B34" s="5" t="s">
        <v>114</v>
      </c>
      <c r="C34" s="10">
        <f>10^3*0.000000006/((0.5*10^-3/fswmax)-0.00000015)</f>
        <v>4.692737430167598</v>
      </c>
      <c r="D34" s="5" t="s">
        <v>73</v>
      </c>
    </row>
    <row r="35" spans="1:4" ht="12.75">
      <c r="A35" s="21"/>
      <c r="B35" s="5" t="s">
        <v>113</v>
      </c>
      <c r="C35" s="10">
        <f>10^3*0.000000006/((0.5*10^-3/fswmin)-0.00000015)</f>
        <v>1.0466906105695228</v>
      </c>
      <c r="D35" s="5" t="s">
        <v>73</v>
      </c>
    </row>
    <row r="36" spans="1:5" ht="12.75">
      <c r="A36" s="5"/>
      <c r="B36" s="5" t="s">
        <v>103</v>
      </c>
      <c r="C36" s="10">
        <f>2.5/IRT_min</f>
        <v>2.388480392156863</v>
      </c>
      <c r="D36" s="5" t="s">
        <v>28</v>
      </c>
      <c r="E36" s="22"/>
    </row>
    <row r="37" spans="1:5" ht="12.75">
      <c r="A37" s="5"/>
      <c r="B37" s="5" t="s">
        <v>102</v>
      </c>
      <c r="C37" s="10">
        <f>2.5/(IRT_max-IRT_min)</f>
        <v>0.6856741352201258</v>
      </c>
      <c r="D37" s="5" t="s">
        <v>28</v>
      </c>
      <c r="E37" s="22"/>
    </row>
    <row r="38" spans="1:4" ht="12.75">
      <c r="A38" s="5" t="s">
        <v>29</v>
      </c>
      <c r="B38" s="5" t="s">
        <v>1</v>
      </c>
      <c r="C38" s="30">
        <v>25</v>
      </c>
      <c r="D38" s="5" t="s">
        <v>5</v>
      </c>
    </row>
    <row r="39" spans="1:6" ht="12.75">
      <c r="A39" s="5" t="s">
        <v>30</v>
      </c>
      <c r="B39" s="5" t="s">
        <v>2</v>
      </c>
      <c r="C39" s="11">
        <f>Tss*5/2.8</f>
        <v>44.642857142857146</v>
      </c>
      <c r="D39" s="5" t="s">
        <v>11</v>
      </c>
      <c r="E39" s="24"/>
      <c r="F39" s="23"/>
    </row>
    <row r="40" spans="1:6" ht="12.75">
      <c r="A40" s="5" t="s">
        <v>74</v>
      </c>
      <c r="B40" s="5" t="s">
        <v>10</v>
      </c>
      <c r="C40" s="11">
        <f>Css/175</f>
        <v>0.25510204081632654</v>
      </c>
      <c r="D40" s="5" t="s">
        <v>5</v>
      </c>
      <c r="E40" s="24"/>
      <c r="F40" s="23"/>
    </row>
    <row r="41" spans="1:4" ht="12.75">
      <c r="A41" s="5" t="s">
        <v>31</v>
      </c>
      <c r="B41" t="s">
        <v>6</v>
      </c>
      <c r="C41" s="11">
        <f>Tss+Tdel</f>
        <v>25.255102040816325</v>
      </c>
      <c r="D41" s="5" t="s">
        <v>5</v>
      </c>
    </row>
    <row r="42" spans="1:4" ht="12.75">
      <c r="A42" s="5" t="s">
        <v>77</v>
      </c>
      <c r="B42" s="5" t="s">
        <v>0</v>
      </c>
      <c r="C42" s="31">
        <v>300</v>
      </c>
      <c r="D42" s="5" t="s">
        <v>9</v>
      </c>
    </row>
    <row r="43" spans="1:5" ht="15.75">
      <c r="A43" s="5" t="s">
        <v>75</v>
      </c>
      <c r="B43" s="5" t="s">
        <v>76</v>
      </c>
      <c r="C43" s="11">
        <f>(Td-20)/(24)</f>
        <v>11.666666666666666</v>
      </c>
      <c r="D43" s="5" t="s">
        <v>28</v>
      </c>
      <c r="E43" s="17"/>
    </row>
    <row r="44" spans="1:5" ht="12.75">
      <c r="A44" s="7" t="s">
        <v>104</v>
      </c>
      <c r="B44" s="5"/>
      <c r="C44" s="25"/>
      <c r="D44" s="5"/>
      <c r="E44" s="22"/>
    </row>
    <row r="45" spans="1:4" ht="15.75">
      <c r="A45" s="5" t="s">
        <v>34</v>
      </c>
      <c r="B45" s="5" t="s">
        <v>35</v>
      </c>
      <c r="C45" s="11">
        <f>Plimit/Vo</f>
        <v>29.166666666666668</v>
      </c>
      <c r="D45" s="5" t="s">
        <v>7</v>
      </c>
    </row>
    <row r="46" spans="1:4" ht="12.75">
      <c r="A46" s="5" t="s">
        <v>91</v>
      </c>
      <c r="B46" s="5" t="s">
        <v>92</v>
      </c>
      <c r="C46" s="10">
        <f>Vo/Ilimit</f>
        <v>0.4114285714285714</v>
      </c>
      <c r="D46" s="5" t="s">
        <v>20</v>
      </c>
    </row>
    <row r="47" spans="1:4" ht="12.75">
      <c r="A47" s="5" t="s">
        <v>33</v>
      </c>
      <c r="B47" s="5" t="s">
        <v>27</v>
      </c>
      <c r="C47" s="11">
        <f>Pout/Vo</f>
        <v>26.666666666666668</v>
      </c>
      <c r="D47" s="5" t="s">
        <v>7</v>
      </c>
    </row>
    <row r="48" spans="1:4" ht="15.75">
      <c r="A48" s="5" t="s">
        <v>36</v>
      </c>
      <c r="B48" s="5" t="s">
        <v>39</v>
      </c>
      <c r="C48" s="10">
        <f>IRMS_P</f>
        <v>2.059826031862222</v>
      </c>
      <c r="D48" s="5" t="s">
        <v>7</v>
      </c>
    </row>
    <row r="49" spans="1:4" ht="15.75">
      <c r="A49" s="5" t="s">
        <v>37</v>
      </c>
      <c r="B49" s="5" t="s">
        <v>40</v>
      </c>
      <c r="C49" s="11">
        <f>Vin_max*1.2</f>
        <v>486</v>
      </c>
      <c r="D49" s="5" t="s">
        <v>3</v>
      </c>
    </row>
    <row r="50" spans="1:4" ht="15.75">
      <c r="A50" s="5" t="s">
        <v>38</v>
      </c>
      <c r="B50" s="5" t="s">
        <v>41</v>
      </c>
      <c r="C50" s="11">
        <f>IRMS_S</f>
        <v>20.933333333333334</v>
      </c>
      <c r="D50" s="5" t="s">
        <v>7</v>
      </c>
    </row>
    <row r="51" spans="1:4" ht="15.75">
      <c r="A51" s="5" t="s">
        <v>43</v>
      </c>
      <c r="B51" s="5" t="s">
        <v>42</v>
      </c>
      <c r="C51" s="11">
        <f>Vin_max*1.5/Nt</f>
        <v>36.36734693877551</v>
      </c>
      <c r="D51" s="5" t="s">
        <v>3</v>
      </c>
    </row>
    <row r="52" spans="1:4" ht="12.75">
      <c r="A52" s="7" t="s">
        <v>88</v>
      </c>
      <c r="B52" s="5"/>
      <c r="C52" s="25"/>
      <c r="D52" s="5"/>
    </row>
    <row r="53" spans="1:4" ht="12.75">
      <c r="A53" s="5" t="s">
        <v>89</v>
      </c>
      <c r="B53" s="5" t="s">
        <v>90</v>
      </c>
      <c r="C53" s="50">
        <f>(4/PI())*Nt*Vo*IMABS(COMPLEX(1,(fswmin/fo)*(Lm/Lr)*SQRT(Lr*1000/Cr)*(8/(PI()^2*Rlimit*Nt^2))))/((fswmin/fo)^2*(Lm/Lr))</f>
        <v>200.68009346288125</v>
      </c>
      <c r="D53" s="5" t="s">
        <v>3</v>
      </c>
    </row>
    <row r="54" spans="1:4" ht="12.75">
      <c r="A54" s="5" t="s">
        <v>93</v>
      </c>
      <c r="B54" s="5" t="s">
        <v>94</v>
      </c>
      <c r="C54" s="50">
        <f>Vcrpk^2/0.1/1000000</f>
        <v>0.40272499912270754</v>
      </c>
      <c r="D54" s="5" t="s">
        <v>95</v>
      </c>
    </row>
    <row r="55" spans="1:4" ht="12.75">
      <c r="A55" s="5" t="s">
        <v>96</v>
      </c>
      <c r="B55" s="5" t="s">
        <v>97</v>
      </c>
      <c r="C55" s="50">
        <f>10*1000/(Rs*fswmin)</f>
        <v>292.1275289088353</v>
      </c>
      <c r="D55" s="5" t="s">
        <v>105</v>
      </c>
    </row>
    <row r="56" spans="1:4" ht="12.75">
      <c r="A56" s="5" t="s">
        <v>93</v>
      </c>
      <c r="B56" s="5" t="s">
        <v>98</v>
      </c>
      <c r="C56" s="50">
        <f>Rs*3.14*1000/(Vcrpk)</f>
        <v>6.301354934734471</v>
      </c>
      <c r="D56" s="5" t="s">
        <v>28</v>
      </c>
    </row>
    <row r="57" spans="1:4" ht="12.75">
      <c r="A57" s="5" t="s">
        <v>96</v>
      </c>
      <c r="B57" s="5" t="s">
        <v>99</v>
      </c>
      <c r="C57" s="50">
        <f>10*1000/(Rp*fswmin)</f>
        <v>18.670120956848923</v>
      </c>
      <c r="D57" s="5" t="s">
        <v>11</v>
      </c>
    </row>
    <row r="58" spans="1:4" ht="12.75">
      <c r="A58" s="12"/>
      <c r="B58" s="12"/>
      <c r="C58" s="14"/>
      <c r="D58" s="12"/>
    </row>
    <row r="59" spans="1:4" ht="12.75">
      <c r="A59" s="12"/>
      <c r="B59" s="12"/>
      <c r="C59" s="13"/>
      <c r="D59" s="12"/>
    </row>
    <row r="60" spans="1:4" ht="12.75">
      <c r="A60" s="12"/>
      <c r="B60" s="12"/>
      <c r="C60" s="13"/>
      <c r="D60" s="12"/>
    </row>
    <row r="61" spans="1:4" ht="12.75">
      <c r="A61" s="12"/>
      <c r="B61" s="12"/>
      <c r="C61" s="15"/>
      <c r="D61" s="12"/>
    </row>
    <row r="62" spans="1:4" ht="12.75">
      <c r="A62" s="12"/>
      <c r="B62" s="12"/>
      <c r="C62" s="13"/>
      <c r="D62" s="12"/>
    </row>
    <row r="63" spans="1:4" ht="12.75">
      <c r="A63" s="12"/>
      <c r="B63" s="12"/>
      <c r="C63" s="13"/>
      <c r="D63" s="12"/>
    </row>
  </sheetData>
  <sheetProtection password="A03D" sheet="1" objects="1" scenarios="1" selectLockedCells="1"/>
  <protectedRanges>
    <protectedRange sqref="C6:C14 C18 C19 C38 C42" name="Range1"/>
  </protectedRanges>
  <mergeCells count="1">
    <mergeCell ref="A4:C4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" shapeId="14463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 User</dc:creator>
  <cp:keywords/>
  <dc:description/>
  <cp:lastModifiedBy>a0798737</cp:lastModifiedBy>
  <cp:lastPrinted>2009-01-15T13:13:03Z</cp:lastPrinted>
  <dcterms:created xsi:type="dcterms:W3CDTF">2007-04-03T18:47:38Z</dcterms:created>
  <dcterms:modified xsi:type="dcterms:W3CDTF">2009-05-20T13:33:46Z</dcterms:modified>
  <cp:category/>
  <cp:version/>
  <cp:contentType/>
  <cp:contentStatus/>
</cp:coreProperties>
</file>