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C:\Users\a0967751\Downloads\"/>
    </mc:Choice>
  </mc:AlternateContent>
  <xr:revisionPtr revIDLastSave="0" documentId="8_{05B8A716-4620-4FC6-97FE-636DB4B55A9A}" xr6:coauthVersionLast="36" xr6:coauthVersionMax="36" xr10:uidLastSave="{00000000-0000-0000-0000-000000000000}"/>
  <bookViews>
    <workbookView xWindow="195" yWindow="510" windowWidth="5880" windowHeight="9585" activeTab="1" xr2:uid="{00000000-000D-0000-FFFF-FFFF00000000}"/>
  </bookViews>
  <sheets>
    <sheet name="Instructions" sheetId="1" r:id="rId1"/>
    <sheet name="Design Inputs &amp; Calculations" sheetId="5" r:id="rId2"/>
    <sheet name="Calculations (Old)" sheetId="4" r:id="rId3"/>
  </sheets>
  <calcPr calcId="191029"/>
  <fileRecoveryPr repairLoad="1"/>
</workbook>
</file>

<file path=xl/calcChain.xml><?xml version="1.0" encoding="utf-8"?>
<calcChain xmlns="http://schemas.openxmlformats.org/spreadsheetml/2006/main">
  <c r="D65" i="5" l="1"/>
  <c r="F68" i="5" l="1"/>
  <c r="F26" i="5" l="1"/>
  <c r="F24" i="5"/>
  <c r="I36" i="5" l="1"/>
  <c r="I35" i="5" l="1"/>
  <c r="D68" i="5"/>
  <c r="D48" i="5"/>
  <c r="D50" i="5"/>
  <c r="F50" i="5" s="1"/>
  <c r="F49" i="5" l="1"/>
  <c r="I33" i="5"/>
  <c r="I34" i="5"/>
  <c r="D58" i="5"/>
  <c r="D51" i="5"/>
  <c r="F51" i="5" s="1"/>
  <c r="D74" i="5"/>
  <c r="D80" i="5"/>
  <c r="D53" i="5" l="1"/>
  <c r="D72" i="5" l="1"/>
  <c r="D78" i="5"/>
  <c r="F59" i="5"/>
  <c r="D62" i="5"/>
  <c r="F62" i="5" s="1"/>
  <c r="D60" i="5"/>
  <c r="F60" i="5" s="1"/>
  <c r="D61" i="5" l="1"/>
  <c r="D73" i="5"/>
  <c r="D79" i="5" s="1"/>
  <c r="D66" i="5"/>
  <c r="G31" i="4"/>
  <c r="C10" i="4"/>
  <c r="F67" i="5" l="1"/>
  <c r="D81" i="5"/>
  <c r="D75" i="5"/>
  <c r="C5" i="4"/>
  <c r="D52" i="5" l="1"/>
  <c r="F52" i="5" s="1"/>
  <c r="K6" i="4"/>
  <c r="C16" i="4"/>
  <c r="C26" i="4"/>
  <c r="C23" i="4"/>
  <c r="K7" i="4" l="1"/>
  <c r="K8" i="4"/>
  <c r="G25" i="4" l="1"/>
  <c r="C24" i="4"/>
  <c r="C8" i="4"/>
  <c r="C9" i="4" s="1"/>
  <c r="E8" i="4" l="1"/>
  <c r="E9" i="4"/>
  <c r="K5" i="4"/>
  <c r="G29" i="4"/>
  <c r="G23" i="4"/>
  <c r="C7" i="4"/>
  <c r="E7" i="4" s="1"/>
  <c r="C20" i="4" l="1"/>
  <c r="E20" i="4" s="1"/>
  <c r="C18" i="4"/>
  <c r="E18" i="4" s="1"/>
  <c r="C19" i="4"/>
  <c r="G24" i="4"/>
  <c r="G30" i="4" s="1"/>
  <c r="G32" i="4" s="1"/>
  <c r="G2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Goerke, Ulrich</author>
  </authors>
  <commentList>
    <comment ref="D47" authorId="0" shapeId="0" xr:uid="{00000000-0006-0000-0100-000001000000}">
      <text>
        <r>
          <rPr>
            <b/>
            <sz val="9"/>
            <color indexed="81"/>
            <rFont val="Tahoma"/>
            <family val="2"/>
          </rPr>
          <t xml:space="preserve">Lower or higher values may be selected.  </t>
        </r>
        <r>
          <rPr>
            <sz val="9"/>
            <color indexed="81"/>
            <rFont val="Tahoma"/>
            <family val="2"/>
          </rPr>
          <t xml:space="preserve">
A lower value will reduce SR turn-on delay, but increase Pstby.
A higher value will reduce Pstby, but increase SR turn-on delay and may increase noise susceptibility.</t>
        </r>
      </text>
    </comment>
    <comment ref="D57" authorId="0" shapeId="0" xr:uid="{00000000-0006-0000-0100-000002000000}">
      <text>
        <r>
          <rPr>
            <b/>
            <sz val="9"/>
            <color indexed="81"/>
            <rFont val="Tahoma"/>
            <family val="2"/>
          </rPr>
          <t xml:space="preserve">Lower or higher values may be selected.  </t>
        </r>
        <r>
          <rPr>
            <sz val="9"/>
            <color indexed="81"/>
            <rFont val="Tahoma"/>
            <family val="2"/>
          </rPr>
          <t xml:space="preserve">
A lower value will increase Pstby.
A higher value will reduce Pstby, but may increase noise susceptibility.</t>
        </r>
      </text>
    </comment>
    <comment ref="D75" authorId="0" shapeId="0" xr:uid="{00000000-0006-0000-0100-000003000000}">
      <text>
        <r>
          <rPr>
            <sz val="9"/>
            <color indexed="81"/>
            <rFont val="Tahoma"/>
            <family val="2"/>
          </rPr>
          <t>SR-MOSFET loss is assumed to be zero.</t>
        </r>
      </text>
    </comment>
    <comment ref="D81" authorId="0" shapeId="0" xr:uid="{00000000-0006-0000-0100-000004000000}">
      <text>
        <r>
          <rPr>
            <sz val="9"/>
            <color indexed="81"/>
            <rFont val="Tahoma"/>
            <family val="2"/>
          </rPr>
          <t>Does not include SR-MOSFET loss.</t>
        </r>
      </text>
    </comment>
  </commentList>
</comments>
</file>

<file path=xl/sharedStrings.xml><?xml version="1.0" encoding="utf-8"?>
<sst xmlns="http://schemas.openxmlformats.org/spreadsheetml/2006/main" count="231" uniqueCount="152">
  <si>
    <t>UCC24630 Design Calculator</t>
  </si>
  <si>
    <t>Vdc</t>
  </si>
  <si>
    <t>pF</t>
  </si>
  <si>
    <t xml:space="preserve"> </t>
  </si>
  <si>
    <t>kHz</t>
  </si>
  <si>
    <r>
      <t>D</t>
    </r>
    <r>
      <rPr>
        <b/>
        <vertAlign val="subscript"/>
        <sz val="11"/>
        <rFont val="맑은 고딕"/>
        <family val="2"/>
        <scheme val="minor"/>
      </rPr>
      <t>MAX</t>
    </r>
  </si>
  <si>
    <t>Primary to Secondary Turns Ratio</t>
  </si>
  <si>
    <r>
      <t>N</t>
    </r>
    <r>
      <rPr>
        <b/>
        <vertAlign val="subscript"/>
        <sz val="11"/>
        <rFont val="맑은 고딕"/>
        <family val="2"/>
        <scheme val="minor"/>
      </rPr>
      <t>PS</t>
    </r>
  </si>
  <si>
    <r>
      <t>L</t>
    </r>
    <r>
      <rPr>
        <b/>
        <vertAlign val="subscript"/>
        <sz val="11"/>
        <rFont val="맑은 고딕"/>
        <family val="2"/>
        <scheme val="minor"/>
      </rPr>
      <t>PRI</t>
    </r>
  </si>
  <si>
    <t>nC</t>
  </si>
  <si>
    <t>RATIO_RAMP</t>
  </si>
  <si>
    <t>IDD_SB</t>
  </si>
  <si>
    <t>IDD</t>
  </si>
  <si>
    <r>
      <t>k</t>
    </r>
    <r>
      <rPr>
        <b/>
        <sz val="11"/>
        <color theme="1"/>
        <rFont val="Calibri"/>
        <family val="2"/>
      </rPr>
      <t>Ω</t>
    </r>
  </si>
  <si>
    <t>VPC_RATIO</t>
  </si>
  <si>
    <t>VSC_RATIO</t>
  </si>
  <si>
    <r>
      <t>VSC</t>
    </r>
    <r>
      <rPr>
        <vertAlign val="subscript"/>
        <sz val="11"/>
        <color theme="1"/>
        <rFont val="맑은 고딕"/>
        <family val="2"/>
        <scheme val="minor"/>
      </rPr>
      <t>(NOM)</t>
    </r>
  </si>
  <si>
    <t>R19</t>
  </si>
  <si>
    <t>Blanking Time</t>
  </si>
  <si>
    <t>VPC DIVIDER (pin 1)</t>
  </si>
  <si>
    <t>TBLK (pin 3)</t>
  </si>
  <si>
    <t>mW</t>
  </si>
  <si>
    <t xml:space="preserve">Quiescent power of UCC24630 </t>
  </si>
  <si>
    <t>VSC DIVIDER (pin 2)</t>
  </si>
  <si>
    <t>Blanking Time needed to blank Low-Line resonant ring</t>
  </si>
  <si>
    <t xml:space="preserve">used 75K for TBLK </t>
  </si>
  <si>
    <t>used 475k (no 470K available)</t>
  </si>
  <si>
    <t>used 10k  +  10pF</t>
  </si>
  <si>
    <t>used 49.9k||976k  = ~47.5K</t>
  </si>
  <si>
    <t>used 475k</t>
  </si>
  <si>
    <r>
      <t>R</t>
    </r>
    <r>
      <rPr>
        <vertAlign val="subscript"/>
        <sz val="11"/>
        <color theme="1"/>
        <rFont val="맑은 고딕"/>
        <family val="2"/>
        <scheme val="minor"/>
      </rPr>
      <t>VPC2</t>
    </r>
    <r>
      <rPr>
        <sz val="11"/>
        <color theme="1"/>
        <rFont val="맑은 고딕"/>
        <family val="2"/>
        <scheme val="minor"/>
      </rPr>
      <t xml:space="preserve"> (bottom of VPC divider)</t>
    </r>
  </si>
  <si>
    <r>
      <t>R</t>
    </r>
    <r>
      <rPr>
        <vertAlign val="subscript"/>
        <sz val="11"/>
        <color theme="1"/>
        <rFont val="맑은 고딕"/>
        <family val="2"/>
        <scheme val="minor"/>
      </rPr>
      <t>VPC1</t>
    </r>
    <r>
      <rPr>
        <sz val="11"/>
        <color theme="1"/>
        <rFont val="맑은 고딕"/>
        <family val="2"/>
        <scheme val="minor"/>
      </rPr>
      <t xml:space="preserve"> (user-selected resistance; use nearest 1% value)</t>
    </r>
  </si>
  <si>
    <r>
      <t>R</t>
    </r>
    <r>
      <rPr>
        <vertAlign val="subscript"/>
        <sz val="11"/>
        <color theme="1"/>
        <rFont val="맑은 고딕"/>
        <family val="2"/>
        <scheme val="minor"/>
      </rPr>
      <t>VSC1</t>
    </r>
    <r>
      <rPr>
        <sz val="11"/>
        <color theme="1"/>
        <rFont val="맑은 고딕"/>
        <family val="2"/>
        <scheme val="minor"/>
      </rPr>
      <t xml:space="preserve"> (user-selected resistance; use nearest lower 1% value)</t>
    </r>
  </si>
  <si>
    <t>ns</t>
  </si>
  <si>
    <r>
      <t>Total power loss in VPC divider (R</t>
    </r>
    <r>
      <rPr>
        <vertAlign val="subscript"/>
        <sz val="11"/>
        <color theme="1"/>
        <rFont val="맑은 고딕"/>
        <family val="2"/>
        <scheme val="minor"/>
      </rPr>
      <t>VPC1</t>
    </r>
    <r>
      <rPr>
        <sz val="11"/>
        <color theme="1"/>
        <rFont val="맑은 고딕"/>
        <family val="2"/>
        <scheme val="minor"/>
      </rPr>
      <t xml:space="preserve"> and R</t>
    </r>
    <r>
      <rPr>
        <vertAlign val="subscript"/>
        <sz val="11"/>
        <color theme="1"/>
        <rFont val="맑은 고딕"/>
        <family val="2"/>
        <scheme val="minor"/>
      </rPr>
      <t>VPC2</t>
    </r>
    <r>
      <rPr>
        <sz val="11"/>
        <color theme="1"/>
        <rFont val="맑은 고딕"/>
        <family val="2"/>
        <scheme val="minor"/>
      </rPr>
      <t xml:space="preserve">)                </t>
    </r>
  </si>
  <si>
    <r>
      <t>Total power loss in VSC divider (R</t>
    </r>
    <r>
      <rPr>
        <vertAlign val="subscript"/>
        <sz val="11"/>
        <color theme="1"/>
        <rFont val="맑은 고딕"/>
        <family val="2"/>
        <scheme val="minor"/>
      </rPr>
      <t>VSC1</t>
    </r>
    <r>
      <rPr>
        <sz val="11"/>
        <color theme="1"/>
        <rFont val="맑은 고딕"/>
        <family val="2"/>
        <scheme val="minor"/>
      </rPr>
      <t xml:space="preserve"> and R</t>
    </r>
    <r>
      <rPr>
        <vertAlign val="subscript"/>
        <sz val="11"/>
        <color theme="1"/>
        <rFont val="맑은 고딕"/>
        <family val="2"/>
        <scheme val="minor"/>
      </rPr>
      <t>VSC2</t>
    </r>
    <r>
      <rPr>
        <sz val="11"/>
        <color theme="1"/>
        <rFont val="맑은 고딕"/>
        <family val="2"/>
        <scheme val="minor"/>
      </rPr>
      <t xml:space="preserve">)                </t>
    </r>
  </si>
  <si>
    <t>Power Dissipation in Stand-by Condition</t>
  </si>
  <si>
    <t>Power Loss in UCC24630 (includes gate drive power)</t>
  </si>
  <si>
    <t>Power Dissipation at Maximum Switching Frequency</t>
  </si>
  <si>
    <t xml:space="preserve">Total SR-control contribution to stand-by power </t>
  </si>
  <si>
    <t xml:space="preserve">Total SR-control contribution to full power </t>
  </si>
  <si>
    <r>
      <t>R</t>
    </r>
    <r>
      <rPr>
        <vertAlign val="subscript"/>
        <sz val="11"/>
        <color theme="1"/>
        <rFont val="맑은 고딕"/>
        <family val="2"/>
        <scheme val="minor"/>
      </rPr>
      <t>VSC2</t>
    </r>
    <r>
      <rPr>
        <sz val="11"/>
        <color theme="1"/>
        <rFont val="맑은 고딕"/>
        <family val="2"/>
        <scheme val="minor"/>
      </rPr>
      <t xml:space="preserve"> (bottom of VSC divider)</t>
    </r>
  </si>
  <si>
    <t xml:space="preserve">  </t>
  </si>
  <si>
    <r>
      <t>Q</t>
    </r>
    <r>
      <rPr>
        <b/>
        <vertAlign val="subscript"/>
        <sz val="11"/>
        <rFont val="맑은 고딕"/>
        <family val="2"/>
        <scheme val="minor"/>
      </rPr>
      <t>G</t>
    </r>
  </si>
  <si>
    <r>
      <t>f</t>
    </r>
    <r>
      <rPr>
        <b/>
        <vertAlign val="subscript"/>
        <sz val="10"/>
        <rFont val="Arial"/>
        <family val="2"/>
      </rPr>
      <t>SW</t>
    </r>
  </si>
  <si>
    <r>
      <rPr>
        <b/>
        <sz val="10"/>
        <color theme="1"/>
        <rFont val="Calibri"/>
        <family val="2"/>
      </rPr>
      <t>µ</t>
    </r>
    <r>
      <rPr>
        <b/>
        <sz val="10"/>
        <color theme="1"/>
        <rFont val="Arial"/>
        <family val="2"/>
      </rPr>
      <t>H</t>
    </r>
  </si>
  <si>
    <t>µs</t>
  </si>
  <si>
    <t>V-µs</t>
  </si>
  <si>
    <t>should be &lt; 6.4 V-µs</t>
  </si>
  <si>
    <t>Primary Magnetizing Inductance</t>
  </si>
  <si>
    <t>This spreadsheet guides the User through the design process for a Synchronous Rectifier Controller using the UCC24630.</t>
  </si>
  <si>
    <r>
      <t xml:space="preserve">3. The third worksheet, </t>
    </r>
    <r>
      <rPr>
        <b/>
        <i/>
        <sz val="18"/>
        <rFont val="Arial"/>
        <family val="2"/>
      </rPr>
      <t>Schematic</t>
    </r>
    <r>
      <rPr>
        <sz val="18"/>
        <rFont val="Arial"/>
        <family val="2"/>
      </rPr>
      <t>, provides a schematic of the UCC24630 in a simplified reference design.</t>
    </r>
  </si>
  <si>
    <t xml:space="preserve">USER INPUTS  =  </t>
  </si>
  <si>
    <r>
      <t>C</t>
    </r>
    <r>
      <rPr>
        <b/>
        <vertAlign val="subscript"/>
        <sz val="11"/>
        <rFont val="맑은 고딕"/>
        <family val="2"/>
        <scheme val="minor"/>
      </rPr>
      <t>SWN</t>
    </r>
  </si>
  <si>
    <t>TRANSFORMER</t>
  </si>
  <si>
    <r>
      <t>T</t>
    </r>
    <r>
      <rPr>
        <vertAlign val="subscript"/>
        <sz val="11"/>
        <rFont val="맑은 고딕"/>
        <family val="2"/>
        <scheme val="minor"/>
      </rPr>
      <t>RES</t>
    </r>
  </si>
  <si>
    <r>
      <t>T</t>
    </r>
    <r>
      <rPr>
        <vertAlign val="subscript"/>
        <sz val="11"/>
        <rFont val="맑은 고딕"/>
        <family val="2"/>
        <scheme val="minor"/>
      </rPr>
      <t>BLANK</t>
    </r>
  </si>
  <si>
    <t xml:space="preserve"> (no dependents)</t>
  </si>
  <si>
    <r>
      <t xml:space="preserve">     R</t>
    </r>
    <r>
      <rPr>
        <vertAlign val="subscript"/>
        <sz val="11"/>
        <color theme="1"/>
        <rFont val="맑은 고딕"/>
        <family val="2"/>
        <scheme val="minor"/>
      </rPr>
      <t>VPC1cal</t>
    </r>
    <r>
      <rPr>
        <sz val="11"/>
        <color theme="1"/>
        <rFont val="맑은 고딕"/>
        <family val="2"/>
        <scheme val="minor"/>
      </rPr>
      <t xml:space="preserve"> (calculated top of VPC divider)</t>
    </r>
  </si>
  <si>
    <r>
      <t xml:space="preserve">    R</t>
    </r>
    <r>
      <rPr>
        <vertAlign val="subscript"/>
        <sz val="11"/>
        <color theme="1"/>
        <rFont val="맑은 고딕"/>
        <family val="2"/>
        <scheme val="minor"/>
      </rPr>
      <t>VSC1cal</t>
    </r>
    <r>
      <rPr>
        <sz val="11"/>
        <color theme="1"/>
        <rFont val="맑은 고딕"/>
        <family val="2"/>
        <scheme val="minor"/>
      </rPr>
      <t xml:space="preserve"> (calculated top of VSC divider)</t>
    </r>
  </si>
  <si>
    <r>
      <t>VPC</t>
    </r>
    <r>
      <rPr>
        <vertAlign val="subscript"/>
        <sz val="11"/>
        <color theme="1"/>
        <rFont val="맑은 고딕"/>
        <family val="2"/>
        <scheme val="minor"/>
      </rPr>
      <t>(MIN)</t>
    </r>
    <r>
      <rPr>
        <sz val="11"/>
        <color theme="1"/>
        <rFont val="맑은 고딕"/>
        <family val="2"/>
        <scheme val="minor"/>
      </rPr>
      <t xml:space="preserve">                                                         should be &gt; 0.45 Vdc</t>
    </r>
  </si>
  <si>
    <r>
      <t>VPC</t>
    </r>
    <r>
      <rPr>
        <vertAlign val="subscript"/>
        <sz val="11"/>
        <color theme="1"/>
        <rFont val="맑은 고딕"/>
        <family val="2"/>
        <scheme val="minor"/>
      </rPr>
      <t>(MAX)</t>
    </r>
    <r>
      <rPr>
        <sz val="11"/>
        <color theme="1"/>
        <rFont val="맑은 고딕"/>
        <family val="2"/>
        <scheme val="minor"/>
      </rPr>
      <t xml:space="preserve">                                                         should be &lt; 2.2 Vdc</t>
    </r>
  </si>
  <si>
    <r>
      <t>VSC</t>
    </r>
    <r>
      <rPr>
        <vertAlign val="subscript"/>
        <sz val="11"/>
        <color theme="1"/>
        <rFont val="맑은 고딕"/>
        <family val="2"/>
        <scheme val="minor"/>
      </rPr>
      <t>(MIN)</t>
    </r>
    <r>
      <rPr>
        <sz val="11"/>
        <color theme="1"/>
        <rFont val="맑은 고딕"/>
        <family val="2"/>
        <scheme val="minor"/>
      </rPr>
      <t xml:space="preserve">                                                         should be &gt; 0.34 Vdc</t>
    </r>
  </si>
  <si>
    <r>
      <t>VSC</t>
    </r>
    <r>
      <rPr>
        <vertAlign val="subscript"/>
        <sz val="11"/>
        <color theme="1"/>
        <rFont val="맑은 고딕"/>
        <family val="2"/>
        <scheme val="minor"/>
      </rPr>
      <t>(MAX)</t>
    </r>
    <r>
      <rPr>
        <sz val="11"/>
        <color theme="1"/>
        <rFont val="맑은 고딕"/>
        <family val="2"/>
        <scheme val="minor"/>
      </rPr>
      <t xml:space="preserve">                                                         should be &lt;2.2 Vdc</t>
    </r>
  </si>
  <si>
    <r>
      <t>VPC</t>
    </r>
    <r>
      <rPr>
        <vertAlign val="subscript"/>
        <sz val="11"/>
        <color theme="1"/>
        <rFont val="맑은 고딕"/>
        <family val="2"/>
        <scheme val="minor"/>
      </rPr>
      <t>(MIN)</t>
    </r>
    <r>
      <rPr>
        <sz val="11"/>
        <color theme="1"/>
        <rFont val="맑은 고딕"/>
        <family val="2"/>
        <scheme val="minor"/>
      </rPr>
      <t>t</t>
    </r>
    <r>
      <rPr>
        <vertAlign val="subscript"/>
        <sz val="11"/>
        <color theme="1"/>
        <rFont val="맑은 고딕"/>
        <family val="2"/>
        <scheme val="minor"/>
      </rPr>
      <t>SEC(MAX)</t>
    </r>
    <r>
      <rPr>
        <sz val="11"/>
        <color theme="1"/>
        <rFont val="맑은 고딕"/>
        <family val="2"/>
        <scheme val="minor"/>
      </rPr>
      <t xml:space="preserve">  Max VPC Volt-Sec product should be &lt;7V-µs</t>
    </r>
  </si>
  <si>
    <r>
      <t>t</t>
    </r>
    <r>
      <rPr>
        <vertAlign val="subscript"/>
        <sz val="11"/>
        <color theme="1"/>
        <rFont val="맑은 고딕"/>
        <family val="2"/>
        <scheme val="minor"/>
      </rPr>
      <t>SEC(MAX)</t>
    </r>
    <r>
      <rPr>
        <sz val="11"/>
        <color theme="1"/>
        <rFont val="맑은 고딕"/>
        <family val="2"/>
        <scheme val="minor"/>
      </rPr>
      <t xml:space="preserve">  Max Secondary Conduction Time </t>
    </r>
  </si>
  <si>
    <t>Add in bias current offsets</t>
  </si>
  <si>
    <t>USER-SELECTED SYSTEM PARAMETERS</t>
  </si>
  <si>
    <r>
      <t>R</t>
    </r>
    <r>
      <rPr>
        <b/>
        <vertAlign val="subscript"/>
        <sz val="11"/>
        <color theme="1"/>
        <rFont val="맑은 고딕"/>
        <family val="2"/>
        <scheme val="minor"/>
      </rPr>
      <t>VPC2</t>
    </r>
    <r>
      <rPr>
        <b/>
        <sz val="11"/>
        <color theme="1"/>
        <rFont val="맑은 고딕"/>
        <family val="2"/>
        <scheme val="minor"/>
      </rPr>
      <t xml:space="preserve"> </t>
    </r>
  </si>
  <si>
    <r>
      <t>R</t>
    </r>
    <r>
      <rPr>
        <b/>
        <vertAlign val="subscript"/>
        <sz val="11"/>
        <color theme="1"/>
        <rFont val="맑은 고딕"/>
        <family val="2"/>
        <scheme val="minor"/>
      </rPr>
      <t>VPC1</t>
    </r>
  </si>
  <si>
    <r>
      <t>R</t>
    </r>
    <r>
      <rPr>
        <b/>
        <vertAlign val="subscript"/>
        <sz val="11"/>
        <color theme="1"/>
        <rFont val="맑은 고딕"/>
        <family val="2"/>
        <scheme val="minor"/>
      </rPr>
      <t>VPC1calc</t>
    </r>
    <r>
      <rPr>
        <b/>
        <sz val="11"/>
        <color theme="1"/>
        <rFont val="맑은 고딕"/>
        <family val="2"/>
        <scheme val="minor"/>
      </rPr>
      <t xml:space="preserve"> </t>
    </r>
  </si>
  <si>
    <r>
      <t>t</t>
    </r>
    <r>
      <rPr>
        <b/>
        <vertAlign val="subscript"/>
        <sz val="11"/>
        <color theme="1"/>
        <rFont val="맑은 고딕"/>
        <family val="2"/>
        <scheme val="minor"/>
      </rPr>
      <t>BLNK</t>
    </r>
  </si>
  <si>
    <r>
      <t>R</t>
    </r>
    <r>
      <rPr>
        <b/>
        <vertAlign val="subscript"/>
        <sz val="11"/>
        <color theme="1"/>
        <rFont val="맑은 고딕"/>
        <family val="2"/>
        <scheme val="minor"/>
      </rPr>
      <t>TBLK</t>
    </r>
  </si>
  <si>
    <r>
      <t>R</t>
    </r>
    <r>
      <rPr>
        <b/>
        <vertAlign val="subscript"/>
        <sz val="11"/>
        <color theme="1"/>
        <rFont val="맑은 고딕"/>
        <family val="2"/>
        <scheme val="minor"/>
      </rPr>
      <t>VSC1</t>
    </r>
  </si>
  <si>
    <r>
      <t>R</t>
    </r>
    <r>
      <rPr>
        <b/>
        <vertAlign val="subscript"/>
        <sz val="11"/>
        <color theme="1"/>
        <rFont val="맑은 고딕"/>
        <family val="2"/>
        <scheme val="minor"/>
      </rPr>
      <t>VSC1calc</t>
    </r>
    <r>
      <rPr>
        <b/>
        <sz val="11"/>
        <color theme="1"/>
        <rFont val="맑은 고딕"/>
        <family val="2"/>
        <scheme val="minor"/>
      </rPr>
      <t xml:space="preserve"> </t>
    </r>
  </si>
  <si>
    <r>
      <t>R</t>
    </r>
    <r>
      <rPr>
        <b/>
        <vertAlign val="subscript"/>
        <sz val="11"/>
        <color theme="1"/>
        <rFont val="맑은 고딕"/>
        <family val="2"/>
        <scheme val="minor"/>
      </rPr>
      <t>VSC2</t>
    </r>
    <r>
      <rPr>
        <b/>
        <sz val="11"/>
        <color theme="1"/>
        <rFont val="맑은 고딕"/>
        <family val="2"/>
        <scheme val="minor"/>
      </rPr>
      <t xml:space="preserve"> </t>
    </r>
  </si>
  <si>
    <t>Top resistor of VSC divider, calculated value:</t>
  </si>
  <si>
    <t>Top resistor of VPC divider, calculated value:</t>
  </si>
  <si>
    <r>
      <t>V</t>
    </r>
    <r>
      <rPr>
        <b/>
        <vertAlign val="subscript"/>
        <sz val="10"/>
        <rFont val="Arial"/>
        <family val="2"/>
      </rPr>
      <t>BULK(max)</t>
    </r>
  </si>
  <si>
    <r>
      <t>V</t>
    </r>
    <r>
      <rPr>
        <b/>
        <vertAlign val="subscript"/>
        <sz val="10"/>
        <rFont val="Arial"/>
        <family val="2"/>
      </rPr>
      <t>BULK(min)</t>
    </r>
  </si>
  <si>
    <r>
      <t>V</t>
    </r>
    <r>
      <rPr>
        <b/>
        <vertAlign val="subscript"/>
        <sz val="10"/>
        <rFont val="Arial"/>
        <family val="2"/>
      </rPr>
      <t>OUT(max)</t>
    </r>
  </si>
  <si>
    <r>
      <t>V</t>
    </r>
    <r>
      <rPr>
        <b/>
        <vertAlign val="subscript"/>
        <sz val="10"/>
        <rFont val="Arial"/>
        <family val="2"/>
      </rPr>
      <t>OUT(nom)</t>
    </r>
  </si>
  <si>
    <r>
      <t>V</t>
    </r>
    <r>
      <rPr>
        <b/>
        <vertAlign val="subscript"/>
        <sz val="10"/>
        <rFont val="Arial"/>
        <family val="2"/>
      </rPr>
      <t>OUT(min)</t>
    </r>
  </si>
  <si>
    <r>
      <t>t</t>
    </r>
    <r>
      <rPr>
        <b/>
        <vertAlign val="subscript"/>
        <sz val="11"/>
        <rFont val="맑은 고딕"/>
        <family val="2"/>
        <scheme val="minor"/>
      </rPr>
      <t>ON(min)</t>
    </r>
  </si>
  <si>
    <r>
      <t>VPC</t>
    </r>
    <r>
      <rPr>
        <b/>
        <vertAlign val="subscript"/>
        <sz val="11"/>
        <color theme="1"/>
        <rFont val="맑은 고딕"/>
        <family val="2"/>
        <scheme val="minor"/>
      </rPr>
      <t>(max)</t>
    </r>
    <r>
      <rPr>
        <b/>
        <sz val="11"/>
        <color theme="1"/>
        <rFont val="맑은 고딕"/>
        <family val="2"/>
        <scheme val="minor"/>
      </rPr>
      <t xml:space="preserve"> </t>
    </r>
  </si>
  <si>
    <r>
      <t>VPC</t>
    </r>
    <r>
      <rPr>
        <b/>
        <vertAlign val="subscript"/>
        <sz val="11"/>
        <color theme="1"/>
        <rFont val="맑은 고딕"/>
        <family val="2"/>
        <scheme val="minor"/>
      </rPr>
      <t>(min)</t>
    </r>
    <r>
      <rPr>
        <b/>
        <sz val="11"/>
        <color theme="1"/>
        <rFont val="맑은 고딕"/>
        <family val="2"/>
        <scheme val="minor"/>
      </rPr>
      <t xml:space="preserve"> </t>
    </r>
  </si>
  <si>
    <r>
      <t>t</t>
    </r>
    <r>
      <rPr>
        <b/>
        <vertAlign val="subscript"/>
        <sz val="11"/>
        <color theme="1"/>
        <rFont val="맑은 고딕"/>
        <family val="2"/>
        <scheme val="minor"/>
      </rPr>
      <t>SEC(max)</t>
    </r>
  </si>
  <si>
    <r>
      <t>VPC</t>
    </r>
    <r>
      <rPr>
        <b/>
        <vertAlign val="subscript"/>
        <sz val="9"/>
        <color theme="1"/>
        <rFont val="맑은 고딕"/>
        <family val="2"/>
        <scheme val="minor"/>
      </rPr>
      <t>(min)</t>
    </r>
    <r>
      <rPr>
        <b/>
        <sz val="9"/>
        <color theme="1"/>
        <rFont val="맑은 고딕"/>
        <family val="2"/>
        <scheme val="minor"/>
      </rPr>
      <t>t</t>
    </r>
    <r>
      <rPr>
        <b/>
        <vertAlign val="subscript"/>
        <sz val="9"/>
        <color theme="1"/>
        <rFont val="맑은 고딕"/>
        <family val="2"/>
        <scheme val="minor"/>
      </rPr>
      <t>SEC(max)</t>
    </r>
    <r>
      <rPr>
        <b/>
        <sz val="9"/>
        <color theme="1"/>
        <rFont val="맑은 고딕"/>
        <family val="2"/>
        <scheme val="minor"/>
      </rPr>
      <t xml:space="preserve"> </t>
    </r>
  </si>
  <si>
    <r>
      <t>VSC</t>
    </r>
    <r>
      <rPr>
        <b/>
        <vertAlign val="subscript"/>
        <sz val="11"/>
        <color theme="1"/>
        <rFont val="맑은 고딕"/>
        <family val="2"/>
        <scheme val="minor"/>
      </rPr>
      <t>(max)</t>
    </r>
    <r>
      <rPr>
        <b/>
        <sz val="11"/>
        <color theme="1"/>
        <rFont val="맑은 고딕"/>
        <family val="2"/>
        <scheme val="minor"/>
      </rPr>
      <t xml:space="preserve"> </t>
    </r>
  </si>
  <si>
    <r>
      <t>VSC</t>
    </r>
    <r>
      <rPr>
        <b/>
        <vertAlign val="subscript"/>
        <sz val="11"/>
        <color theme="1"/>
        <rFont val="맑은 고딕"/>
        <family val="2"/>
        <scheme val="minor"/>
      </rPr>
      <t>(nom)</t>
    </r>
    <r>
      <rPr>
        <b/>
        <sz val="11"/>
        <color theme="1"/>
        <rFont val="맑은 고딕"/>
        <family val="2"/>
        <scheme val="minor"/>
      </rPr>
      <t xml:space="preserve"> </t>
    </r>
  </si>
  <si>
    <r>
      <t>VSC</t>
    </r>
    <r>
      <rPr>
        <b/>
        <vertAlign val="subscript"/>
        <sz val="11"/>
        <color theme="1"/>
        <rFont val="맑은 고딕"/>
        <family val="2"/>
        <scheme val="minor"/>
      </rPr>
      <t>(min)</t>
    </r>
    <r>
      <rPr>
        <b/>
        <sz val="11"/>
        <color theme="1"/>
        <rFont val="맑은 고딕"/>
        <family val="2"/>
        <scheme val="minor"/>
      </rPr>
      <t xml:space="preserve"> </t>
    </r>
  </si>
  <si>
    <t>Nominal voltage at VSC during steady-state operation</t>
  </si>
  <si>
    <t>Blanking resistor, calculated value:</t>
  </si>
  <si>
    <t>Minimum bulk voltage at full load, low line</t>
  </si>
  <si>
    <t>Maximum bulk voltage at light load, high line</t>
  </si>
  <si>
    <t>Highest output voltage at which SR must operate</t>
  </si>
  <si>
    <t>Lowest output voltage at which SR must operate</t>
  </si>
  <si>
    <t>Regulated output voltage in steady-state</t>
  </si>
  <si>
    <t>Switching frequency at full load, low line</t>
  </si>
  <si>
    <t>Minimum primary-side ON time</t>
  </si>
  <si>
    <t>Maximum primary-side duty cycle</t>
  </si>
  <si>
    <r>
      <t>SR MOSFET (Q</t>
    </r>
    <r>
      <rPr>
        <b/>
        <vertAlign val="subscript"/>
        <sz val="12"/>
        <color theme="0"/>
        <rFont val="Arial"/>
        <family val="2"/>
      </rPr>
      <t>SR</t>
    </r>
    <r>
      <rPr>
        <b/>
        <sz val="12"/>
        <color theme="0"/>
        <rFont val="Arial"/>
        <family val="2"/>
      </rPr>
      <t>)</t>
    </r>
  </si>
  <si>
    <t>CLEAR ALL USER INPUT CELLS BEFORE STARTING A NEW DESIGN</t>
  </si>
  <si>
    <t>UCC24630 DESIGN CALCULATOR TOOL</t>
  </si>
  <si>
    <t>SYSTEM INPUT SPECIFICATIONS:</t>
  </si>
  <si>
    <t>SYSTEM OUTPUT SPECIFICATIONS:</t>
  </si>
  <si>
    <t>Device parameters</t>
  </si>
  <si>
    <t>Total SR MOSFET gate charge at Vgs = VDD, (up to 13 V max)</t>
  </si>
  <si>
    <t>Bottom resistor of VPC divider, user-selected value:</t>
  </si>
  <si>
    <r>
      <t xml:space="preserve">Nearest resistance </t>
    </r>
    <r>
      <rPr>
        <sz val="11"/>
        <color theme="1"/>
        <rFont val="Calibri"/>
        <family val="2"/>
      </rPr>
      <t>≈</t>
    </r>
    <r>
      <rPr>
        <sz val="11"/>
        <color theme="1"/>
        <rFont val="맑은 고딕"/>
        <family val="2"/>
        <scheme val="minor"/>
      </rPr>
      <t xml:space="preserve"> calculated, user-selected value:</t>
    </r>
  </si>
  <si>
    <t>Bottom resistor of VSC divider, user-selected value:</t>
  </si>
  <si>
    <r>
      <t xml:space="preserve">Nearest resistance </t>
    </r>
    <r>
      <rPr>
        <b/>
        <sz val="11"/>
        <color theme="1"/>
        <rFont val="Calibri"/>
        <family val="2"/>
      </rPr>
      <t>≤</t>
    </r>
    <r>
      <rPr>
        <sz val="11"/>
        <color theme="1"/>
        <rFont val="맑은 고딕"/>
        <family val="2"/>
        <scheme val="minor"/>
      </rPr>
      <t xml:space="preserve"> calculated, user-selected value:</t>
    </r>
  </si>
  <si>
    <r>
      <rPr>
        <b/>
        <sz val="12"/>
        <color theme="1"/>
        <rFont val="Wingdings 3"/>
        <family val="1"/>
        <charset val="2"/>
      </rPr>
      <t xml:space="preserve">â </t>
    </r>
    <r>
      <rPr>
        <b/>
        <sz val="12"/>
        <color theme="1"/>
        <rFont val="맑은 고딕"/>
        <family val="2"/>
        <scheme val="minor"/>
      </rPr>
      <t xml:space="preserve">All user-specified resistors should be </t>
    </r>
    <r>
      <rPr>
        <b/>
        <sz val="12"/>
        <color theme="1"/>
        <rFont val="Calibri"/>
        <family val="2"/>
      </rPr>
      <t xml:space="preserve">±1% or better.  </t>
    </r>
  </si>
  <si>
    <t>VPCEN(max)</t>
  </si>
  <si>
    <t>VPC(max)</t>
  </si>
  <si>
    <t>VSC(min)</t>
  </si>
  <si>
    <t>VSC(max)</t>
  </si>
  <si>
    <t>VPC V-us(max)</t>
  </si>
  <si>
    <t>Nominal blanking time for VPC qualification:</t>
  </si>
  <si>
    <r>
      <t>t</t>
    </r>
    <r>
      <rPr>
        <b/>
        <vertAlign val="subscript"/>
        <sz val="11"/>
        <color theme="1"/>
        <rFont val="맑은 고딕"/>
        <family val="2"/>
        <scheme val="minor"/>
      </rPr>
      <t>BLNKon</t>
    </r>
  </si>
  <si>
    <t>Design Calculator for UCC24630 Synchronous Rectifier Controller</t>
  </si>
  <si>
    <t>This product is designed as an aid for customers of Texas Instruments.  No warranties, either expressed or implied, with respect to this software or its fitness for any particular purpose, are claimed by Texas Instruments or the author.  The software is licensed solely on an "as is" basis.  The entire risk as to its quality and performance is with the customer.</t>
  </si>
  <si>
    <t>CALCULATIONS and USER SELECTIONS</t>
  </si>
  <si>
    <t>TBLK Resistor (at pin 3)</t>
  </si>
  <si>
    <t>VSC Divider (at pin 2)</t>
  </si>
  <si>
    <t>VPC Divider (at pin 1)</t>
  </si>
  <si>
    <t>Maximum voltage at VPC for linearity;             should be &lt; 2.2 Vdc</t>
  </si>
  <si>
    <t>Minimum voltage at VPC for operation;         should be &gt; 0.45 Vdc</t>
  </si>
  <si>
    <r>
      <t>t</t>
    </r>
    <r>
      <rPr>
        <vertAlign val="subscript"/>
        <sz val="11"/>
        <color theme="1"/>
        <rFont val="맑은 고딕"/>
        <family val="2"/>
        <scheme val="minor"/>
      </rPr>
      <t>SEC(MAX)</t>
    </r>
    <r>
      <rPr>
        <sz val="11"/>
        <color theme="1"/>
        <rFont val="맑은 고딕"/>
        <family val="2"/>
        <scheme val="minor"/>
      </rPr>
      <t xml:space="preserve">  maximum secondary conduction time </t>
    </r>
  </si>
  <si>
    <t>Minimum voltage at VSC for operation;      should be &gt; 0.28 Vdc</t>
  </si>
  <si>
    <t>Maximum voltage at VSC for linearity;        should be &lt; 2.2 Vdc</t>
  </si>
  <si>
    <r>
      <t>Total primary-side switched-node capacitance at V</t>
    </r>
    <r>
      <rPr>
        <vertAlign val="subscript"/>
        <sz val="11"/>
        <color theme="1"/>
        <rFont val="맑은 고딕"/>
        <family val="2"/>
        <scheme val="minor"/>
      </rPr>
      <t xml:space="preserve">BULK(min)  
</t>
    </r>
    <r>
      <rPr>
        <sz val="9"/>
        <color theme="1"/>
        <rFont val="맑은 고딕"/>
        <family val="2"/>
        <scheme val="minor"/>
      </rPr>
      <t>(includes MOSFET C</t>
    </r>
    <r>
      <rPr>
        <vertAlign val="subscript"/>
        <sz val="9"/>
        <color theme="1"/>
        <rFont val="맑은 고딕"/>
        <family val="2"/>
        <scheme val="minor"/>
      </rPr>
      <t>OSS</t>
    </r>
    <r>
      <rPr>
        <sz val="9"/>
        <color theme="1"/>
        <rFont val="맑은 고딕"/>
        <family val="2"/>
        <scheme val="minor"/>
      </rPr>
      <t>, winding capacitance, and reflected SR-MOSFET C</t>
    </r>
    <r>
      <rPr>
        <vertAlign val="subscript"/>
        <sz val="9"/>
        <color theme="1"/>
        <rFont val="맑은 고딕"/>
        <family val="2"/>
        <scheme val="minor"/>
      </rPr>
      <t>OSS</t>
    </r>
    <r>
      <rPr>
        <sz val="9"/>
        <color theme="1"/>
        <rFont val="맑은 고딕"/>
        <family val="2"/>
        <scheme val="minor"/>
      </rPr>
      <t>)</t>
    </r>
  </si>
  <si>
    <r>
      <t>R</t>
    </r>
    <r>
      <rPr>
        <b/>
        <vertAlign val="subscript"/>
        <sz val="11"/>
        <color theme="1"/>
        <rFont val="맑은 고딕"/>
        <family val="2"/>
        <scheme val="minor"/>
      </rPr>
      <t>TBLKcalc1</t>
    </r>
    <r>
      <rPr>
        <b/>
        <sz val="11"/>
        <color theme="1"/>
        <rFont val="맑은 고딕"/>
        <family val="2"/>
        <scheme val="minor"/>
      </rPr>
      <t xml:space="preserve"> </t>
    </r>
  </si>
  <si>
    <r>
      <t xml:space="preserve">DESIGN REQUIREMENTS for Standard </t>
    </r>
    <r>
      <rPr>
        <b/>
        <i/>
        <u/>
        <sz val="16"/>
        <color rgb="FFFFFFFF"/>
        <rFont val="Arial"/>
        <family val="2"/>
      </rPr>
      <t>Low-Side SR</t>
    </r>
    <r>
      <rPr>
        <b/>
        <i/>
        <sz val="16"/>
        <color rgb="FFFFFFFF"/>
        <rFont val="Arial"/>
        <family val="2"/>
      </rPr>
      <t xml:space="preserve"> Configuration</t>
    </r>
  </si>
  <si>
    <t>WHERE APPLICABLE, A RECOMMENDED VALUE IS GIVEN THAT WILL BE THE BEST CHOICE TO MEET THE GIVEN SPECIFICATION.  IT IS IN THE BEST INTEREST OF THE USER TO USE A VALUE AS CLOSE AS POSSIBLE TO THE CALCULATED RECOMMENDED VALUE.  FOR ACCURATE RESULTS, THE USER MUST ENTER THE ACTUAL VALUE USED INTO THE APPROPRIATE CELL.</t>
  </si>
  <si>
    <r>
      <t xml:space="preserve">ALL </t>
    </r>
    <r>
      <rPr>
        <b/>
        <sz val="14"/>
        <color rgb="FF00F200"/>
        <rFont val="Arial"/>
        <family val="2"/>
      </rPr>
      <t>GREEN</t>
    </r>
    <r>
      <rPr>
        <b/>
        <sz val="14"/>
        <color rgb="FF000000"/>
        <rFont val="Arial"/>
        <family val="2"/>
      </rPr>
      <t xml:space="preserve"> CELLS ARE USER INPUTS       </t>
    </r>
    <r>
      <rPr>
        <b/>
        <sz val="14"/>
        <color rgb="FF2FC9FF"/>
        <rFont val="Arial"/>
        <family val="2"/>
      </rPr>
      <t>BLUE</t>
    </r>
    <r>
      <rPr>
        <b/>
        <sz val="14"/>
        <color rgb="FF000000"/>
        <rFont val="Arial"/>
        <family val="2"/>
      </rPr>
      <t xml:space="preserve"> CELLS ARE CHECKPOINTS</t>
    </r>
  </si>
  <si>
    <r>
      <t xml:space="preserve">1. The first worksheet, </t>
    </r>
    <r>
      <rPr>
        <b/>
        <sz val="18"/>
        <rFont val="Arial"/>
        <family val="2"/>
      </rPr>
      <t>Design Inputs</t>
    </r>
    <r>
      <rPr>
        <sz val="18"/>
        <rFont val="Arial"/>
        <family val="2"/>
      </rPr>
      <t xml:space="preserve">, is where the user enters the design requirements in the appropriate cells.  These inputs are the </t>
    </r>
    <r>
      <rPr>
        <b/>
        <sz val="18"/>
        <color rgb="FF92D050"/>
        <rFont val="Arial"/>
        <family val="2"/>
      </rPr>
      <t>GREEN</t>
    </r>
    <r>
      <rPr>
        <sz val="18"/>
        <rFont val="Arial"/>
        <family val="2"/>
      </rPr>
      <t xml:space="preserve"> cells.</t>
    </r>
  </si>
  <si>
    <r>
      <t xml:space="preserve">2. The second worksheet, </t>
    </r>
    <r>
      <rPr>
        <b/>
        <i/>
        <sz val="18"/>
        <rFont val="Arial"/>
        <family val="2"/>
      </rPr>
      <t>Calculations</t>
    </r>
    <r>
      <rPr>
        <sz val="18"/>
        <rFont val="Arial"/>
        <family val="2"/>
      </rPr>
      <t xml:space="preserve">, provides key calculated resistor values in the design.  Some of the calculated results need to be checked to ensure that the results fall within an acceptable range.  These cells are marked in </t>
    </r>
    <r>
      <rPr>
        <b/>
        <sz val="18"/>
        <color rgb="FF00B0F0"/>
        <rFont val="Arial"/>
        <family val="2"/>
      </rPr>
      <t>BLUE</t>
    </r>
    <r>
      <rPr>
        <sz val="18"/>
        <color rgb="FF00B0F0"/>
        <rFont val="Arial"/>
        <family val="2"/>
      </rPr>
      <t xml:space="preserve">.  </t>
    </r>
    <r>
      <rPr>
        <sz val="18"/>
        <rFont val="Arial"/>
        <family val="2"/>
      </rPr>
      <t>If the calculated results fall outside of the acceptable ranges, adjust V</t>
    </r>
    <r>
      <rPr>
        <vertAlign val="subscript"/>
        <sz val="18"/>
        <rFont val="Arial"/>
        <family val="2"/>
      </rPr>
      <t>BULK(MIN)</t>
    </r>
    <r>
      <rPr>
        <sz val="18"/>
        <rFont val="Arial"/>
        <family val="2"/>
      </rPr>
      <t>, V</t>
    </r>
    <r>
      <rPr>
        <vertAlign val="subscript"/>
        <sz val="18"/>
        <rFont val="Arial"/>
        <family val="2"/>
      </rPr>
      <t>BULK(MAX)</t>
    </r>
    <r>
      <rPr>
        <sz val="18"/>
        <rFont val="Arial"/>
        <family val="2"/>
      </rPr>
      <t>, N</t>
    </r>
    <r>
      <rPr>
        <vertAlign val="subscript"/>
        <sz val="18"/>
        <rFont val="Arial"/>
        <family val="2"/>
      </rPr>
      <t>PS</t>
    </r>
    <r>
      <rPr>
        <sz val="18"/>
        <rFont val="Arial"/>
        <family val="2"/>
      </rPr>
      <t>, or V</t>
    </r>
    <r>
      <rPr>
        <vertAlign val="subscript"/>
        <sz val="18"/>
        <rFont val="Arial"/>
        <family val="2"/>
      </rPr>
      <t>OUT(MIN)</t>
    </r>
    <r>
      <rPr>
        <sz val="18"/>
        <rFont val="Arial"/>
        <family val="2"/>
      </rPr>
      <t>, as appropriate.</t>
    </r>
  </si>
  <si>
    <r>
      <t xml:space="preserve">  (SR in negative leg; VDD from V</t>
    </r>
    <r>
      <rPr>
        <vertAlign val="subscript"/>
        <sz val="14"/>
        <color theme="1"/>
        <rFont val="맑은 고딕"/>
        <family val="2"/>
        <scheme val="minor"/>
      </rPr>
      <t>OUT</t>
    </r>
    <r>
      <rPr>
        <sz val="14"/>
        <color theme="1"/>
        <rFont val="맑은 고딕"/>
        <family val="2"/>
        <scheme val="minor"/>
      </rPr>
      <t>.</t>
    </r>
    <r>
      <rPr>
        <vertAlign val="subscript"/>
        <sz val="14"/>
        <color theme="1"/>
        <rFont val="맑은 고딕"/>
        <family val="2"/>
        <scheme val="minor"/>
      </rPr>
      <t xml:space="preserve">
  </t>
    </r>
    <r>
      <rPr>
        <sz val="14"/>
        <color theme="1"/>
        <rFont val="맑은 고딕"/>
        <family val="2"/>
        <scheme val="minor"/>
      </rPr>
      <t xml:space="preserve">   See schematic diagram, below.)</t>
    </r>
  </si>
  <si>
    <r>
      <t>VPC</t>
    </r>
    <r>
      <rPr>
        <vertAlign val="subscript"/>
        <sz val="11"/>
        <color theme="1"/>
        <rFont val="맑은 고딕"/>
        <family val="2"/>
        <scheme val="minor"/>
      </rPr>
      <t>(MIN)</t>
    </r>
    <r>
      <rPr>
        <sz val="11"/>
        <color theme="1"/>
        <rFont val="맑은 고딕"/>
        <family val="2"/>
        <scheme val="minor"/>
      </rPr>
      <t>t</t>
    </r>
    <r>
      <rPr>
        <vertAlign val="subscript"/>
        <sz val="11"/>
        <color theme="1"/>
        <rFont val="맑은 고딕"/>
        <family val="2"/>
        <scheme val="minor"/>
      </rPr>
      <t>SEC(MAX)</t>
    </r>
    <r>
      <rPr>
        <sz val="11"/>
        <color theme="1"/>
        <rFont val="맑은 고딕"/>
        <family val="2"/>
        <scheme val="minor"/>
      </rPr>
      <t xml:space="preserve">  max VPC Volt-sec product;      should be &lt; 6.4 V-µs</t>
    </r>
  </si>
  <si>
    <t>Information:  Power Dissipation from SR-control at Maximum Switching Frequency</t>
  </si>
  <si>
    <t>Information:  Power Dissipation from SR-control at Stand-by Condition</t>
  </si>
  <si>
    <t xml:space="preserve">   Total contribution to stand-by power loss by SR-control:   </t>
  </si>
  <si>
    <t xml:space="preserve">   Total contribution to full-load power loss by SR-control:  </t>
  </si>
  <si>
    <t>Misc Calculations</t>
  </si>
  <si>
    <r>
      <t>I</t>
    </r>
    <r>
      <rPr>
        <vertAlign val="subscript"/>
        <sz val="11"/>
        <color theme="0"/>
        <rFont val="맑은 고딕"/>
        <family val="2"/>
        <scheme val="minor"/>
      </rPr>
      <t>VPCbias</t>
    </r>
  </si>
  <si>
    <r>
      <t>I</t>
    </r>
    <r>
      <rPr>
        <vertAlign val="subscript"/>
        <sz val="11"/>
        <color theme="0"/>
        <rFont val="맑은 고딕"/>
        <family val="2"/>
        <scheme val="minor"/>
      </rPr>
      <t>VSCbias</t>
    </r>
  </si>
  <si>
    <r>
      <t>T</t>
    </r>
    <r>
      <rPr>
        <vertAlign val="subscript"/>
        <sz val="10"/>
        <color theme="0"/>
        <rFont val="맑은 고딕"/>
        <family val="2"/>
        <scheme val="minor"/>
      </rPr>
      <t>RES</t>
    </r>
  </si>
  <si>
    <r>
      <t>T</t>
    </r>
    <r>
      <rPr>
        <vertAlign val="subscript"/>
        <sz val="10"/>
        <color theme="0"/>
        <rFont val="맑은 고딕"/>
        <family val="2"/>
        <scheme val="minor"/>
      </rPr>
      <t>BLANK</t>
    </r>
  </si>
  <si>
    <r>
      <t>Blanking time, based on t</t>
    </r>
    <r>
      <rPr>
        <vertAlign val="subscript"/>
        <sz val="11"/>
        <color theme="1"/>
        <rFont val="맑은 고딕"/>
        <family val="2"/>
        <scheme val="minor"/>
      </rPr>
      <t>ON(min)</t>
    </r>
    <r>
      <rPr>
        <sz val="11"/>
        <color theme="1"/>
        <rFont val="맑은 고딕"/>
        <family val="2"/>
        <scheme val="minor"/>
      </rPr>
      <t xml:space="preserve"> at high-line.  Read page 16 of datasheet for more information on rejection of DCM ringing.</t>
    </r>
  </si>
  <si>
    <t>TI Literature Number:  SLUC582A</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</si>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</sst>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quot;&lt;&quot;\ General"/>
    <numFmt numFmtId="178" formatCode="0.0"/>
  </numFmts>
  <fonts count="70" x14ac:knownFonts="1">
    <font>
      <sz val="11"/>
      <color theme="1"/>
      <name val="맑은 고딕"/>
      <family val="2"/>
      <scheme val="minor"/>
    </font>
    <font>
      <sz val="20"/>
      <name val="Arial"/>
      <family val="2"/>
    </font>
    <font>
      <b/>
      <sz val="12"/>
      <name val="Arial"/>
      <family val="2"/>
    </font>
    <font>
      <b/>
      <sz val="14"/>
      <color indexed="10"/>
      <name val="Arial"/>
      <family val="2"/>
    </font>
    <font>
      <sz val="10"/>
      <name val="Arial"/>
      <family val="2"/>
    </font>
    <font>
      <b/>
      <sz val="10"/>
      <name val="Arial"/>
      <family val="2"/>
    </font>
    <font>
      <b/>
      <sz val="11"/>
      <color theme="1"/>
      <name val="맑은 고딕"/>
      <family val="2"/>
      <scheme val="minor"/>
    </font>
    <font>
      <sz val="11"/>
      <color theme="0"/>
      <name val="맑은 고딕"/>
      <family val="2"/>
      <scheme val="minor"/>
    </font>
    <font>
      <sz val="18"/>
      <name val="Arial"/>
      <family val="2"/>
    </font>
    <font>
      <b/>
      <sz val="18"/>
      <name val="Arial"/>
      <family val="2"/>
    </font>
    <font>
      <b/>
      <i/>
      <sz val="18"/>
      <name val="Arial"/>
      <family val="2"/>
    </font>
    <font>
      <b/>
      <i/>
      <sz val="12"/>
      <color indexed="9"/>
      <name val="Arial"/>
      <family val="2"/>
    </font>
    <font>
      <sz val="10"/>
      <color rgb="FFFF0000"/>
      <name val="Arial"/>
      <family val="2"/>
    </font>
    <font>
      <sz val="10"/>
      <color theme="0"/>
      <name val="Arial"/>
      <family val="2"/>
    </font>
    <font>
      <b/>
      <sz val="12"/>
      <color indexed="9"/>
      <name val="Arial"/>
      <family val="2"/>
    </font>
    <font>
      <b/>
      <sz val="26"/>
      <color theme="6"/>
      <name val="Arial"/>
      <family val="2"/>
    </font>
    <font>
      <sz val="10"/>
      <color theme="1"/>
      <name val="Arial"/>
      <family val="2"/>
    </font>
    <font>
      <sz val="11"/>
      <name val="맑은 고딕"/>
      <family val="2"/>
      <scheme val="minor"/>
    </font>
    <font>
      <b/>
      <sz val="10"/>
      <color theme="1"/>
      <name val="Arial"/>
      <family val="2"/>
    </font>
    <font>
      <sz val="9"/>
      <color theme="1"/>
      <name val="Arial"/>
      <family val="2"/>
    </font>
    <font>
      <b/>
      <vertAlign val="subscript"/>
      <sz val="10"/>
      <name val="Arial"/>
      <family val="2"/>
    </font>
    <font>
      <b/>
      <sz val="11"/>
      <name val="맑은 고딕"/>
      <family val="2"/>
      <scheme val="minor"/>
    </font>
    <font>
      <b/>
      <vertAlign val="subscript"/>
      <sz val="11"/>
      <name val="맑은 고딕"/>
      <family val="2"/>
      <scheme val="minor"/>
    </font>
    <font>
      <b/>
      <sz val="12"/>
      <color theme="0"/>
      <name val="Arial"/>
      <family val="2"/>
    </font>
    <font>
      <sz val="12"/>
      <color theme="0"/>
      <name val="Arial"/>
      <family val="2"/>
    </font>
    <font>
      <b/>
      <sz val="16"/>
      <color indexed="9"/>
      <name val="Arial"/>
      <family val="2"/>
    </font>
    <font>
      <b/>
      <sz val="10"/>
      <color indexed="9"/>
      <name val="Arial"/>
      <family val="2"/>
    </font>
    <font>
      <sz val="10"/>
      <name val="Symbol"/>
      <family val="1"/>
      <charset val="2"/>
    </font>
    <font>
      <sz val="10"/>
      <color theme="0"/>
      <name val="Symbol"/>
      <family val="1"/>
      <charset val="2"/>
    </font>
    <font>
      <vertAlign val="subscript"/>
      <sz val="11"/>
      <color theme="1"/>
      <name val="맑은 고딕"/>
      <family val="2"/>
      <scheme val="minor"/>
    </font>
    <font>
      <b/>
      <sz val="11"/>
      <color theme="1"/>
      <name val="Calibri"/>
      <family val="2"/>
    </font>
    <font>
      <sz val="18"/>
      <color rgb="FF00B0F0"/>
      <name val="Arial"/>
      <family val="2"/>
    </font>
    <font>
      <b/>
      <sz val="26"/>
      <color rgb="FFFF0000"/>
      <name val="Arial"/>
      <family val="2"/>
    </font>
    <font>
      <b/>
      <sz val="14"/>
      <color rgb="FFFF0000"/>
      <name val="맑은 고딕"/>
      <family val="2"/>
      <scheme val="minor"/>
    </font>
    <font>
      <vertAlign val="subscript"/>
      <sz val="18"/>
      <name val="Arial"/>
      <family val="2"/>
    </font>
    <font>
      <sz val="14"/>
      <color theme="1"/>
      <name val="맑은 고딕"/>
      <family val="2"/>
      <scheme val="minor"/>
    </font>
    <font>
      <b/>
      <sz val="10"/>
      <color theme="1"/>
      <name val="Calibri"/>
      <family val="2"/>
    </font>
    <font>
      <sz val="20"/>
      <name val="Arial"/>
      <family val="2"/>
    </font>
    <font>
      <vertAlign val="subscript"/>
      <sz val="11"/>
      <name val="맑은 고딕"/>
      <family val="2"/>
      <scheme val="minor"/>
    </font>
    <font>
      <b/>
      <vertAlign val="subscript"/>
      <sz val="11"/>
      <color theme="1"/>
      <name val="맑은 고딕"/>
      <family val="2"/>
      <scheme val="minor"/>
    </font>
    <font>
      <sz val="11"/>
      <color theme="1"/>
      <name val="Calibri"/>
      <family val="2"/>
    </font>
    <font>
      <b/>
      <sz val="9"/>
      <color theme="1"/>
      <name val="맑은 고딕"/>
      <family val="2"/>
      <scheme val="minor"/>
    </font>
    <font>
      <b/>
      <vertAlign val="subscript"/>
      <sz val="9"/>
      <color theme="1"/>
      <name val="맑은 고딕"/>
      <family val="2"/>
      <scheme val="minor"/>
    </font>
    <font>
      <b/>
      <vertAlign val="subscript"/>
      <sz val="12"/>
      <color theme="0"/>
      <name val="Arial"/>
      <family val="2"/>
    </font>
    <font>
      <sz val="11"/>
      <color rgb="FF000000"/>
      <name val="Arial"/>
      <family val="2"/>
    </font>
    <font>
      <b/>
      <sz val="24"/>
      <color rgb="FFFFFFFF"/>
      <name val="Arial"/>
      <family val="2"/>
    </font>
    <font>
      <b/>
      <sz val="16"/>
      <color rgb="FF000000"/>
      <name val="Arial"/>
      <family val="2"/>
    </font>
    <font>
      <b/>
      <sz val="14"/>
      <color rgb="FFFF0000"/>
      <name val="Arial"/>
      <family val="2"/>
    </font>
    <font>
      <b/>
      <sz val="14"/>
      <color rgb="FF000000"/>
      <name val="Arial"/>
      <family val="2"/>
    </font>
    <font>
      <sz val="11"/>
      <name val="Arial"/>
      <family val="2"/>
    </font>
    <font>
      <b/>
      <i/>
      <sz val="16"/>
      <color rgb="FFFFFFFF"/>
      <name val="Arial"/>
      <family val="2"/>
    </font>
    <font>
      <b/>
      <sz val="12"/>
      <color theme="1"/>
      <name val="맑은 고딕"/>
      <family val="2"/>
      <scheme val="minor"/>
    </font>
    <font>
      <b/>
      <sz val="12"/>
      <color theme="1"/>
      <name val="Calibri"/>
      <family val="2"/>
    </font>
    <font>
      <b/>
      <sz val="12"/>
      <color theme="1"/>
      <name val="Wingdings 3"/>
      <family val="1"/>
      <charset val="2"/>
    </font>
    <font>
      <b/>
      <sz val="14"/>
      <color rgb="FF00F200"/>
      <name val="Arial"/>
      <family val="2"/>
    </font>
    <font>
      <sz val="12"/>
      <color rgb="FF000000"/>
      <name val="Arial"/>
      <family val="2"/>
    </font>
    <font>
      <sz val="9"/>
      <color indexed="81"/>
      <name val="Tahoma"/>
      <family val="2"/>
    </font>
    <font>
      <b/>
      <sz val="9"/>
      <color indexed="81"/>
      <name val="Tahoma"/>
      <family val="2"/>
    </font>
    <font>
      <sz val="9"/>
      <color theme="1"/>
      <name val="맑은 고딕"/>
      <family val="2"/>
      <scheme val="minor"/>
    </font>
    <font>
      <vertAlign val="subscript"/>
      <sz val="9"/>
      <color theme="1"/>
      <name val="맑은 고딕"/>
      <family val="2"/>
      <scheme val="minor"/>
    </font>
    <font>
      <b/>
      <i/>
      <u/>
      <sz val="16"/>
      <color rgb="FFFFFFFF"/>
      <name val="Arial"/>
      <family val="2"/>
    </font>
    <font>
      <vertAlign val="subscript"/>
      <sz val="14"/>
      <color theme="1"/>
      <name val="맑은 고딕"/>
      <family val="2"/>
      <scheme val="minor"/>
    </font>
    <font>
      <b/>
      <sz val="14"/>
      <color rgb="FF2FC9FF"/>
      <name val="Arial"/>
      <family val="2"/>
    </font>
    <font>
      <b/>
      <sz val="18"/>
      <color rgb="FF92D050"/>
      <name val="Arial"/>
      <family val="2"/>
    </font>
    <font>
      <b/>
      <sz val="18"/>
      <color rgb="FF00B0F0"/>
      <name val="Arial"/>
      <family val="2"/>
    </font>
    <font>
      <sz val="10"/>
      <color theme="0"/>
      <name val="맑은 고딕"/>
      <family val="2"/>
      <scheme val="minor"/>
    </font>
    <font>
      <vertAlign val="subscript"/>
      <sz val="11"/>
      <color theme="0"/>
      <name val="맑은 고딕"/>
      <family val="2"/>
      <scheme val="minor"/>
    </font>
    <font>
      <vertAlign val="subscript"/>
      <sz val="10"/>
      <color theme="0"/>
      <name val="맑은 고딕"/>
      <family val="2"/>
      <scheme val="minor"/>
    </font>
    <font>
      <b/>
      <sz val="11"/>
      <name val="Arial"/>
      <family val="2"/>
    </font>
    <font>
      <sz val="8"/>
      <name val="맑은 고딕"/>
      <family val="3"/>
      <charset val="129"/>
      <scheme val="minor"/>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10"/>
        <bgColor indexed="64"/>
      </patternFill>
    </fill>
    <fill>
      <patternFill patternType="solid">
        <fgColor rgb="FF99FFCC"/>
        <bgColor indexed="64"/>
      </patternFill>
    </fill>
    <fill>
      <patternFill patternType="solid">
        <fgColor rgb="FFFF0000"/>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rgb="FFFFFFFF"/>
        <bgColor rgb="FF000000"/>
      </patternFill>
    </fill>
    <fill>
      <patternFill patternType="solid">
        <fgColor rgb="FFFF0000"/>
        <bgColor rgb="FF000000"/>
      </patternFill>
    </fill>
    <fill>
      <patternFill patternType="solid">
        <fgColor theme="0"/>
        <bgColor rgb="FF000000"/>
      </patternFill>
    </fill>
    <fill>
      <patternFill patternType="solid">
        <fgColor rgb="FF2FC9F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232">
    <xf numFmtId="0" fontId="0" fillId="0" borderId="0" xfId="0"/>
    <xf numFmtId="0" fontId="0" fillId="2" borderId="0" xfId="0" applyFill="1" applyBorder="1"/>
    <xf numFmtId="0" fontId="0" fillId="3" borderId="0" xfId="0" applyFill="1" applyAlignment="1">
      <alignment vertical="center"/>
    </xf>
    <xf numFmtId="0" fontId="0" fillId="3" borderId="0" xfId="0" applyFill="1" applyBorder="1" applyAlignment="1">
      <alignment vertical="center"/>
    </xf>
    <xf numFmtId="0" fontId="0" fillId="3" borderId="1" xfId="0" applyFill="1" applyBorder="1" applyAlignment="1">
      <alignment vertical="center"/>
    </xf>
    <xf numFmtId="0" fontId="0" fillId="3" borderId="7" xfId="0" applyFill="1" applyBorder="1" applyAlignment="1">
      <alignment vertical="center"/>
    </xf>
    <xf numFmtId="0" fontId="0" fillId="3" borderId="9" xfId="0" applyFill="1" applyBorder="1" applyAlignment="1">
      <alignment vertical="center"/>
    </xf>
    <xf numFmtId="0" fontId="7" fillId="2" borderId="0" xfId="0" applyFont="1" applyFill="1" applyAlignment="1">
      <alignment vertical="center"/>
    </xf>
    <xf numFmtId="0" fontId="7" fillId="2" borderId="0" xfId="0" applyFont="1" applyFill="1" applyBorder="1" applyAlignment="1">
      <alignment vertical="center"/>
    </xf>
    <xf numFmtId="0" fontId="28" fillId="2" borderId="0" xfId="0" applyFont="1" applyFill="1" applyBorder="1" applyAlignment="1">
      <alignment vertical="center"/>
    </xf>
    <xf numFmtId="0" fontId="17" fillId="2" borderId="0" xfId="0" applyFont="1" applyFill="1" applyBorder="1" applyAlignment="1">
      <alignment vertical="center"/>
    </xf>
    <xf numFmtId="0" fontId="4" fillId="2" borderId="0" xfId="0" applyFont="1" applyFill="1" applyBorder="1" applyAlignment="1">
      <alignment vertical="center"/>
    </xf>
    <xf numFmtId="0" fontId="0" fillId="2" borderId="0" xfId="0" applyFill="1" applyBorder="1" applyAlignment="1">
      <alignment vertical="center"/>
    </xf>
    <xf numFmtId="176" fontId="0" fillId="2" borderId="0" xfId="0" applyNumberFormat="1" applyFill="1" applyBorder="1" applyAlignment="1">
      <alignment vertical="center"/>
    </xf>
    <xf numFmtId="0" fontId="27" fillId="2" borderId="0" xfId="0" applyFont="1" applyFill="1" applyBorder="1" applyAlignment="1">
      <alignment vertical="center"/>
    </xf>
    <xf numFmtId="2" fontId="0" fillId="3" borderId="0" xfId="0" applyNumberFormat="1" applyFill="1" applyAlignment="1">
      <alignment vertical="center"/>
    </xf>
    <xf numFmtId="2" fontId="0" fillId="3" borderId="1" xfId="0" applyNumberFormat="1" applyFill="1" applyBorder="1" applyAlignment="1">
      <alignment vertical="center"/>
    </xf>
    <xf numFmtId="2" fontId="0" fillId="3" borderId="10" xfId="0" applyNumberFormat="1" applyFill="1" applyBorder="1" applyAlignment="1">
      <alignment vertical="center"/>
    </xf>
    <xf numFmtId="2" fontId="0" fillId="2" borderId="0" xfId="0" applyNumberFormat="1" applyFill="1" applyBorder="1" applyAlignment="1">
      <alignment vertical="center"/>
    </xf>
    <xf numFmtId="2" fontId="17" fillId="2" borderId="0" xfId="0" applyNumberFormat="1" applyFont="1" applyFill="1" applyBorder="1" applyAlignment="1">
      <alignment vertical="center"/>
    </xf>
    <xf numFmtId="2" fontId="7" fillId="2" borderId="0" xfId="0" applyNumberFormat="1" applyFont="1" applyFill="1" applyBorder="1" applyAlignment="1">
      <alignment vertical="center"/>
    </xf>
    <xf numFmtId="2" fontId="7" fillId="2" borderId="0" xfId="0" applyNumberFormat="1" applyFont="1" applyFill="1" applyAlignment="1">
      <alignment vertical="center"/>
    </xf>
    <xf numFmtId="0" fontId="6" fillId="3" borderId="8" xfId="0" applyFont="1" applyFill="1" applyBorder="1" applyAlignment="1">
      <alignment vertical="center"/>
    </xf>
    <xf numFmtId="2" fontId="0" fillId="3" borderId="0" xfId="0" applyNumberFormat="1" applyFill="1" applyBorder="1" applyAlignment="1">
      <alignment vertical="center"/>
    </xf>
    <xf numFmtId="0" fontId="6" fillId="3" borderId="11" xfId="0" applyFont="1" applyFill="1" applyBorder="1" applyAlignment="1">
      <alignment vertical="center"/>
    </xf>
    <xf numFmtId="0" fontId="6" fillId="3" borderId="0" xfId="0" applyFont="1" applyFill="1" applyBorder="1" applyAlignment="1">
      <alignment vertical="center"/>
    </xf>
    <xf numFmtId="0" fontId="18" fillId="3" borderId="8" xfId="0" applyFont="1" applyFill="1" applyBorder="1" applyAlignment="1">
      <alignment vertical="center"/>
    </xf>
    <xf numFmtId="0" fontId="0" fillId="7" borderId="7" xfId="0" applyFill="1" applyBorder="1" applyAlignment="1">
      <alignment vertical="center"/>
    </xf>
    <xf numFmtId="2" fontId="0" fillId="7" borderId="1" xfId="0" applyNumberFormat="1" applyFill="1" applyBorder="1" applyAlignment="1">
      <alignment vertical="center"/>
    </xf>
    <xf numFmtId="0" fontId="6" fillId="7" borderId="8" xfId="0" applyFont="1" applyFill="1" applyBorder="1" applyAlignment="1">
      <alignment vertical="center"/>
    </xf>
    <xf numFmtId="0" fontId="0" fillId="7" borderId="9" xfId="0" applyFill="1" applyBorder="1" applyAlignment="1">
      <alignment vertical="center"/>
    </xf>
    <xf numFmtId="2" fontId="0" fillId="7" borderId="10" xfId="0" applyNumberFormat="1" applyFill="1" applyBorder="1" applyAlignment="1">
      <alignment vertical="center"/>
    </xf>
    <xf numFmtId="0" fontId="6" fillId="7" borderId="11" xfId="0" applyFont="1" applyFill="1" applyBorder="1" applyAlignment="1">
      <alignment vertical="center"/>
    </xf>
    <xf numFmtId="0" fontId="16" fillId="5" borderId="1" xfId="0" applyFont="1" applyFill="1" applyBorder="1" applyAlignment="1" applyProtection="1">
      <alignment horizontal="center" vertical="center"/>
      <protection locked="0"/>
    </xf>
    <xf numFmtId="0" fontId="4" fillId="5" borderId="1" xfId="0" applyFon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3" borderId="0" xfId="0" applyFill="1" applyAlignment="1" applyProtection="1">
      <alignment vertical="center"/>
    </xf>
    <xf numFmtId="0" fontId="6" fillId="3" borderId="0" xfId="0" applyFont="1" applyFill="1" applyAlignment="1" applyProtection="1">
      <alignment vertical="center"/>
    </xf>
    <xf numFmtId="0" fontId="2" fillId="3" borderId="0" xfId="0" applyFont="1" applyFill="1" applyAlignment="1" applyProtection="1">
      <alignment horizontal="center" vertical="center"/>
    </xf>
    <xf numFmtId="0" fontId="23" fillId="3" borderId="0" xfId="0" applyFont="1" applyFill="1" applyBorder="1" applyAlignment="1" applyProtection="1">
      <alignment horizontal="center" vertical="center"/>
    </xf>
    <xf numFmtId="0" fontId="19" fillId="3" borderId="0" xfId="0" applyFont="1" applyFill="1" applyAlignment="1" applyProtection="1">
      <alignment horizontal="left" vertical="center"/>
    </xf>
    <xf numFmtId="0" fontId="12" fillId="3" borderId="0" xfId="0" applyFont="1" applyFill="1" applyAlignment="1" applyProtection="1">
      <alignment vertical="center"/>
    </xf>
    <xf numFmtId="0" fontId="13" fillId="3" borderId="0" xfId="0" applyFont="1" applyFill="1" applyAlignment="1" applyProtection="1">
      <alignment vertical="center"/>
    </xf>
    <xf numFmtId="0" fontId="5" fillId="2" borderId="1" xfId="0" applyFont="1" applyFill="1" applyBorder="1" applyAlignment="1" applyProtection="1">
      <alignment horizontal="center" vertical="center"/>
    </xf>
    <xf numFmtId="0" fontId="17" fillId="3" borderId="1" xfId="0" applyFont="1" applyFill="1" applyBorder="1" applyAlignment="1" applyProtection="1">
      <alignment vertical="center"/>
    </xf>
    <xf numFmtId="0" fontId="13" fillId="3" borderId="0" xfId="0" applyNumberFormat="1" applyFont="1" applyFill="1" applyAlignment="1" applyProtection="1">
      <alignment vertical="center"/>
    </xf>
    <xf numFmtId="0" fontId="0" fillId="3" borderId="0" xfId="0" applyFill="1" applyBorder="1" applyAlignment="1" applyProtection="1">
      <alignment vertical="center"/>
    </xf>
    <xf numFmtId="0" fontId="18" fillId="3" borderId="0" xfId="0" applyFont="1" applyFill="1" applyAlignment="1" applyProtection="1">
      <alignment vertical="center"/>
    </xf>
    <xf numFmtId="0" fontId="5" fillId="3" borderId="1" xfId="0" applyFont="1" applyFill="1" applyBorder="1" applyAlignment="1" applyProtection="1">
      <alignment horizontal="center" vertical="center"/>
    </xf>
    <xf numFmtId="176" fontId="21" fillId="3" borderId="1" xfId="0" applyNumberFormat="1" applyFont="1" applyFill="1" applyBorder="1" applyAlignment="1" applyProtection="1">
      <alignment horizontal="center" vertical="center"/>
    </xf>
    <xf numFmtId="0" fontId="21" fillId="3" borderId="1" xfId="0" applyFont="1" applyFill="1" applyBorder="1" applyAlignment="1" applyProtection="1">
      <alignment horizontal="center" vertical="center"/>
    </xf>
    <xf numFmtId="0" fontId="0" fillId="2" borderId="0" xfId="0" applyFill="1" applyAlignment="1"/>
    <xf numFmtId="0" fontId="0" fillId="2" borderId="0" xfId="0" applyFill="1" applyAlignment="1">
      <alignment wrapText="1"/>
    </xf>
    <xf numFmtId="0" fontId="0" fillId="2" borderId="0" xfId="0" applyFill="1" applyAlignment="1">
      <alignment vertical="center" wrapText="1"/>
    </xf>
    <xf numFmtId="0" fontId="17" fillId="3" borderId="0" xfId="0" applyFont="1" applyFill="1" applyAlignment="1">
      <alignment vertical="center"/>
    </xf>
    <xf numFmtId="176" fontId="17" fillId="3" borderId="0" xfId="0" applyNumberFormat="1" applyFont="1" applyFill="1" applyAlignment="1">
      <alignment vertical="center"/>
    </xf>
    <xf numFmtId="11" fontId="17" fillId="3" borderId="0" xfId="0" applyNumberFormat="1" applyFont="1" applyFill="1" applyAlignment="1">
      <alignment vertical="center"/>
    </xf>
    <xf numFmtId="0" fontId="6" fillId="3" borderId="9" xfId="0" applyFont="1" applyFill="1" applyBorder="1" applyAlignment="1">
      <alignment vertical="center"/>
    </xf>
    <xf numFmtId="0" fontId="0" fillId="2" borderId="1" xfId="0" applyFill="1" applyBorder="1" applyAlignment="1" applyProtection="1">
      <alignment horizontal="center" vertical="center"/>
    </xf>
    <xf numFmtId="0" fontId="33" fillId="3" borderId="0" xfId="0" applyFont="1" applyFill="1" applyAlignment="1">
      <alignment vertical="center"/>
    </xf>
    <xf numFmtId="0" fontId="0" fillId="8" borderId="7" xfId="0" applyFill="1" applyBorder="1" applyAlignment="1">
      <alignment vertical="center"/>
    </xf>
    <xf numFmtId="0" fontId="0" fillId="8" borderId="1" xfId="0" applyFill="1" applyBorder="1" applyAlignment="1">
      <alignment vertical="center"/>
    </xf>
    <xf numFmtId="0" fontId="18" fillId="8" borderId="8" xfId="0" applyFont="1" applyFill="1" applyBorder="1" applyAlignment="1">
      <alignment vertical="center"/>
    </xf>
    <xf numFmtId="0" fontId="0" fillId="8" borderId="9" xfId="0" applyFill="1" applyBorder="1" applyAlignment="1">
      <alignment vertical="center"/>
    </xf>
    <xf numFmtId="0" fontId="6" fillId="8" borderId="11" xfId="0" applyFont="1" applyFill="1" applyBorder="1" applyAlignment="1">
      <alignment vertical="center"/>
    </xf>
    <xf numFmtId="0" fontId="0" fillId="8" borderId="0" xfId="0" applyFill="1" applyAlignment="1">
      <alignment vertical="center"/>
    </xf>
    <xf numFmtId="2" fontId="0" fillId="8" borderId="0" xfId="0" applyNumberFormat="1" applyFill="1" applyAlignment="1">
      <alignment vertical="center"/>
    </xf>
    <xf numFmtId="0" fontId="3" fillId="3" borderId="0" xfId="0" applyFont="1" applyFill="1" applyAlignment="1" applyProtection="1">
      <alignment horizontal="center" vertical="center"/>
    </xf>
    <xf numFmtId="0" fontId="0" fillId="0" borderId="0" xfId="0" applyAlignment="1" applyProtection="1">
      <alignment horizontal="center" vertical="center"/>
    </xf>
    <xf numFmtId="0" fontId="35" fillId="2" borderId="0" xfId="0" applyFont="1" applyFill="1" applyBorder="1"/>
    <xf numFmtId="2" fontId="0" fillId="5" borderId="1" xfId="0" applyNumberFormat="1" applyFill="1" applyBorder="1" applyAlignment="1">
      <alignment vertical="center"/>
    </xf>
    <xf numFmtId="0" fontId="6" fillId="5" borderId="8" xfId="0" applyFont="1" applyFill="1" applyBorder="1" applyAlignment="1">
      <alignment vertical="center"/>
    </xf>
    <xf numFmtId="178" fontId="0" fillId="5" borderId="1" xfId="0" applyNumberFormat="1" applyFill="1" applyBorder="1" applyAlignment="1">
      <alignment vertical="center"/>
    </xf>
    <xf numFmtId="178" fontId="0" fillId="8" borderId="10" xfId="0" applyNumberFormat="1" applyFill="1" applyBorder="1" applyAlignment="1">
      <alignment vertical="center"/>
    </xf>
    <xf numFmtId="178" fontId="0" fillId="3" borderId="10" xfId="0" applyNumberFormat="1" applyFill="1" applyBorder="1" applyAlignment="1">
      <alignment vertical="center"/>
    </xf>
    <xf numFmtId="0" fontId="0" fillId="5" borderId="1" xfId="0" applyFill="1" applyBorder="1" applyAlignment="1" applyProtection="1">
      <alignment horizontal="center" vertical="center"/>
    </xf>
    <xf numFmtId="0" fontId="0" fillId="0" borderId="9" xfId="0" applyFill="1" applyBorder="1" applyAlignment="1">
      <alignment vertical="center"/>
    </xf>
    <xf numFmtId="2" fontId="0" fillId="0" borderId="10" xfId="0" applyNumberFormat="1" applyFill="1" applyBorder="1" applyAlignment="1">
      <alignment vertical="center"/>
    </xf>
    <xf numFmtId="0" fontId="6" fillId="0" borderId="11" xfId="0" applyFont="1" applyFill="1" applyBorder="1" applyAlignment="1">
      <alignment vertical="center"/>
    </xf>
    <xf numFmtId="0" fontId="0" fillId="9" borderId="0" xfId="0" applyFill="1" applyAlignment="1">
      <alignment vertical="center"/>
    </xf>
    <xf numFmtId="0" fontId="0" fillId="2" borderId="0" xfId="0" applyFill="1" applyAlignment="1" applyProtection="1">
      <alignment vertical="center"/>
    </xf>
    <xf numFmtId="0" fontId="16" fillId="2" borderId="0" xfId="0" applyFont="1" applyFill="1" applyAlignment="1" applyProtection="1">
      <alignment vertical="center"/>
    </xf>
    <xf numFmtId="0" fontId="0" fillId="2" borderId="0" xfId="0" applyFont="1" applyFill="1" applyAlignment="1" applyProtection="1">
      <alignment vertical="center"/>
    </xf>
    <xf numFmtId="0" fontId="12" fillId="2" borderId="0" xfId="0" applyFont="1" applyFill="1" applyAlignment="1" applyProtection="1">
      <alignment vertical="center"/>
    </xf>
    <xf numFmtId="0" fontId="0" fillId="2" borderId="0" xfId="0" applyFill="1" applyAlignment="1">
      <alignment vertical="center"/>
    </xf>
    <xf numFmtId="0" fontId="0" fillId="3" borderId="18" xfId="0" applyFill="1" applyBorder="1" applyAlignment="1">
      <alignment vertical="center"/>
    </xf>
    <xf numFmtId="0" fontId="0" fillId="0" borderId="19" xfId="0" applyFill="1" applyBorder="1" applyAlignment="1">
      <alignment vertical="center"/>
    </xf>
    <xf numFmtId="2" fontId="0" fillId="3" borderId="6" xfId="0" applyNumberFormat="1" applyFill="1" applyBorder="1" applyAlignment="1">
      <alignment vertical="center"/>
    </xf>
    <xf numFmtId="2" fontId="0" fillId="0" borderId="17" xfId="0" applyNumberFormat="1" applyFill="1" applyBorder="1" applyAlignment="1">
      <alignment vertical="center"/>
    </xf>
    <xf numFmtId="178" fontId="0" fillId="3" borderId="6" xfId="0" applyNumberFormat="1" applyFill="1" applyBorder="1" applyAlignment="1">
      <alignment vertical="center"/>
    </xf>
    <xf numFmtId="2" fontId="0" fillId="3" borderId="20" xfId="0" applyNumberFormat="1" applyFill="1" applyBorder="1" applyAlignment="1">
      <alignment vertical="center"/>
    </xf>
    <xf numFmtId="0" fontId="0" fillId="3" borderId="7" xfId="0" applyFill="1" applyBorder="1" applyAlignment="1" applyProtection="1">
      <alignment vertical="center"/>
    </xf>
    <xf numFmtId="0" fontId="6" fillId="3" borderId="8" xfId="0" applyFont="1" applyFill="1" applyBorder="1" applyAlignment="1" applyProtection="1">
      <alignment vertical="center"/>
    </xf>
    <xf numFmtId="0" fontId="18" fillId="3" borderId="8" xfId="0" applyFont="1" applyFill="1" applyBorder="1" applyAlignment="1" applyProtection="1">
      <alignment horizontal="left" vertical="center"/>
    </xf>
    <xf numFmtId="0" fontId="18" fillId="3" borderId="8" xfId="0" applyFont="1" applyFill="1" applyBorder="1" applyAlignment="1" applyProtection="1">
      <alignment vertical="center" wrapText="1"/>
    </xf>
    <xf numFmtId="0" fontId="0" fillId="3" borderId="9" xfId="0" applyFill="1" applyBorder="1" applyAlignment="1" applyProtection="1">
      <alignment vertical="center"/>
    </xf>
    <xf numFmtId="0" fontId="5" fillId="2" borderId="10" xfId="0" applyFont="1" applyFill="1" applyBorder="1" applyAlignment="1" applyProtection="1">
      <alignment horizontal="center" vertical="center"/>
    </xf>
    <xf numFmtId="0" fontId="0" fillId="5" borderId="10" xfId="0" applyFill="1" applyBorder="1" applyAlignment="1" applyProtection="1">
      <alignment horizontal="center" vertical="center"/>
      <protection locked="0"/>
    </xf>
    <xf numFmtId="0" fontId="18" fillId="3" borderId="11" xfId="0" applyFont="1" applyFill="1" applyBorder="1" applyAlignment="1" applyProtection="1">
      <alignment vertical="center" wrapText="1"/>
    </xf>
    <xf numFmtId="0" fontId="0" fillId="3" borderId="7" xfId="0" applyFont="1" applyFill="1" applyBorder="1" applyAlignment="1" applyProtection="1">
      <alignment vertical="center"/>
    </xf>
    <xf numFmtId="0" fontId="18" fillId="3" borderId="8" xfId="0" applyFont="1" applyFill="1" applyBorder="1" applyAlignment="1" applyProtection="1">
      <alignment vertical="center"/>
    </xf>
    <xf numFmtId="177" fontId="21" fillId="3" borderId="10" xfId="0" applyNumberFormat="1" applyFont="1" applyFill="1" applyBorder="1" applyAlignment="1" applyProtection="1">
      <alignment horizontal="center" vertical="center"/>
    </xf>
    <xf numFmtId="0" fontId="18" fillId="3" borderId="11" xfId="0" applyFont="1" applyFill="1" applyBorder="1" applyAlignment="1" applyProtection="1">
      <alignment vertical="center"/>
    </xf>
    <xf numFmtId="0" fontId="6" fillId="3" borderId="1" xfId="0" applyFont="1" applyFill="1" applyBorder="1" applyAlignment="1" applyProtection="1">
      <alignment horizontal="center" vertical="center"/>
    </xf>
    <xf numFmtId="0" fontId="6" fillId="3" borderId="1" xfId="0" applyFont="1" applyFill="1" applyBorder="1" applyAlignment="1">
      <alignment horizontal="center" vertical="center"/>
    </xf>
    <xf numFmtId="176" fontId="0" fillId="3" borderId="6" xfId="0" applyNumberFormat="1" applyFill="1" applyBorder="1" applyAlignment="1">
      <alignment vertical="center"/>
    </xf>
    <xf numFmtId="2" fontId="0" fillId="2" borderId="0" xfId="0" applyNumberFormat="1" applyFill="1" applyAlignment="1">
      <alignment vertical="center"/>
    </xf>
    <xf numFmtId="0" fontId="41" fillId="3" borderId="1" xfId="0" applyFont="1" applyFill="1" applyBorder="1" applyAlignment="1" applyProtection="1">
      <alignment horizontal="center" vertical="center"/>
    </xf>
    <xf numFmtId="0" fontId="0" fillId="2" borderId="18" xfId="0" applyFill="1" applyBorder="1" applyAlignment="1">
      <alignment vertical="center"/>
    </xf>
    <xf numFmtId="0" fontId="6" fillId="2" borderId="8" xfId="0" applyFont="1" applyFill="1" applyBorder="1" applyAlignment="1">
      <alignment vertical="center"/>
    </xf>
    <xf numFmtId="0" fontId="26" fillId="2" borderId="0" xfId="0" applyFont="1" applyFill="1" applyBorder="1" applyAlignment="1">
      <alignment horizontal="left" vertical="center"/>
    </xf>
    <xf numFmtId="0" fontId="44" fillId="10" borderId="0" xfId="0" applyFont="1" applyFill="1" applyBorder="1" applyAlignment="1">
      <alignment vertical="center"/>
    </xf>
    <xf numFmtId="0" fontId="6" fillId="3" borderId="1" xfId="0" applyFont="1" applyFill="1" applyBorder="1" applyAlignment="1">
      <alignment vertical="center"/>
    </xf>
    <xf numFmtId="0" fontId="6" fillId="3" borderId="10" xfId="0" applyFont="1" applyFill="1" applyBorder="1" applyAlignment="1">
      <alignment vertical="center"/>
    </xf>
    <xf numFmtId="0" fontId="6" fillId="3" borderId="10" xfId="0" applyFont="1" applyFill="1" applyBorder="1" applyAlignment="1">
      <alignment horizontal="center" vertical="center"/>
    </xf>
    <xf numFmtId="0" fontId="0" fillId="3" borderId="0" xfId="0" quotePrefix="1" applyFill="1" applyAlignment="1">
      <alignment vertical="center"/>
    </xf>
    <xf numFmtId="0" fontId="6" fillId="3" borderId="32" xfId="0" applyFont="1" applyFill="1" applyBorder="1" applyAlignment="1">
      <alignment horizontal="center" vertical="center"/>
    </xf>
    <xf numFmtId="0" fontId="18" fillId="2" borderId="11" xfId="0" applyFont="1" applyFill="1" applyBorder="1" applyAlignment="1">
      <alignment vertical="center"/>
    </xf>
    <xf numFmtId="0" fontId="17" fillId="2" borderId="0" xfId="0" applyFont="1" applyFill="1" applyAlignment="1">
      <alignment vertical="center"/>
    </xf>
    <xf numFmtId="0" fontId="13" fillId="2" borderId="0" xfId="0" applyFont="1" applyFill="1" applyAlignment="1" applyProtection="1">
      <alignment vertical="center"/>
    </xf>
    <xf numFmtId="0" fontId="33" fillId="2" borderId="0" xfId="0" applyFont="1" applyFill="1" applyAlignment="1">
      <alignment vertical="center"/>
    </xf>
    <xf numFmtId="0" fontId="50" fillId="12" borderId="25" xfId="0" applyFont="1" applyFill="1" applyBorder="1" applyAlignment="1">
      <alignment vertical="center"/>
    </xf>
    <xf numFmtId="0" fontId="49" fillId="10" borderId="0" xfId="0" applyFont="1" applyFill="1" applyBorder="1" applyAlignment="1">
      <alignment horizontal="center" vertical="center" wrapText="1"/>
    </xf>
    <xf numFmtId="0" fontId="6" fillId="2" borderId="0" xfId="0" applyFont="1" applyFill="1" applyAlignment="1" applyProtection="1">
      <alignment vertical="center"/>
    </xf>
    <xf numFmtId="0" fontId="6" fillId="2" borderId="0" xfId="0" applyFont="1" applyFill="1" applyAlignment="1" applyProtection="1">
      <alignment horizontal="right" vertical="center"/>
    </xf>
    <xf numFmtId="0" fontId="0" fillId="8" borderId="0" xfId="0" applyFill="1"/>
    <xf numFmtId="0" fontId="0" fillId="3" borderId="7" xfId="0" applyFill="1" applyBorder="1" applyAlignment="1" applyProtection="1">
      <alignment vertical="center" wrapText="1"/>
    </xf>
    <xf numFmtId="1" fontId="0" fillId="3" borderId="6" xfId="0" applyNumberFormat="1" applyFill="1" applyBorder="1" applyAlignment="1">
      <alignment vertical="center"/>
    </xf>
    <xf numFmtId="1" fontId="0" fillId="3" borderId="10" xfId="0" applyNumberFormat="1" applyFill="1" applyBorder="1" applyAlignment="1">
      <alignment vertical="center"/>
    </xf>
    <xf numFmtId="176" fontId="0" fillId="13" borderId="6" xfId="0" applyNumberFormat="1" applyFill="1" applyBorder="1" applyAlignment="1">
      <alignment vertical="center"/>
    </xf>
    <xf numFmtId="2" fontId="0" fillId="13" borderId="6" xfId="0" applyNumberFormat="1" applyFill="1" applyBorder="1" applyAlignment="1">
      <alignment vertical="center"/>
    </xf>
    <xf numFmtId="176" fontId="0" fillId="13" borderId="17" xfId="0" applyNumberFormat="1" applyFill="1" applyBorder="1" applyAlignment="1">
      <alignment vertical="center"/>
    </xf>
    <xf numFmtId="0" fontId="0" fillId="3" borderId="31" xfId="0" applyFill="1" applyBorder="1" applyAlignment="1">
      <alignment vertical="center" wrapText="1"/>
    </xf>
    <xf numFmtId="0" fontId="0" fillId="3" borderId="35" xfId="0" applyFill="1" applyBorder="1" applyAlignment="1" applyProtection="1">
      <alignment vertical="center"/>
    </xf>
    <xf numFmtId="0" fontId="0" fillId="0" borderId="0" xfId="0" applyFill="1" applyAlignment="1" applyProtection="1">
      <alignment vertical="center"/>
    </xf>
    <xf numFmtId="0" fontId="6" fillId="3" borderId="9" xfId="0" applyFont="1" applyFill="1" applyBorder="1" applyAlignment="1">
      <alignment horizontal="right" vertical="center"/>
    </xf>
    <xf numFmtId="0" fontId="65" fillId="3" borderId="0" xfId="0" applyFont="1" applyFill="1" applyAlignment="1" applyProtection="1">
      <alignment vertical="center"/>
    </xf>
    <xf numFmtId="0" fontId="7" fillId="3" borderId="0" xfId="0" applyFont="1" applyFill="1" applyAlignment="1" applyProtection="1">
      <alignment vertical="center"/>
    </xf>
    <xf numFmtId="0" fontId="65" fillId="3" borderId="0" xfId="0" applyFont="1" applyFill="1" applyAlignment="1" applyProtection="1">
      <alignment horizontal="right" vertical="center"/>
    </xf>
    <xf numFmtId="0" fontId="65" fillId="3" borderId="0" xfId="0" applyFont="1" applyFill="1" applyAlignment="1" applyProtection="1">
      <alignment horizontal="center" vertical="center"/>
    </xf>
    <xf numFmtId="0" fontId="7" fillId="3" borderId="0" xfId="0" applyFont="1" applyFill="1" applyAlignment="1" applyProtection="1">
      <alignment horizontal="right" vertical="center"/>
    </xf>
    <xf numFmtId="11" fontId="7" fillId="3" borderId="0" xfId="0" applyNumberFormat="1" applyFont="1" applyFill="1" applyAlignment="1" applyProtection="1">
      <alignment horizontal="center" vertical="center"/>
    </xf>
    <xf numFmtId="0" fontId="7" fillId="2" borderId="0" xfId="0" applyFont="1" applyFill="1" applyAlignment="1" applyProtection="1">
      <alignment vertical="center"/>
    </xf>
    <xf numFmtId="11" fontId="65" fillId="3" borderId="0" xfId="0" applyNumberFormat="1" applyFont="1" applyFill="1" applyAlignment="1" applyProtection="1">
      <alignment horizontal="center" vertical="center"/>
    </xf>
    <xf numFmtId="0" fontId="65" fillId="2" borderId="0" xfId="0" applyFont="1" applyFill="1" applyAlignment="1" applyProtection="1">
      <alignment vertical="center"/>
    </xf>
    <xf numFmtId="0" fontId="65" fillId="3" borderId="0" xfId="0" applyFont="1" applyFill="1" applyAlignment="1">
      <alignment horizontal="right" vertical="center"/>
    </xf>
    <xf numFmtId="0" fontId="65" fillId="3" borderId="0" xfId="0" applyFont="1" applyFill="1" applyAlignment="1">
      <alignment vertical="center"/>
    </xf>
    <xf numFmtId="0" fontId="65" fillId="2" borderId="0" xfId="0" applyFont="1" applyFill="1" applyAlignment="1">
      <alignment vertical="center"/>
    </xf>
    <xf numFmtId="11" fontId="65" fillId="3" borderId="0" xfId="0" applyNumberFormat="1" applyFont="1" applyFill="1" applyAlignment="1">
      <alignment vertical="center"/>
    </xf>
    <xf numFmtId="0" fontId="0" fillId="3" borderId="18" xfId="0" applyFill="1" applyBorder="1" applyAlignment="1">
      <alignment vertical="center" wrapText="1"/>
    </xf>
    <xf numFmtId="0" fontId="6" fillId="2" borderId="34" xfId="0" applyFont="1" applyFill="1" applyBorder="1" applyAlignment="1">
      <alignment vertical="center"/>
    </xf>
    <xf numFmtId="0" fontId="6" fillId="2" borderId="11" xfId="0" applyFont="1" applyFill="1" applyBorder="1" applyAlignment="1">
      <alignment vertical="center"/>
    </xf>
    <xf numFmtId="0" fontId="0" fillId="2" borderId="18" xfId="0" applyFill="1" applyBorder="1" applyAlignment="1">
      <alignment horizontal="right" vertical="center"/>
    </xf>
    <xf numFmtId="0" fontId="0" fillId="2" borderId="19" xfId="0" applyFill="1" applyBorder="1" applyAlignment="1">
      <alignment horizontal="right" vertical="center"/>
    </xf>
    <xf numFmtId="178" fontId="0" fillId="5" borderId="6" xfId="0" applyNumberFormat="1" applyFill="1" applyBorder="1" applyAlignment="1" applyProtection="1">
      <alignment vertical="center"/>
      <protection locked="0"/>
    </xf>
    <xf numFmtId="178" fontId="0" fillId="5" borderId="1" xfId="0" applyNumberFormat="1" applyFill="1" applyBorder="1" applyAlignment="1" applyProtection="1">
      <alignment vertical="center"/>
      <protection locked="0"/>
    </xf>
    <xf numFmtId="178" fontId="0" fillId="5" borderId="33" xfId="0" applyNumberFormat="1" applyFill="1" applyBorder="1" applyAlignment="1" applyProtection="1">
      <alignment vertical="center"/>
      <protection locked="0"/>
    </xf>
    <xf numFmtId="0" fontId="8" fillId="2" borderId="0" xfId="0" applyFont="1" applyFill="1" applyAlignment="1">
      <alignment horizontal="left" vertical="center" wrapText="1"/>
    </xf>
    <xf numFmtId="0" fontId="0" fillId="2" borderId="0" xfId="0" applyFill="1" applyAlignment="1"/>
    <xf numFmtId="0" fontId="37" fillId="2" borderId="0" xfId="0" applyFont="1" applyFill="1" applyAlignment="1">
      <alignment vertical="center" wrapText="1"/>
    </xf>
    <xf numFmtId="0" fontId="1" fillId="2" borderId="0" xfId="0" applyFont="1" applyFill="1" applyAlignment="1">
      <alignment vertical="center" wrapText="1"/>
    </xf>
    <xf numFmtId="0" fontId="0" fillId="2" borderId="0" xfId="0" applyFill="1" applyAlignment="1">
      <alignment wrapText="1"/>
    </xf>
    <xf numFmtId="0" fontId="8" fillId="2" borderId="0" xfId="0" applyFont="1" applyFill="1" applyAlignment="1">
      <alignment vertical="center" wrapText="1"/>
    </xf>
    <xf numFmtId="0" fontId="0" fillId="2" borderId="0" xfId="0" applyFill="1" applyAlignment="1">
      <alignment vertical="center" wrapText="1"/>
    </xf>
    <xf numFmtId="0" fontId="32" fillId="2" borderId="0" xfId="0" applyFont="1" applyFill="1" applyAlignment="1">
      <alignment horizontal="center" vertical="center"/>
    </xf>
    <xf numFmtId="0" fontId="15" fillId="2" borderId="0" xfId="0" applyFont="1" applyFill="1" applyAlignment="1">
      <alignment horizontal="center" vertical="center"/>
    </xf>
    <xf numFmtId="0" fontId="0" fillId="2" borderId="0" xfId="0" applyFill="1" applyAlignment="1">
      <alignment horizontal="center"/>
    </xf>
    <xf numFmtId="0" fontId="14" fillId="4" borderId="2" xfId="0" applyFont="1" applyFill="1" applyBorder="1" applyAlignment="1" applyProtection="1">
      <alignment horizontal="left" vertical="center"/>
    </xf>
    <xf numFmtId="0" fontId="14" fillId="4" borderId="3" xfId="0" applyFont="1" applyFill="1" applyBorder="1" applyAlignment="1" applyProtection="1">
      <alignment horizontal="left" vertical="center"/>
    </xf>
    <xf numFmtId="0" fontId="0" fillId="0" borderId="4" xfId="0" applyBorder="1" applyAlignment="1" applyProtection="1">
      <alignment horizontal="left" vertical="center"/>
    </xf>
    <xf numFmtId="0" fontId="14" fillId="4" borderId="18" xfId="0" applyFont="1" applyFill="1" applyBorder="1" applyAlignment="1" applyProtection="1">
      <alignment vertical="center"/>
    </xf>
    <xf numFmtId="0" fontId="0" fillId="0" borderId="5" xfId="0" applyBorder="1" applyAlignment="1" applyProtection="1">
      <alignment vertical="center"/>
    </xf>
    <xf numFmtId="0" fontId="0" fillId="0" borderId="21" xfId="0" applyBorder="1" applyAlignment="1" applyProtection="1">
      <alignment vertical="center"/>
    </xf>
    <xf numFmtId="0" fontId="45" fillId="11" borderId="29" xfId="0" applyFont="1" applyFill="1" applyBorder="1" applyAlignment="1">
      <alignment horizontal="center" vertical="center" wrapText="1"/>
    </xf>
    <xf numFmtId="0" fontId="45" fillId="11" borderId="20" xfId="0" applyFont="1" applyFill="1" applyBorder="1" applyAlignment="1">
      <alignment horizontal="center" vertical="center" wrapText="1"/>
    </xf>
    <xf numFmtId="0" fontId="45" fillId="11" borderId="30" xfId="0" applyFont="1" applyFill="1" applyBorder="1" applyAlignment="1">
      <alignment horizontal="center" vertical="center" wrapText="1"/>
    </xf>
    <xf numFmtId="0" fontId="2" fillId="10" borderId="22"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2" fillId="10" borderId="24" xfId="0" applyFont="1" applyFill="1" applyBorder="1" applyAlignment="1">
      <alignment horizontal="center" vertical="center" wrapText="1"/>
    </xf>
    <xf numFmtId="0" fontId="55" fillId="10" borderId="25" xfId="0" applyFont="1" applyFill="1" applyBorder="1" applyAlignment="1">
      <alignment horizontal="center" vertical="center" wrapText="1"/>
    </xf>
    <xf numFmtId="0" fontId="55" fillId="10" borderId="0" xfId="0" applyFont="1" applyFill="1" applyBorder="1" applyAlignment="1">
      <alignment horizontal="center" vertical="center" wrapText="1"/>
    </xf>
    <xf numFmtId="0" fontId="55" fillId="10" borderId="16" xfId="0" applyFont="1" applyFill="1" applyBorder="1" applyAlignment="1">
      <alignment horizontal="center" vertical="center" wrapText="1"/>
    </xf>
    <xf numFmtId="0" fontId="46" fillId="2" borderId="29" xfId="0" applyFont="1" applyFill="1" applyBorder="1" applyAlignment="1">
      <alignment horizontal="center" vertical="center" wrapText="1"/>
    </xf>
    <xf numFmtId="0" fontId="46" fillId="2" borderId="20" xfId="0" applyFont="1" applyFill="1" applyBorder="1" applyAlignment="1">
      <alignment horizontal="center" vertical="center" wrapText="1"/>
    </xf>
    <xf numFmtId="0" fontId="46" fillId="2" borderId="30" xfId="0" applyFont="1" applyFill="1" applyBorder="1" applyAlignment="1">
      <alignment horizontal="center" vertical="center" wrapText="1"/>
    </xf>
    <xf numFmtId="0" fontId="47" fillId="10" borderId="25" xfId="0" applyFont="1" applyFill="1" applyBorder="1" applyAlignment="1">
      <alignment horizontal="center" vertical="center"/>
    </xf>
    <xf numFmtId="0" fontId="47" fillId="10" borderId="0" xfId="0" applyFont="1" applyFill="1" applyBorder="1" applyAlignment="1">
      <alignment horizontal="center" vertical="center"/>
    </xf>
    <xf numFmtId="0" fontId="47" fillId="10" borderId="16" xfId="0" applyFont="1" applyFill="1" applyBorder="1" applyAlignment="1">
      <alignment horizontal="center" vertical="center"/>
    </xf>
    <xf numFmtId="0" fontId="68" fillId="10" borderId="29" xfId="0" applyFont="1" applyFill="1" applyBorder="1" applyAlignment="1">
      <alignment horizontal="center" vertical="center" wrapText="1"/>
    </xf>
    <xf numFmtId="0" fontId="68" fillId="10" borderId="20" xfId="0" applyFont="1" applyFill="1" applyBorder="1" applyAlignment="1">
      <alignment horizontal="center" vertical="center" wrapText="1"/>
    </xf>
    <xf numFmtId="0" fontId="68" fillId="10" borderId="30" xfId="0" applyFont="1" applyFill="1" applyBorder="1" applyAlignment="1">
      <alignment horizontal="center" vertical="center" wrapText="1"/>
    </xf>
    <xf numFmtId="0" fontId="35" fillId="3" borderId="25" xfId="0" applyFont="1" applyFill="1" applyBorder="1" applyAlignment="1" applyProtection="1">
      <alignment horizontal="center" vertical="center"/>
    </xf>
    <xf numFmtId="0" fontId="35" fillId="3" borderId="0" xfId="0" applyFont="1" applyFill="1" applyAlignment="1" applyProtection="1">
      <alignment horizontal="center" vertical="center"/>
    </xf>
    <xf numFmtId="0" fontId="35" fillId="3" borderId="25" xfId="0" applyFont="1" applyFill="1" applyBorder="1" applyAlignment="1" applyProtection="1">
      <alignment horizontal="left" vertical="center" wrapText="1"/>
    </xf>
    <xf numFmtId="0" fontId="35" fillId="3" borderId="0" xfId="0" applyFont="1" applyFill="1" applyBorder="1" applyAlignment="1" applyProtection="1">
      <alignment horizontal="left" vertical="center"/>
    </xf>
    <xf numFmtId="0" fontId="35" fillId="3" borderId="25" xfId="0" applyFont="1" applyFill="1" applyBorder="1" applyAlignment="1" applyProtection="1">
      <alignment horizontal="left" vertical="center"/>
    </xf>
    <xf numFmtId="0" fontId="26" fillId="4" borderId="2" xfId="0" applyFont="1" applyFill="1" applyBorder="1" applyAlignment="1">
      <alignment horizontal="left" vertical="center"/>
    </xf>
    <xf numFmtId="0" fontId="26" fillId="4" borderId="3" xfId="0" applyFont="1" applyFill="1" applyBorder="1" applyAlignment="1">
      <alignment horizontal="left" vertical="center"/>
    </xf>
    <xf numFmtId="0" fontId="26" fillId="4" borderId="4" xfId="0" applyFont="1" applyFill="1" applyBorder="1" applyAlignment="1">
      <alignment horizontal="left" vertical="center"/>
    </xf>
    <xf numFmtId="0" fontId="51" fillId="3" borderId="27" xfId="0" applyFont="1" applyFill="1" applyBorder="1" applyAlignment="1">
      <alignment horizontal="right" vertical="center"/>
    </xf>
    <xf numFmtId="0" fontId="48" fillId="10" borderId="26" xfId="0" applyFont="1" applyFill="1" applyBorder="1" applyAlignment="1">
      <alignment horizontal="center" vertical="center"/>
    </xf>
    <xf numFmtId="0" fontId="48" fillId="10" borderId="27" xfId="0" applyFont="1" applyFill="1" applyBorder="1" applyAlignment="1">
      <alignment horizontal="center" vertical="center"/>
    </xf>
    <xf numFmtId="0" fontId="48" fillId="10" borderId="28" xfId="0" applyFont="1" applyFill="1" applyBorder="1" applyAlignment="1">
      <alignment horizontal="center" vertical="center"/>
    </xf>
    <xf numFmtId="0" fontId="49" fillId="10" borderId="29" xfId="0" applyFont="1" applyFill="1" applyBorder="1" applyAlignment="1">
      <alignment horizontal="center" vertical="center" wrapText="1"/>
    </xf>
    <xf numFmtId="0" fontId="49" fillId="10" borderId="20" xfId="0" applyFont="1" applyFill="1" applyBorder="1" applyAlignment="1">
      <alignment horizontal="center" vertical="center" wrapText="1"/>
    </xf>
    <xf numFmtId="0" fontId="49" fillId="10" borderId="30" xfId="0" applyFont="1" applyFill="1" applyBorder="1" applyAlignment="1">
      <alignment horizontal="center" vertical="center" wrapText="1"/>
    </xf>
    <xf numFmtId="0" fontId="50" fillId="11" borderId="22" xfId="0" applyFont="1" applyFill="1" applyBorder="1" applyAlignment="1">
      <alignment horizontal="center" vertical="center"/>
    </xf>
    <xf numFmtId="0" fontId="50" fillId="11" borderId="23" xfId="0" applyFont="1" applyFill="1" applyBorder="1" applyAlignment="1">
      <alignment horizontal="center" vertical="center"/>
    </xf>
    <xf numFmtId="0" fontId="50" fillId="11" borderId="24" xfId="0" applyFont="1" applyFill="1" applyBorder="1" applyAlignment="1">
      <alignment horizontal="center" vertical="center"/>
    </xf>
    <xf numFmtId="0" fontId="50" fillId="11" borderId="26" xfId="0" applyFont="1" applyFill="1" applyBorder="1" applyAlignment="1">
      <alignment horizontal="center" vertical="center"/>
    </xf>
    <xf numFmtId="0" fontId="50" fillId="11" borderId="27" xfId="0" applyFont="1" applyFill="1" applyBorder="1" applyAlignment="1">
      <alignment horizontal="center" vertical="center"/>
    </xf>
    <xf numFmtId="0" fontId="50" fillId="11" borderId="28" xfId="0" applyFont="1" applyFill="1" applyBorder="1" applyAlignment="1">
      <alignment horizontal="center" vertical="center"/>
    </xf>
    <xf numFmtId="0" fontId="2" fillId="3" borderId="0" xfId="0" applyFont="1" applyFill="1" applyAlignment="1" applyProtection="1">
      <alignment horizontal="right" vertical="center"/>
    </xf>
    <xf numFmtId="0" fontId="2" fillId="3" borderId="15" xfId="0" applyFont="1" applyFill="1" applyBorder="1" applyAlignment="1" applyProtection="1">
      <alignment horizontal="right" vertical="center"/>
    </xf>
    <xf numFmtId="1" fontId="23" fillId="6" borderId="18" xfId="0" applyNumberFormat="1" applyFont="1" applyFill="1" applyBorder="1" applyAlignment="1" applyProtection="1">
      <alignment horizontal="left" vertical="center"/>
    </xf>
    <xf numFmtId="0" fontId="24" fillId="6" borderId="5" xfId="0" applyFont="1" applyFill="1" applyBorder="1" applyAlignment="1" applyProtection="1">
      <alignment horizontal="left" vertical="center"/>
    </xf>
    <xf numFmtId="0" fontId="24" fillId="6" borderId="21" xfId="0" applyFont="1" applyFill="1" applyBorder="1" applyAlignment="1" applyProtection="1">
      <alignment horizontal="left" vertical="center"/>
    </xf>
    <xf numFmtId="0" fontId="14" fillId="4" borderId="7" xfId="0" applyFont="1" applyFill="1" applyBorder="1" applyAlignment="1" applyProtection="1">
      <alignment horizontal="left" vertical="center"/>
    </xf>
    <xf numFmtId="0" fontId="14" fillId="4" borderId="1" xfId="0" applyFont="1" applyFill="1" applyBorder="1" applyAlignment="1" applyProtection="1">
      <alignment horizontal="left" vertical="center"/>
    </xf>
    <xf numFmtId="0" fontId="14" fillId="4" borderId="8" xfId="0" applyFont="1" applyFill="1" applyBorder="1" applyAlignment="1" applyProtection="1">
      <alignment horizontal="left" vertical="center"/>
    </xf>
    <xf numFmtId="0" fontId="11" fillId="4" borderId="2" xfId="0" applyFont="1" applyFill="1" applyBorder="1" applyAlignment="1" applyProtection="1">
      <alignment horizontal="center" vertical="center"/>
    </xf>
    <xf numFmtId="0" fontId="11" fillId="4" borderId="3"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26" fillId="4" borderId="12" xfId="0" applyFont="1" applyFill="1" applyBorder="1" applyAlignment="1">
      <alignment horizontal="left" vertical="center"/>
    </xf>
    <xf numFmtId="0" fontId="26" fillId="4" borderId="13" xfId="0" applyFont="1" applyFill="1" applyBorder="1" applyAlignment="1">
      <alignment horizontal="left" vertical="center"/>
    </xf>
    <xf numFmtId="0" fontId="26" fillId="4" borderId="14" xfId="0" applyFont="1" applyFill="1" applyBorder="1" applyAlignment="1">
      <alignment horizontal="left" vertical="center"/>
    </xf>
    <xf numFmtId="0" fontId="26" fillId="2" borderId="0" xfId="0" applyFont="1" applyFill="1" applyBorder="1" applyAlignment="1">
      <alignment horizontal="left" vertical="center"/>
    </xf>
    <xf numFmtId="0" fontId="25" fillId="4" borderId="0" xfId="0" applyFont="1" applyFill="1" applyAlignment="1">
      <alignment horizontal="center" vertical="center"/>
    </xf>
    <xf numFmtId="0" fontId="0" fillId="2" borderId="0" xfId="0" applyFill="1" applyBorder="1" applyAlignment="1">
      <alignment vertical="center" wrapText="1"/>
    </xf>
    <xf numFmtId="176" fontId="0" fillId="2" borderId="0" xfId="0" applyNumberFormat="1" applyFill="1" applyBorder="1" applyAlignment="1">
      <alignment horizontal="right" vertical="center"/>
    </xf>
    <xf numFmtId="0" fontId="0" fillId="2" borderId="0" xfId="0" applyFill="1" applyBorder="1" applyAlignment="1">
      <alignment horizontal="left" vertical="center"/>
    </xf>
    <xf numFmtId="0" fontId="5" fillId="2" borderId="0"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2FC9FF"/>
      <color rgb="FF99FFCC"/>
      <color rgb="FF00F200"/>
      <color rgb="FF3FFF3F"/>
      <color rgb="FF99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419101</xdr:colOff>
      <xdr:row>15</xdr:row>
      <xdr:rowOff>104775</xdr:rowOff>
    </xdr:from>
    <xdr:to>
      <xdr:col>9</xdr:col>
      <xdr:colOff>520829</xdr:colOff>
      <xdr:row>27</xdr:row>
      <xdr:rowOff>9525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1" y="4419600"/>
          <a:ext cx="4774269" cy="240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476250</xdr:colOff>
      <xdr:row>27</xdr:row>
      <xdr:rowOff>0</xdr:rowOff>
    </xdr:from>
    <xdr:to>
      <xdr:col>11</xdr:col>
      <xdr:colOff>289983</xdr:colOff>
      <xdr:row>39</xdr:row>
      <xdr:rowOff>82337</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34150" y="6762750"/>
          <a:ext cx="5705475" cy="2844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zoomScale="90" zoomScaleNormal="90" workbookViewId="0">
      <selection activeCell="J19" sqref="J19"/>
    </sheetView>
  </sheetViews>
  <sheetFormatPr defaultRowHeight="16.5" x14ac:dyDescent="0.3"/>
  <sheetData>
    <row r="1" spans="1:17" ht="33.75" x14ac:dyDescent="0.3">
      <c r="A1" s="164" t="s">
        <v>0</v>
      </c>
      <c r="B1" s="165"/>
      <c r="C1" s="165"/>
      <c r="D1" s="165"/>
      <c r="E1" s="165"/>
      <c r="F1" s="165"/>
      <c r="G1" s="165"/>
      <c r="H1" s="165"/>
      <c r="I1" s="165"/>
      <c r="J1" s="165"/>
      <c r="K1" s="165"/>
      <c r="L1" s="165"/>
      <c r="M1" s="165"/>
      <c r="N1" s="165"/>
    </row>
    <row r="2" spans="1:17" x14ac:dyDescent="0.3">
      <c r="A2" s="159" t="s">
        <v>50</v>
      </c>
      <c r="B2" s="160"/>
      <c r="C2" s="160"/>
      <c r="D2" s="160"/>
      <c r="E2" s="160"/>
      <c r="F2" s="160"/>
      <c r="G2" s="160"/>
      <c r="H2" s="160"/>
      <c r="I2" s="160"/>
      <c r="J2" s="160"/>
      <c r="K2" s="160"/>
      <c r="L2" s="160"/>
      <c r="M2" s="160"/>
      <c r="N2" s="160"/>
    </row>
    <row r="3" spans="1:17" ht="53.45" customHeight="1" x14ac:dyDescent="0.3">
      <c r="A3" s="161"/>
      <c r="B3" s="161"/>
      <c r="C3" s="161"/>
      <c r="D3" s="161"/>
      <c r="E3" s="161"/>
      <c r="F3" s="161"/>
      <c r="G3" s="161"/>
      <c r="H3" s="161"/>
      <c r="I3" s="161"/>
      <c r="J3" s="161"/>
      <c r="K3" s="161"/>
      <c r="L3" s="161"/>
      <c r="M3" s="161"/>
      <c r="N3" s="161"/>
    </row>
    <row r="4" spans="1:17" ht="19.899999999999999" customHeight="1" x14ac:dyDescent="0.3">
      <c r="A4" s="52"/>
      <c r="B4" s="52"/>
      <c r="C4" s="52"/>
      <c r="D4" s="52"/>
      <c r="E4" s="52"/>
      <c r="F4" s="52"/>
      <c r="G4" s="52"/>
      <c r="H4" s="52"/>
      <c r="I4" s="52"/>
      <c r="J4" s="52"/>
      <c r="K4" s="52"/>
      <c r="L4" s="52"/>
      <c r="M4" s="52"/>
      <c r="N4" s="52"/>
    </row>
    <row r="5" spans="1:17" x14ac:dyDescent="0.3">
      <c r="A5" s="162" t="s">
        <v>136</v>
      </c>
      <c r="B5" s="163"/>
      <c r="C5" s="163"/>
      <c r="D5" s="163"/>
      <c r="E5" s="163"/>
      <c r="F5" s="163"/>
      <c r="G5" s="163"/>
      <c r="H5" s="163"/>
      <c r="I5" s="163"/>
      <c r="J5" s="163"/>
      <c r="K5" s="163"/>
      <c r="L5" s="163"/>
      <c r="M5" s="163"/>
      <c r="N5" s="163"/>
    </row>
    <row r="6" spans="1:17" x14ac:dyDescent="0.3">
      <c r="A6" s="163"/>
      <c r="B6" s="163"/>
      <c r="C6" s="163"/>
      <c r="D6" s="163"/>
      <c r="E6" s="163"/>
      <c r="F6" s="163"/>
      <c r="G6" s="163"/>
      <c r="H6" s="163"/>
      <c r="I6" s="163"/>
      <c r="J6" s="163"/>
      <c r="K6" s="163"/>
      <c r="L6" s="163"/>
      <c r="M6" s="163"/>
      <c r="N6" s="163"/>
    </row>
    <row r="7" spans="1:17" x14ac:dyDescent="0.3">
      <c r="A7" s="163"/>
      <c r="B7" s="163"/>
      <c r="C7" s="163"/>
      <c r="D7" s="163"/>
      <c r="E7" s="163"/>
      <c r="F7" s="163"/>
      <c r="G7" s="163"/>
      <c r="H7" s="163"/>
      <c r="I7" s="163"/>
      <c r="J7" s="163"/>
      <c r="K7" s="163"/>
      <c r="L7" s="163"/>
      <c r="M7" s="163"/>
      <c r="N7" s="163"/>
    </row>
    <row r="8" spans="1:17" ht="19.899999999999999" customHeight="1" x14ac:dyDescent="0.3">
      <c r="A8" s="53"/>
      <c r="B8" s="53"/>
      <c r="C8" s="53"/>
      <c r="D8" s="53"/>
      <c r="E8" s="53"/>
      <c r="F8" s="53"/>
      <c r="G8" s="53"/>
      <c r="H8" s="53"/>
      <c r="I8" s="53"/>
      <c r="J8" s="53"/>
      <c r="K8" s="53"/>
      <c r="L8" s="53"/>
      <c r="M8" s="53"/>
      <c r="N8" s="53"/>
    </row>
    <row r="9" spans="1:17" ht="19.899999999999999" customHeight="1" x14ac:dyDescent="0.3">
      <c r="A9" s="166"/>
      <c r="B9" s="166"/>
      <c r="C9" s="166"/>
      <c r="D9" s="166"/>
      <c r="E9" s="166"/>
      <c r="F9" s="166"/>
      <c r="G9" s="166"/>
      <c r="H9" s="166"/>
      <c r="I9" s="166"/>
      <c r="J9" s="166"/>
      <c r="K9" s="166"/>
      <c r="L9" s="166"/>
      <c r="M9" s="166"/>
      <c r="N9" s="166"/>
    </row>
    <row r="10" spans="1:17" x14ac:dyDescent="0.3">
      <c r="A10" s="157" t="s">
        <v>137</v>
      </c>
      <c r="B10" s="157"/>
      <c r="C10" s="157"/>
      <c r="D10" s="157"/>
      <c r="E10" s="157"/>
      <c r="F10" s="157"/>
      <c r="G10" s="157"/>
      <c r="H10" s="157"/>
      <c r="I10" s="157"/>
      <c r="J10" s="157"/>
      <c r="K10" s="157"/>
      <c r="L10" s="157"/>
      <c r="M10" s="157"/>
      <c r="N10" s="157"/>
    </row>
    <row r="11" spans="1:17" x14ac:dyDescent="0.3">
      <c r="A11" s="157"/>
      <c r="B11" s="157"/>
      <c r="C11" s="157"/>
      <c r="D11" s="157"/>
      <c r="E11" s="157"/>
      <c r="F11" s="157"/>
      <c r="G11" s="157"/>
      <c r="H11" s="157"/>
      <c r="I11" s="157"/>
      <c r="J11" s="157"/>
      <c r="K11" s="157"/>
      <c r="L11" s="157"/>
      <c r="M11" s="157"/>
      <c r="N11" s="157"/>
      <c r="O11" s="125"/>
      <c r="P11" s="125"/>
      <c r="Q11" s="125"/>
    </row>
    <row r="12" spans="1:17" ht="100.15" customHeight="1" x14ac:dyDescent="0.3">
      <c r="A12" s="158"/>
      <c r="B12" s="158"/>
      <c r="C12" s="158"/>
      <c r="D12" s="158"/>
      <c r="E12" s="158"/>
      <c r="F12" s="158"/>
      <c r="G12" s="158"/>
      <c r="H12" s="158"/>
      <c r="I12" s="158"/>
      <c r="J12" s="158"/>
      <c r="K12" s="158"/>
      <c r="L12" s="158"/>
      <c r="M12" s="158"/>
      <c r="N12" s="158"/>
      <c r="O12" s="125"/>
      <c r="P12" s="125"/>
      <c r="Q12" s="125"/>
    </row>
    <row r="13" spans="1:17" ht="19.899999999999999" customHeight="1" x14ac:dyDescent="0.3">
      <c r="A13" s="51"/>
      <c r="B13" s="51"/>
      <c r="C13" s="51"/>
      <c r="D13" s="51"/>
      <c r="E13" s="51"/>
      <c r="F13" s="51"/>
      <c r="G13" s="51"/>
      <c r="H13" s="51"/>
      <c r="I13" s="51"/>
      <c r="J13" s="51"/>
      <c r="K13" s="51"/>
      <c r="L13" s="51"/>
      <c r="M13" s="51"/>
      <c r="N13" s="51"/>
    </row>
    <row r="14" spans="1:17" ht="19.899999999999999" customHeight="1" x14ac:dyDescent="0.3">
      <c r="A14" s="157" t="s">
        <v>51</v>
      </c>
      <c r="B14" s="157"/>
      <c r="C14" s="157"/>
      <c r="D14" s="157"/>
      <c r="E14" s="157"/>
      <c r="F14" s="157"/>
      <c r="G14" s="157"/>
      <c r="H14" s="157"/>
      <c r="I14" s="157"/>
      <c r="J14" s="157"/>
      <c r="K14" s="157"/>
      <c r="L14" s="157"/>
      <c r="M14" s="157"/>
      <c r="N14" s="157"/>
    </row>
    <row r="15" spans="1:17" ht="51.6" customHeight="1" x14ac:dyDescent="0.3">
      <c r="A15" s="158"/>
      <c r="B15" s="158"/>
      <c r="C15" s="158"/>
      <c r="D15" s="158"/>
      <c r="E15" s="158"/>
      <c r="F15" s="158"/>
      <c r="G15" s="158"/>
      <c r="H15" s="158"/>
      <c r="I15" s="158"/>
      <c r="J15" s="158"/>
      <c r="K15" s="158"/>
      <c r="L15" s="158"/>
      <c r="M15" s="158"/>
      <c r="N15" s="158"/>
      <c r="O15" s="125"/>
      <c r="P15" s="125"/>
      <c r="Q15" s="125"/>
    </row>
    <row r="16" spans="1:17" ht="19.899999999999999" customHeight="1" x14ac:dyDescent="0.3"/>
  </sheetData>
  <sheetProtection selectLockedCells="1" selectUnlockedCells="1"/>
  <mergeCells count="6">
    <mergeCell ref="A14:N15"/>
    <mergeCell ref="A2:N3"/>
    <mergeCell ref="A5:N7"/>
    <mergeCell ref="A1:N1"/>
    <mergeCell ref="A9:N9"/>
    <mergeCell ref="A10:N12"/>
  </mergeCells>
  <phoneticPr fontId="6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4"/>
  <sheetViews>
    <sheetView tabSelected="1" topLeftCell="A37" zoomScale="85" zoomScaleNormal="85" workbookViewId="0">
      <selection activeCell="D38" sqref="D38"/>
    </sheetView>
  </sheetViews>
  <sheetFormatPr defaultColWidth="9.125" defaultRowHeight="16.5" x14ac:dyDescent="0.3"/>
  <cols>
    <col min="1" max="1" width="2.875" style="36" customWidth="1"/>
    <col min="2" max="2" width="59.75" style="36" customWidth="1"/>
    <col min="3" max="3" width="11.875" style="36" customWidth="1"/>
    <col min="4" max="4" width="9.75" style="36" customWidth="1"/>
    <col min="5" max="5" width="6.75" style="37" customWidth="1"/>
    <col min="6" max="6" width="44.75" style="36" customWidth="1"/>
    <col min="7" max="7" width="7.125" style="36" customWidth="1"/>
    <col min="8" max="12" width="9.125" style="36" customWidth="1"/>
    <col min="13" max="15" width="9.125" style="36"/>
    <col min="16" max="18" width="9.125" style="36" customWidth="1"/>
    <col min="19" max="16384" width="9.125" style="36"/>
  </cols>
  <sheetData>
    <row r="1" spans="1:16" ht="15" customHeight="1" thickBot="1" x14ac:dyDescent="0.35"/>
    <row r="2" spans="1:16" ht="30" customHeight="1" thickBot="1" x14ac:dyDescent="0.35">
      <c r="A2" s="111"/>
      <c r="B2" s="173" t="s">
        <v>103</v>
      </c>
      <c r="C2" s="174"/>
      <c r="D2" s="174"/>
      <c r="E2" s="174"/>
      <c r="F2" s="175"/>
    </row>
    <row r="3" spans="1:16" ht="30" customHeight="1" thickBot="1" x14ac:dyDescent="0.35">
      <c r="A3" s="111"/>
      <c r="B3" s="188" t="s">
        <v>150</v>
      </c>
      <c r="C3" s="189"/>
      <c r="D3" s="189"/>
      <c r="E3" s="189"/>
      <c r="F3" s="190"/>
      <c r="G3" s="80"/>
      <c r="H3" s="80"/>
      <c r="I3" s="80"/>
      <c r="J3" s="80"/>
      <c r="K3" s="80"/>
      <c r="L3" s="80"/>
    </row>
    <row r="4" spans="1:16" ht="21" customHeight="1" x14ac:dyDescent="0.3">
      <c r="A4" s="111"/>
      <c r="B4" s="176" t="s">
        <v>151</v>
      </c>
      <c r="C4" s="177"/>
      <c r="D4" s="177"/>
      <c r="E4" s="177"/>
      <c r="F4" s="178"/>
    </row>
    <row r="5" spans="1:16" ht="14.25" customHeight="1" x14ac:dyDescent="0.3">
      <c r="A5" s="111"/>
      <c r="B5" s="179" t="s">
        <v>121</v>
      </c>
      <c r="C5" s="180"/>
      <c r="D5" s="180"/>
      <c r="E5" s="180"/>
      <c r="F5" s="181"/>
    </row>
    <row r="6" spans="1:16" ht="14.25" customHeight="1" x14ac:dyDescent="0.3">
      <c r="A6" s="111"/>
      <c r="B6" s="179"/>
      <c r="C6" s="180"/>
      <c r="D6" s="180"/>
      <c r="E6" s="180"/>
      <c r="F6" s="181"/>
    </row>
    <row r="7" spans="1:16" ht="14.25" customHeight="1" x14ac:dyDescent="0.3">
      <c r="A7" s="111"/>
      <c r="B7" s="179"/>
      <c r="C7" s="180"/>
      <c r="D7" s="180"/>
      <c r="E7" s="180"/>
      <c r="F7" s="181"/>
    </row>
    <row r="8" spans="1:16" ht="14.25" customHeight="1" thickBot="1" x14ac:dyDescent="0.35">
      <c r="A8" s="111"/>
      <c r="B8" s="179"/>
      <c r="C8" s="180"/>
      <c r="D8" s="180"/>
      <c r="E8" s="180"/>
      <c r="F8" s="181"/>
    </row>
    <row r="9" spans="1:16" ht="27" customHeight="1" thickBot="1" x14ac:dyDescent="0.35">
      <c r="A9" s="111"/>
      <c r="B9" s="182" t="s">
        <v>120</v>
      </c>
      <c r="C9" s="183"/>
      <c r="D9" s="183"/>
      <c r="E9" s="183"/>
      <c r="F9" s="184"/>
      <c r="G9" s="191"/>
      <c r="H9" s="192"/>
      <c r="I9" s="80"/>
      <c r="J9" s="80"/>
      <c r="K9" s="80"/>
      <c r="L9" s="80"/>
      <c r="M9" s="80"/>
      <c r="N9" s="80"/>
      <c r="O9" s="80"/>
      <c r="P9" s="134"/>
    </row>
    <row r="10" spans="1:16" ht="22.5" customHeight="1" x14ac:dyDescent="0.3">
      <c r="A10" s="111"/>
      <c r="B10" s="185" t="s">
        <v>102</v>
      </c>
      <c r="C10" s="186"/>
      <c r="D10" s="186"/>
      <c r="E10" s="186"/>
      <c r="F10" s="187"/>
    </row>
    <row r="11" spans="1:16" ht="22.5" customHeight="1" thickBot="1" x14ac:dyDescent="0.35">
      <c r="A11" s="111"/>
      <c r="B11" s="200" t="s">
        <v>135</v>
      </c>
      <c r="C11" s="201"/>
      <c r="D11" s="201"/>
      <c r="E11" s="201"/>
      <c r="F11" s="202"/>
    </row>
    <row r="12" spans="1:16" ht="57" customHeight="1" thickBot="1" x14ac:dyDescent="0.35">
      <c r="A12" s="111"/>
      <c r="B12" s="203" t="s">
        <v>134</v>
      </c>
      <c r="C12" s="204"/>
      <c r="D12" s="204"/>
      <c r="E12" s="204"/>
      <c r="F12" s="205"/>
    </row>
    <row r="13" spans="1:16" ht="24" customHeight="1" thickBot="1" x14ac:dyDescent="0.35">
      <c r="A13" s="111"/>
      <c r="B13" s="122"/>
      <c r="C13" s="122"/>
      <c r="D13" s="122"/>
      <c r="E13" s="122"/>
      <c r="F13" s="122"/>
    </row>
    <row r="14" spans="1:16" ht="18" customHeight="1" x14ac:dyDescent="0.3">
      <c r="A14" s="111"/>
      <c r="B14" s="206" t="s">
        <v>133</v>
      </c>
      <c r="C14" s="207"/>
      <c r="D14" s="207"/>
      <c r="E14" s="207"/>
      <c r="F14" s="208"/>
      <c r="G14" s="193" t="s">
        <v>138</v>
      </c>
      <c r="H14" s="194"/>
      <c r="I14" s="194"/>
      <c r="J14" s="194"/>
      <c r="K14" s="194"/>
    </row>
    <row r="15" spans="1:16" ht="18" customHeight="1" thickBot="1" x14ac:dyDescent="0.35">
      <c r="A15" s="111"/>
      <c r="B15" s="209"/>
      <c r="C15" s="210"/>
      <c r="D15" s="210"/>
      <c r="E15" s="210"/>
      <c r="F15" s="211"/>
      <c r="G15" s="195"/>
      <c r="H15" s="194"/>
      <c r="I15" s="194"/>
      <c r="J15" s="194"/>
      <c r="K15" s="194"/>
    </row>
    <row r="16" spans="1:16" ht="18.75" customHeight="1" x14ac:dyDescent="0.3"/>
    <row r="17" spans="2:19" ht="18" x14ac:dyDescent="0.3">
      <c r="B17" s="212" t="s">
        <v>52</v>
      </c>
      <c r="C17" s="213"/>
      <c r="D17" s="75"/>
      <c r="E17" s="67"/>
      <c r="F17" s="67"/>
      <c r="G17" s="67"/>
    </row>
    <row r="18" spans="2:19" ht="9" customHeight="1" thickBot="1" x14ac:dyDescent="0.35">
      <c r="E18" s="68"/>
      <c r="F18" s="38"/>
    </row>
    <row r="19" spans="2:19" ht="18" customHeight="1" x14ac:dyDescent="0.3">
      <c r="B19" s="167" t="s">
        <v>104</v>
      </c>
      <c r="C19" s="168"/>
      <c r="D19" s="168"/>
      <c r="E19" s="169"/>
      <c r="F19" s="80"/>
      <c r="H19" s="119" t="s">
        <v>106</v>
      </c>
      <c r="I19" s="137"/>
      <c r="J19" s="137"/>
      <c r="K19" s="137"/>
      <c r="M19" s="119"/>
      <c r="N19" s="42"/>
    </row>
    <row r="20" spans="2:19" ht="16.5" customHeight="1" x14ac:dyDescent="0.3">
      <c r="B20" s="91" t="s">
        <v>94</v>
      </c>
      <c r="C20" s="43" t="s">
        <v>78</v>
      </c>
      <c r="D20" s="34">
        <v>373</v>
      </c>
      <c r="E20" s="92" t="s">
        <v>1</v>
      </c>
      <c r="F20" s="81"/>
      <c r="H20" s="138" t="s">
        <v>113</v>
      </c>
      <c r="I20" s="139">
        <v>0.45</v>
      </c>
      <c r="J20" s="137"/>
      <c r="K20" s="137"/>
      <c r="M20" s="119"/>
      <c r="N20" s="42"/>
      <c r="S20" s="41"/>
    </row>
    <row r="21" spans="2:19" ht="16.5" customHeight="1" x14ac:dyDescent="0.3">
      <c r="B21" s="91" t="s">
        <v>93</v>
      </c>
      <c r="C21" s="43" t="s">
        <v>79</v>
      </c>
      <c r="D21" s="33">
        <v>176</v>
      </c>
      <c r="E21" s="93" t="s">
        <v>1</v>
      </c>
      <c r="F21" s="81"/>
      <c r="H21" s="138" t="s">
        <v>114</v>
      </c>
      <c r="I21" s="139">
        <v>2.2000000000000002</v>
      </c>
      <c r="J21" s="42"/>
      <c r="K21" s="137"/>
      <c r="M21" s="119"/>
      <c r="N21" s="42"/>
      <c r="S21" s="119"/>
    </row>
    <row r="22" spans="2:19" ht="16.5" customHeight="1" x14ac:dyDescent="0.3">
      <c r="B22" s="91"/>
      <c r="C22" s="44"/>
      <c r="D22" s="58"/>
      <c r="E22" s="92"/>
      <c r="F22" s="81"/>
      <c r="H22" s="140" t="s">
        <v>117</v>
      </c>
      <c r="I22" s="139">
        <v>6.4</v>
      </c>
      <c r="J22" s="39"/>
      <c r="K22" s="137"/>
      <c r="M22" s="119"/>
      <c r="N22" s="42"/>
      <c r="S22" s="119"/>
    </row>
    <row r="23" spans="2:19" ht="18" customHeight="1" x14ac:dyDescent="0.3">
      <c r="B23" s="170" t="s">
        <v>105</v>
      </c>
      <c r="C23" s="171"/>
      <c r="D23" s="171"/>
      <c r="E23" s="172"/>
      <c r="F23" s="82"/>
      <c r="H23" s="138" t="s">
        <v>116</v>
      </c>
      <c r="I23" s="139">
        <v>2.2000000000000002</v>
      </c>
      <c r="J23" s="7"/>
      <c r="K23" s="137"/>
      <c r="M23" s="119"/>
      <c r="N23" s="42"/>
      <c r="S23" s="119"/>
    </row>
    <row r="24" spans="2:19" ht="16.5" customHeight="1" x14ac:dyDescent="0.3">
      <c r="B24" s="91" t="s">
        <v>95</v>
      </c>
      <c r="C24" s="43" t="s">
        <v>80</v>
      </c>
      <c r="D24" s="35">
        <v>13</v>
      </c>
      <c r="E24" s="94" t="s">
        <v>1</v>
      </c>
      <c r="F24" s="120" t="str">
        <f>IF(D24&lt;D25,"&lt;= Maximum value should be higher than Vout(nom), below.","")</f>
        <v/>
      </c>
      <c r="G24" s="40"/>
      <c r="H24" s="138" t="s">
        <v>115</v>
      </c>
      <c r="I24" s="139">
        <v>0.28000000000000003</v>
      </c>
      <c r="J24" s="7"/>
      <c r="K24" s="137"/>
      <c r="M24" s="80"/>
      <c r="N24" s="42"/>
    </row>
    <row r="25" spans="2:19" ht="16.5" customHeight="1" x14ac:dyDescent="0.3">
      <c r="B25" s="133" t="s">
        <v>97</v>
      </c>
      <c r="C25" s="43" t="s">
        <v>81</v>
      </c>
      <c r="D25" s="35">
        <v>12</v>
      </c>
      <c r="E25" s="94" t="s">
        <v>1</v>
      </c>
      <c r="F25" s="81"/>
      <c r="H25" s="138" t="s">
        <v>10</v>
      </c>
      <c r="I25" s="139">
        <v>4.1500000000000004</v>
      </c>
      <c r="J25" s="7"/>
      <c r="K25" s="137"/>
      <c r="M25" s="119"/>
      <c r="N25" s="42"/>
      <c r="S25" s="119"/>
    </row>
    <row r="26" spans="2:19" ht="16.5" customHeight="1" thickBot="1" x14ac:dyDescent="0.35">
      <c r="B26" s="95" t="s">
        <v>96</v>
      </c>
      <c r="C26" s="96" t="s">
        <v>82</v>
      </c>
      <c r="D26" s="97">
        <v>11</v>
      </c>
      <c r="E26" s="98" t="s">
        <v>1</v>
      </c>
      <c r="F26" s="59" t="str">
        <f>IF(D26&gt;D25,"&lt;= Minimum value should be lower than Vout(nom), above.","")</f>
        <v/>
      </c>
      <c r="H26" s="140" t="s">
        <v>145</v>
      </c>
      <c r="I26" s="141">
        <v>2.4999999999999999E-7</v>
      </c>
      <c r="J26" s="137"/>
      <c r="K26" s="137"/>
      <c r="M26" s="119"/>
      <c r="N26" s="42"/>
      <c r="S26" s="45"/>
    </row>
    <row r="27" spans="2:19" ht="16.5" customHeight="1" x14ac:dyDescent="0.3">
      <c r="B27" s="46"/>
      <c r="C27" s="46"/>
      <c r="D27" s="46"/>
      <c r="F27" s="82"/>
      <c r="H27" s="140" t="s">
        <v>146</v>
      </c>
      <c r="I27" s="141">
        <v>2.4999999999999999E-7</v>
      </c>
      <c r="J27" s="142"/>
      <c r="K27" s="137"/>
      <c r="M27" s="119"/>
      <c r="N27" s="42"/>
      <c r="S27" s="45"/>
    </row>
    <row r="28" spans="2:19" ht="16.5" customHeight="1" thickBot="1" x14ac:dyDescent="0.35">
      <c r="B28" s="41"/>
      <c r="C28" s="41"/>
      <c r="D28" s="41"/>
      <c r="E28" s="47"/>
      <c r="F28" s="81"/>
      <c r="H28" s="138" t="s">
        <v>11</v>
      </c>
      <c r="I28" s="143">
        <v>1.1E-4</v>
      </c>
      <c r="J28" s="137"/>
      <c r="K28" s="137"/>
      <c r="M28" s="80"/>
      <c r="S28" s="45"/>
    </row>
    <row r="29" spans="2:19" ht="18" customHeight="1" x14ac:dyDescent="0.3">
      <c r="B29" s="220" t="s">
        <v>67</v>
      </c>
      <c r="C29" s="221"/>
      <c r="D29" s="221"/>
      <c r="E29" s="222"/>
      <c r="F29" s="81"/>
      <c r="H29" s="138" t="s">
        <v>12</v>
      </c>
      <c r="I29" s="141">
        <v>1.1999999999999999E-3</v>
      </c>
      <c r="J29" s="42"/>
      <c r="K29" s="137"/>
      <c r="M29" s="80"/>
      <c r="S29" s="80"/>
    </row>
    <row r="30" spans="2:19" ht="16.5" customHeight="1" x14ac:dyDescent="0.3">
      <c r="B30" s="99" t="s">
        <v>98</v>
      </c>
      <c r="C30" s="48" t="s">
        <v>44</v>
      </c>
      <c r="D30" s="35">
        <v>40</v>
      </c>
      <c r="E30" s="100" t="s">
        <v>4</v>
      </c>
      <c r="F30" s="81"/>
      <c r="H30" s="137"/>
      <c r="I30" s="137"/>
      <c r="J30" s="42"/>
      <c r="K30" s="137"/>
      <c r="M30" s="80"/>
      <c r="S30" s="80"/>
    </row>
    <row r="31" spans="2:19" ht="16.5" customHeight="1" x14ac:dyDescent="0.3">
      <c r="B31" s="91" t="s">
        <v>100</v>
      </c>
      <c r="C31" s="49" t="s">
        <v>5</v>
      </c>
      <c r="D31" s="35">
        <v>0.5</v>
      </c>
      <c r="E31" s="100" t="s">
        <v>3</v>
      </c>
      <c r="F31" s="81"/>
      <c r="H31" s="137"/>
      <c r="I31" s="137"/>
      <c r="J31" s="137"/>
      <c r="K31" s="137"/>
      <c r="M31" s="80"/>
      <c r="S31" s="80"/>
    </row>
    <row r="32" spans="2:19" ht="16.5" customHeight="1" x14ac:dyDescent="0.3">
      <c r="B32" s="91" t="s">
        <v>99</v>
      </c>
      <c r="C32" s="49" t="s">
        <v>83</v>
      </c>
      <c r="D32" s="35">
        <v>950</v>
      </c>
      <c r="E32" s="100" t="s">
        <v>33</v>
      </c>
      <c r="F32" s="81"/>
      <c r="H32" s="136" t="s">
        <v>144</v>
      </c>
      <c r="I32" s="136"/>
      <c r="J32" s="144"/>
      <c r="K32" s="137"/>
      <c r="M32" s="80"/>
      <c r="S32" s="80"/>
    </row>
    <row r="33" spans="1:19" ht="18" customHeight="1" x14ac:dyDescent="0.3">
      <c r="B33" s="217" t="s">
        <v>54</v>
      </c>
      <c r="C33" s="218"/>
      <c r="D33" s="218"/>
      <c r="E33" s="219"/>
      <c r="F33" s="83"/>
      <c r="H33" s="145" t="s">
        <v>14</v>
      </c>
      <c r="I33" s="146">
        <f>((D47+D48)/D47)</f>
        <v>81.47987185185184</v>
      </c>
      <c r="J33" s="147" t="s">
        <v>57</v>
      </c>
      <c r="K33" s="137"/>
      <c r="M33" s="84"/>
      <c r="S33" s="80"/>
    </row>
    <row r="34" spans="1:19" ht="16.5" customHeight="1" x14ac:dyDescent="0.3">
      <c r="B34" s="91" t="s">
        <v>6</v>
      </c>
      <c r="C34" s="49" t="s">
        <v>7</v>
      </c>
      <c r="D34" s="35">
        <v>6</v>
      </c>
      <c r="E34" s="100"/>
      <c r="F34" s="83"/>
      <c r="H34" s="145" t="s">
        <v>15</v>
      </c>
      <c r="I34" s="146">
        <f>((D47+D48)/D47)/(I25*1.1)</f>
        <v>17.848821873351991</v>
      </c>
      <c r="J34" s="147" t="s">
        <v>57</v>
      </c>
      <c r="K34" s="137"/>
      <c r="M34" s="80"/>
      <c r="S34" s="80"/>
    </row>
    <row r="35" spans="1:19" ht="16.5" customHeight="1" x14ac:dyDescent="0.3">
      <c r="B35" s="91" t="s">
        <v>49</v>
      </c>
      <c r="C35" s="49" t="s">
        <v>8</v>
      </c>
      <c r="D35" s="35">
        <v>250</v>
      </c>
      <c r="E35" s="100" t="s">
        <v>45</v>
      </c>
      <c r="F35" s="83"/>
      <c r="H35" s="145" t="s">
        <v>147</v>
      </c>
      <c r="I35" s="146">
        <f>SQRT(D35*D36)*2*3.1416*0.000000001</f>
        <v>1.404966231622668E-6</v>
      </c>
      <c r="J35" s="147" t="s">
        <v>57</v>
      </c>
      <c r="K35" s="137"/>
      <c r="M35" s="80"/>
      <c r="S35" s="80"/>
    </row>
    <row r="36" spans="1:19" ht="33" customHeight="1" x14ac:dyDescent="0.3">
      <c r="B36" s="126" t="s">
        <v>131</v>
      </c>
      <c r="C36" s="50" t="s">
        <v>53</v>
      </c>
      <c r="D36" s="35">
        <v>200</v>
      </c>
      <c r="E36" s="100" t="s">
        <v>2</v>
      </c>
      <c r="H36" s="145" t="s">
        <v>148</v>
      </c>
      <c r="I36" s="148">
        <f>(0.85*D32*0.000000001-100*0.000000001)</f>
        <v>7.075E-7</v>
      </c>
      <c r="J36" s="147" t="s">
        <v>57</v>
      </c>
      <c r="K36" s="137"/>
      <c r="M36" s="80"/>
      <c r="S36" s="80"/>
    </row>
    <row r="37" spans="1:19" ht="18" customHeight="1" x14ac:dyDescent="0.3">
      <c r="B37" s="214" t="s">
        <v>101</v>
      </c>
      <c r="C37" s="215"/>
      <c r="D37" s="215"/>
      <c r="E37" s="216"/>
      <c r="F37" s="80"/>
      <c r="J37" s="42"/>
      <c r="K37" s="42"/>
      <c r="L37" s="45"/>
      <c r="R37" s="80"/>
      <c r="S37" s="80"/>
    </row>
    <row r="38" spans="1:19" ht="16.5" customHeight="1" thickBot="1" x14ac:dyDescent="0.35">
      <c r="B38" s="95" t="s">
        <v>107</v>
      </c>
      <c r="C38" s="101" t="s">
        <v>43</v>
      </c>
      <c r="D38" s="97">
        <v>23</v>
      </c>
      <c r="E38" s="102" t="s">
        <v>9</v>
      </c>
      <c r="F38" s="80"/>
      <c r="R38" s="80"/>
      <c r="S38" s="80"/>
    </row>
    <row r="39" spans="1:19" x14ac:dyDescent="0.3">
      <c r="R39" s="80"/>
      <c r="S39" s="80"/>
    </row>
    <row r="40" spans="1:19" x14ac:dyDescent="0.3">
      <c r="R40" s="80"/>
      <c r="S40" s="80"/>
    </row>
    <row r="41" spans="1:19" ht="15" customHeight="1" thickBot="1" x14ac:dyDescent="0.35">
      <c r="F41" s="84"/>
      <c r="I41" s="2"/>
      <c r="J41" s="54"/>
      <c r="K41" s="2"/>
      <c r="L41" s="2"/>
      <c r="M41" s="54"/>
      <c r="N41" s="54"/>
      <c r="R41" s="80"/>
      <c r="S41" s="80"/>
    </row>
    <row r="42" spans="1:19" ht="18" customHeight="1" x14ac:dyDescent="0.3">
      <c r="B42" s="206" t="s">
        <v>122</v>
      </c>
      <c r="C42" s="207"/>
      <c r="D42" s="207"/>
      <c r="E42" s="207"/>
      <c r="F42" s="208"/>
      <c r="G42" s="84"/>
      <c r="M42" s="54"/>
      <c r="N42" s="54"/>
      <c r="R42" s="80"/>
      <c r="S42" s="80"/>
    </row>
    <row r="43" spans="1:19" ht="18" customHeight="1" thickBot="1" x14ac:dyDescent="0.35">
      <c r="A43" s="121"/>
      <c r="B43" s="209"/>
      <c r="C43" s="210"/>
      <c r="D43" s="210"/>
      <c r="E43" s="210"/>
      <c r="F43" s="211"/>
      <c r="G43" s="84"/>
      <c r="M43" s="54"/>
      <c r="N43" s="54"/>
      <c r="R43" s="80"/>
      <c r="S43" s="80"/>
    </row>
    <row r="44" spans="1:19" x14ac:dyDescent="0.3">
      <c r="G44" s="115"/>
      <c r="M44" s="54"/>
      <c r="N44" s="54"/>
      <c r="R44" s="80"/>
      <c r="S44" s="80"/>
    </row>
    <row r="45" spans="1:19" ht="18" thickBot="1" x14ac:dyDescent="0.35">
      <c r="B45" s="199" t="s">
        <v>112</v>
      </c>
      <c r="C45" s="199"/>
      <c r="D45" s="199"/>
      <c r="E45" s="199"/>
      <c r="G45" s="84"/>
      <c r="H45" s="80"/>
      <c r="M45" s="54"/>
      <c r="N45" s="54"/>
      <c r="R45" s="80"/>
      <c r="S45" s="118"/>
    </row>
    <row r="46" spans="1:19" ht="18" customHeight="1" x14ac:dyDescent="0.3">
      <c r="B46" s="196" t="s">
        <v>125</v>
      </c>
      <c r="C46" s="197"/>
      <c r="D46" s="197"/>
      <c r="E46" s="198"/>
      <c r="G46" s="84"/>
      <c r="H46" s="80"/>
      <c r="M46" s="54"/>
      <c r="N46" s="54"/>
      <c r="R46" s="80"/>
      <c r="S46" s="118"/>
    </row>
    <row r="47" spans="1:19" ht="16.5" customHeight="1" x14ac:dyDescent="0.3">
      <c r="B47" s="85" t="s">
        <v>108</v>
      </c>
      <c r="C47" s="103" t="s">
        <v>68</v>
      </c>
      <c r="D47" s="154">
        <v>10</v>
      </c>
      <c r="E47" s="109" t="s">
        <v>13</v>
      </c>
      <c r="F47" s="2"/>
      <c r="M47" s="54"/>
      <c r="N47" s="54"/>
      <c r="R47" s="80"/>
      <c r="S47" s="80"/>
    </row>
    <row r="48" spans="1:19" ht="16.5" customHeight="1" x14ac:dyDescent="0.3">
      <c r="B48" s="85" t="s">
        <v>77</v>
      </c>
      <c r="C48" s="104" t="s">
        <v>70</v>
      </c>
      <c r="D48" s="16">
        <f>(D47*0.99998)*((D21/D34)+D26-1.1*I20)/(1.1*I20)</f>
        <v>804.7987185185184</v>
      </c>
      <c r="E48" s="109" t="s">
        <v>13</v>
      </c>
      <c r="F48" s="3"/>
      <c r="G48" s="3"/>
      <c r="H48" s="3"/>
      <c r="I48" s="54"/>
      <c r="J48" s="54"/>
      <c r="K48" s="54"/>
      <c r="L48" s="54"/>
      <c r="M48" s="54"/>
      <c r="N48" s="54"/>
      <c r="R48" s="80"/>
      <c r="S48" s="80"/>
    </row>
    <row r="49" spans="2:14" ht="16.5" customHeight="1" x14ac:dyDescent="0.3">
      <c r="B49" s="85" t="s">
        <v>109</v>
      </c>
      <c r="C49" s="104" t="s">
        <v>69</v>
      </c>
      <c r="D49" s="155">
        <v>820</v>
      </c>
      <c r="E49" s="109" t="s">
        <v>13</v>
      </c>
      <c r="F49" s="59" t="str">
        <f>IF(OR(D49&lt;0.9*D48,D49&gt;1.1*D48),"&lt;= Info: selected value is more than 10% from calculated value.","")</f>
        <v/>
      </c>
      <c r="G49" s="110"/>
      <c r="H49" s="110"/>
      <c r="I49" s="54"/>
      <c r="J49" s="54"/>
      <c r="K49" s="54"/>
      <c r="L49" s="54"/>
      <c r="M49" s="54"/>
      <c r="N49" s="54"/>
    </row>
    <row r="50" spans="2:14" ht="16.5" customHeight="1" x14ac:dyDescent="0.3">
      <c r="B50" s="152" t="s">
        <v>126</v>
      </c>
      <c r="C50" s="103" t="s">
        <v>84</v>
      </c>
      <c r="D50" s="129">
        <f>IF(D49=0,((D20/D34)+D24-I26*D48)*D47/(D47+D48),((D20/D34)+D24-I26*D49)*D47/(D47+D49))</f>
        <v>0.90562002008032128</v>
      </c>
      <c r="E50" s="109" t="s">
        <v>1</v>
      </c>
      <c r="F50" s="59" t="str">
        <f>IF(D50&gt;I21,"VPC(max) is above limit; SR on-time can be shorter than expected at high line.  Increase Rvpc1, increase Nps, or decrease Vbulk(max).","")</f>
        <v/>
      </c>
      <c r="G50" s="2"/>
      <c r="H50" s="2"/>
      <c r="I50" s="54"/>
      <c r="J50" s="54"/>
      <c r="K50" s="54"/>
      <c r="L50" s="54"/>
      <c r="M50" s="54"/>
      <c r="N50" s="54"/>
    </row>
    <row r="51" spans="2:14" ht="16.5" customHeight="1" x14ac:dyDescent="0.3">
      <c r="B51" s="152" t="s">
        <v>127</v>
      </c>
      <c r="C51" s="103" t="s">
        <v>85</v>
      </c>
      <c r="D51" s="129">
        <f>IF(D49=0,((D21/D34)+D26-I26*D48)*D47/(D47+D48),((D21/D34)+D26-I26*D49)*D47/(D47+D49))</f>
        <v>0.48594130522088347</v>
      </c>
      <c r="E51" s="109" t="s">
        <v>1</v>
      </c>
      <c r="F51" s="59" t="str">
        <f>IF(D51&lt;I20,"VPC(min) is below limit; SR may not operate at low line.  Decrease Rvpc1, decrease Nps, or increase Vbulk(min).","")</f>
        <v/>
      </c>
      <c r="G51" s="2"/>
      <c r="H51" s="2"/>
      <c r="I51" s="54"/>
      <c r="J51" s="54"/>
      <c r="K51" s="54"/>
      <c r="L51" s="54"/>
      <c r="M51" s="54"/>
      <c r="N51" s="54"/>
    </row>
    <row r="52" spans="2:14" ht="16.5" customHeight="1" x14ac:dyDescent="0.3">
      <c r="B52" s="152" t="s">
        <v>139</v>
      </c>
      <c r="C52" s="107" t="s">
        <v>87</v>
      </c>
      <c r="D52" s="130">
        <f>D51*D53</f>
        <v>6.0742663152610437</v>
      </c>
      <c r="E52" s="109" t="s">
        <v>47</v>
      </c>
      <c r="F52" s="59" t="str">
        <f>IF(D52&gt;I22,"V-us product is above limit; SR on-time can be shorter than expected at low line.  Increase Rvpc1, or increase Fsw.","")</f>
        <v/>
      </c>
      <c r="H52" s="2"/>
      <c r="I52" s="54"/>
      <c r="J52" s="54"/>
      <c r="K52" s="54"/>
      <c r="L52" s="54"/>
      <c r="M52" s="54"/>
      <c r="N52" s="54"/>
    </row>
    <row r="53" spans="2:14" ht="16.5" customHeight="1" thickBot="1" x14ac:dyDescent="0.35">
      <c r="B53" s="86" t="s">
        <v>128</v>
      </c>
      <c r="C53" s="104" t="s">
        <v>86</v>
      </c>
      <c r="D53" s="88">
        <f>1000*(1-D31)/D30</f>
        <v>12.5</v>
      </c>
      <c r="E53" s="78" t="s">
        <v>46</v>
      </c>
      <c r="G53" s="106"/>
      <c r="H53" s="2"/>
      <c r="I53" s="2"/>
      <c r="J53" s="2"/>
      <c r="K53" s="2"/>
      <c r="L53" s="2"/>
      <c r="M53" s="2"/>
      <c r="N53" s="2"/>
    </row>
    <row r="54" spans="2:14" x14ac:dyDescent="0.3">
      <c r="B54" s="2"/>
      <c r="C54" s="15"/>
      <c r="D54" s="2"/>
      <c r="E54" s="2"/>
      <c r="G54" s="2"/>
      <c r="H54" s="2"/>
      <c r="I54" s="2"/>
      <c r="J54" s="2"/>
      <c r="K54" s="2"/>
      <c r="L54" s="2"/>
      <c r="M54" s="2"/>
      <c r="N54" s="2"/>
    </row>
    <row r="55" spans="2:14" ht="15" customHeight="1" thickBot="1" x14ac:dyDescent="0.35">
      <c r="B55" s="2"/>
      <c r="C55" s="23"/>
      <c r="D55" s="2"/>
      <c r="E55" s="2"/>
      <c r="G55" s="2"/>
      <c r="H55" s="2"/>
      <c r="I55" s="2"/>
      <c r="J55" s="2"/>
      <c r="K55" s="2"/>
      <c r="L55" s="2"/>
      <c r="M55" s="2"/>
      <c r="N55" s="2"/>
    </row>
    <row r="56" spans="2:14" ht="18" customHeight="1" x14ac:dyDescent="0.3">
      <c r="B56" s="196" t="s">
        <v>124</v>
      </c>
      <c r="C56" s="197"/>
      <c r="D56" s="197"/>
      <c r="E56" s="198"/>
      <c r="G56" s="2"/>
      <c r="H56" s="2"/>
      <c r="I56" s="2"/>
      <c r="J56" s="2"/>
      <c r="K56" s="2"/>
      <c r="L56" s="2"/>
      <c r="M56" s="2"/>
      <c r="N56" s="2"/>
    </row>
    <row r="57" spans="2:14" ht="18" x14ac:dyDescent="0.3">
      <c r="B57" s="85" t="s">
        <v>110</v>
      </c>
      <c r="C57" s="103" t="s">
        <v>75</v>
      </c>
      <c r="D57" s="154">
        <v>47</v>
      </c>
      <c r="E57" s="109" t="s">
        <v>13</v>
      </c>
      <c r="F57" s="2"/>
      <c r="G57" s="2"/>
      <c r="H57" s="2"/>
      <c r="I57" s="2"/>
      <c r="J57" s="2"/>
      <c r="K57" s="2"/>
      <c r="L57" s="2"/>
      <c r="M57" s="2"/>
      <c r="N57" s="2"/>
    </row>
    <row r="58" spans="2:14" ht="18" x14ac:dyDescent="0.3">
      <c r="B58" s="85" t="s">
        <v>76</v>
      </c>
      <c r="C58" s="104" t="s">
        <v>74</v>
      </c>
      <c r="D58" s="87">
        <f>D57*(((D47+D48)/D47)/(I25*1.1)-1)</f>
        <v>791.89462804754362</v>
      </c>
      <c r="E58" s="109" t="s">
        <v>13</v>
      </c>
      <c r="I58" s="2"/>
      <c r="J58" s="2"/>
      <c r="K58" s="2"/>
      <c r="L58" s="2"/>
      <c r="M58" s="2"/>
      <c r="N58" s="2"/>
    </row>
    <row r="59" spans="2:14" ht="20.25" x14ac:dyDescent="0.3">
      <c r="B59" s="85" t="s">
        <v>111</v>
      </c>
      <c r="C59" s="104" t="s">
        <v>73</v>
      </c>
      <c r="D59" s="154">
        <v>750</v>
      </c>
      <c r="E59" s="109" t="s">
        <v>13</v>
      </c>
      <c r="F59" s="59" t="str">
        <f>IF(D59&gt;D58,"&lt;= Selected value should be lower than calculated value.",IF(D59&lt;0.9*D58,"&lt;= Info: selected value is more than 10% from calculated value.",""))</f>
        <v/>
      </c>
      <c r="I59" s="2"/>
      <c r="J59" s="2"/>
      <c r="K59" s="2"/>
      <c r="L59" s="2"/>
      <c r="M59" s="2"/>
      <c r="N59" s="2"/>
    </row>
    <row r="60" spans="2:14" ht="18" customHeight="1" x14ac:dyDescent="0.3">
      <c r="B60" s="152" t="s">
        <v>130</v>
      </c>
      <c r="C60" s="103" t="s">
        <v>88</v>
      </c>
      <c r="D60" s="129">
        <f>IF(D59=0,(D24-I27*D58)*D57/(D57+D58),(D24-I27*D59)*D57/(D57+D59))</f>
        <v>0.76661378607277297</v>
      </c>
      <c r="E60" s="109" t="s">
        <v>1</v>
      </c>
      <c r="F60" s="59" t="str">
        <f>IF(D60&gt;I23,"VSC(max) is above limit; SR on-time may be shorter than expected.  Increase Rvsc1, or decrease Vout(max).","")</f>
        <v/>
      </c>
      <c r="I60" s="2"/>
      <c r="J60" s="2"/>
      <c r="K60" s="2"/>
      <c r="L60" s="2"/>
      <c r="M60" s="2"/>
      <c r="N60" s="2"/>
    </row>
    <row r="61" spans="2:14" ht="18" customHeight="1" x14ac:dyDescent="0.3">
      <c r="B61" s="108" t="s">
        <v>91</v>
      </c>
      <c r="C61" s="103" t="s">
        <v>89</v>
      </c>
      <c r="D61" s="105">
        <f>IF(D59=0,(D25-I27*D58)*D57/(D57+D58),(D25-I27*D59)*D57/(D57+D59))</f>
        <v>0.70764264429109158</v>
      </c>
      <c r="E61" s="109" t="s">
        <v>1</v>
      </c>
      <c r="F61" s="120"/>
      <c r="I61" s="2"/>
      <c r="J61" s="2"/>
      <c r="K61" s="2"/>
      <c r="L61" s="2"/>
      <c r="M61" s="2"/>
      <c r="N61" s="2"/>
    </row>
    <row r="62" spans="2:14" ht="21" thickBot="1" x14ac:dyDescent="0.35">
      <c r="B62" s="153" t="s">
        <v>129</v>
      </c>
      <c r="C62" s="103" t="s">
        <v>90</v>
      </c>
      <c r="D62" s="131">
        <f>IF(D59=0,(D26-I27*D58)*D57/(D57+D58),(D26-I27*D59)*D57/(D57+D59))</f>
        <v>0.6486715025094103</v>
      </c>
      <c r="E62" s="151" t="s">
        <v>1</v>
      </c>
      <c r="F62" s="59" t="str">
        <f>IF(D62&lt;I24,"VSC(min) is below limit; SR may not operate at low Vout.  Decrease Rvsc1, or increase Vout(min).","")</f>
        <v/>
      </c>
      <c r="I62" s="2"/>
      <c r="J62" s="2"/>
      <c r="K62" s="2"/>
      <c r="L62" s="2"/>
      <c r="M62" s="2"/>
      <c r="N62" s="2"/>
    </row>
    <row r="63" spans="2:14" ht="17.25" thickBot="1" x14ac:dyDescent="0.35">
      <c r="B63" s="2"/>
      <c r="C63" s="90"/>
      <c r="D63" s="2"/>
      <c r="E63" s="2"/>
      <c r="I63" s="2"/>
      <c r="J63" s="2"/>
      <c r="K63" s="2"/>
      <c r="L63" s="2"/>
      <c r="M63" s="2"/>
      <c r="N63" s="2"/>
    </row>
    <row r="64" spans="2:14" ht="18" customHeight="1" x14ac:dyDescent="0.3">
      <c r="B64" s="196" t="s">
        <v>123</v>
      </c>
      <c r="C64" s="197"/>
      <c r="D64" s="197"/>
      <c r="E64" s="198"/>
      <c r="F64" s="80"/>
      <c r="I64" s="2"/>
      <c r="J64" s="2"/>
      <c r="K64" s="2"/>
      <c r="L64" s="2"/>
      <c r="M64" s="2"/>
      <c r="N64" s="2"/>
    </row>
    <row r="65" spans="1:14" ht="33" customHeight="1" x14ac:dyDescent="0.3">
      <c r="B65" s="149" t="s">
        <v>149</v>
      </c>
      <c r="C65" s="104" t="s">
        <v>119</v>
      </c>
      <c r="D65" s="127">
        <f>(D32*0.85-120)</f>
        <v>687.5</v>
      </c>
      <c r="E65" s="26" t="s">
        <v>33</v>
      </c>
      <c r="F65" s="80"/>
      <c r="I65" s="2"/>
      <c r="J65" s="2"/>
      <c r="K65" s="2"/>
      <c r="L65" s="2"/>
      <c r="M65" s="2"/>
      <c r="N65" s="2"/>
    </row>
    <row r="66" spans="1:14" ht="16.5" customHeight="1" x14ac:dyDescent="0.3">
      <c r="B66" s="85" t="s">
        <v>92</v>
      </c>
      <c r="C66" s="104" t="s">
        <v>132</v>
      </c>
      <c r="D66" s="89">
        <f>(D65-100)/18</f>
        <v>32.638888888888886</v>
      </c>
      <c r="E66" s="22" t="s">
        <v>13</v>
      </c>
      <c r="F66" s="80"/>
      <c r="I66" s="2"/>
      <c r="J66" s="2"/>
      <c r="K66" s="2"/>
      <c r="L66" s="2"/>
      <c r="M66" s="2"/>
      <c r="N66" s="2"/>
    </row>
    <row r="67" spans="1:14" ht="16.5" customHeight="1" x14ac:dyDescent="0.3">
      <c r="A67" s="46"/>
      <c r="B67" s="132" t="s">
        <v>109</v>
      </c>
      <c r="C67" s="116" t="s">
        <v>72</v>
      </c>
      <c r="D67" s="156">
        <v>32</v>
      </c>
      <c r="E67" s="150" t="s">
        <v>13</v>
      </c>
      <c r="F67" s="59" t="str">
        <f>IF(OR(D67&lt;5,D67&gt;100),"For UCC24630, Rtblk value must be &gt;5K and &lt;100K.",IF(OR(D67&lt;0.9*D66,D67&gt;1.1*D66),"&lt;= Info: selected value is more than 10% from calculated value.",""))</f>
        <v/>
      </c>
      <c r="I67" s="2"/>
      <c r="J67" s="2"/>
      <c r="K67" s="2"/>
      <c r="L67" s="2"/>
      <c r="M67" s="2"/>
      <c r="N67" s="2"/>
    </row>
    <row r="68" spans="1:14" ht="16.5" customHeight="1" thickBot="1" x14ac:dyDescent="0.35">
      <c r="B68" s="6" t="s">
        <v>118</v>
      </c>
      <c r="C68" s="114" t="s">
        <v>71</v>
      </c>
      <c r="D68" s="128">
        <f>D67*18+100</f>
        <v>676</v>
      </c>
      <c r="E68" s="117" t="s">
        <v>33</v>
      </c>
      <c r="F68" s="59" t="str">
        <f>IF(OR(D67&lt;5,D67&gt;100),"Ttblk value is not valid.  Rtblk value must be &gt;5K and &lt;100K.","")</f>
        <v/>
      </c>
    </row>
    <row r="69" spans="1:14" x14ac:dyDescent="0.3">
      <c r="B69" s="2"/>
      <c r="C69" s="15"/>
      <c r="D69" s="2"/>
      <c r="E69" s="2"/>
    </row>
    <row r="70" spans="1:14" ht="15" customHeight="1" thickBot="1" x14ac:dyDescent="0.35">
      <c r="B70" s="2"/>
      <c r="C70" s="15"/>
      <c r="D70" s="2"/>
      <c r="E70" s="2"/>
      <c r="F70" s="3" t="s">
        <v>3</v>
      </c>
      <c r="G70" s="23" t="s">
        <v>3</v>
      </c>
      <c r="H70" s="25" t="s">
        <v>3</v>
      </c>
    </row>
    <row r="71" spans="1:14" ht="18" customHeight="1" x14ac:dyDescent="0.3">
      <c r="B71" s="196" t="s">
        <v>141</v>
      </c>
      <c r="C71" s="197"/>
      <c r="D71" s="197"/>
      <c r="E71" s="198"/>
    </row>
    <row r="72" spans="1:14" ht="16.5" customHeight="1" x14ac:dyDescent="0.3">
      <c r="B72" s="5" t="s">
        <v>34</v>
      </c>
      <c r="C72" s="112"/>
      <c r="D72" s="16">
        <f>D25^2/(D47+D48)</f>
        <v>0.17673076396318269</v>
      </c>
      <c r="E72" s="22" t="s">
        <v>21</v>
      </c>
    </row>
    <row r="73" spans="1:14" ht="16.5" customHeight="1" x14ac:dyDescent="0.3">
      <c r="B73" s="5" t="s">
        <v>35</v>
      </c>
      <c r="C73" s="112"/>
      <c r="D73" s="16">
        <f>D25^2/(D57+D58)</f>
        <v>0.17165445478551677</v>
      </c>
      <c r="E73" s="22" t="s">
        <v>21</v>
      </c>
    </row>
    <row r="74" spans="1:14" ht="16.5" customHeight="1" x14ac:dyDescent="0.3">
      <c r="B74" s="5" t="s">
        <v>22</v>
      </c>
      <c r="C74" s="112"/>
      <c r="D74" s="16">
        <f>I28*D25*1000</f>
        <v>1.32</v>
      </c>
      <c r="E74" s="22" t="s">
        <v>21</v>
      </c>
    </row>
    <row r="75" spans="1:14" ht="16.5" customHeight="1" thickBot="1" x14ac:dyDescent="0.35">
      <c r="B75" s="135" t="s">
        <v>142</v>
      </c>
      <c r="C75" s="113"/>
      <c r="D75" s="17">
        <f>D72+D73+D74</f>
        <v>1.6683852187486994</v>
      </c>
      <c r="E75" s="24" t="s">
        <v>21</v>
      </c>
    </row>
    <row r="76" spans="1:14" ht="15" customHeight="1" thickBot="1" x14ac:dyDescent="0.35"/>
    <row r="77" spans="1:14" ht="18" customHeight="1" x14ac:dyDescent="0.3">
      <c r="B77" s="196" t="s">
        <v>140</v>
      </c>
      <c r="C77" s="197"/>
      <c r="D77" s="197"/>
      <c r="E77" s="198"/>
    </row>
    <row r="78" spans="1:14" ht="16.5" customHeight="1" x14ac:dyDescent="0.3">
      <c r="B78" s="5" t="s">
        <v>34</v>
      </c>
      <c r="C78" s="112"/>
      <c r="D78" s="16">
        <f>((D31*((D21/D34)+D25)^2)+(1-D31)*D25^2)/(D47+D48)</f>
        <v>1.1367497287014587</v>
      </c>
      <c r="E78" s="22" t="s">
        <v>21</v>
      </c>
    </row>
    <row r="79" spans="1:14" ht="16.5" customHeight="1" x14ac:dyDescent="0.3">
      <c r="B79" s="5" t="s">
        <v>35</v>
      </c>
      <c r="C79" s="112"/>
      <c r="D79" s="16">
        <f>D73</f>
        <v>0.17165445478551677</v>
      </c>
      <c r="E79" s="22" t="s">
        <v>21</v>
      </c>
    </row>
    <row r="80" spans="1:14" ht="16.5" customHeight="1" x14ac:dyDescent="0.3">
      <c r="B80" s="5" t="s">
        <v>37</v>
      </c>
      <c r="C80" s="112"/>
      <c r="D80" s="16">
        <f>(I29+D38*D30*0.000001)*D25*1000</f>
        <v>25.439999999999998</v>
      </c>
      <c r="E80" s="22" t="s">
        <v>21</v>
      </c>
    </row>
    <row r="81" spans="1:7" ht="16.5" customHeight="1" thickBot="1" x14ac:dyDescent="0.35">
      <c r="B81" s="135" t="s">
        <v>143</v>
      </c>
      <c r="C81" s="113"/>
      <c r="D81" s="17">
        <f>D78+D79+D80</f>
        <v>26.748404183486972</v>
      </c>
      <c r="E81" s="24" t="s">
        <v>21</v>
      </c>
    </row>
    <row r="83" spans="1:7" x14ac:dyDescent="0.3">
      <c r="A83" s="80"/>
      <c r="B83" s="80"/>
      <c r="C83" s="80"/>
      <c r="D83" s="80"/>
      <c r="E83" s="123"/>
      <c r="F83" s="80"/>
      <c r="G83" s="80"/>
    </row>
    <row r="84" spans="1:7" x14ac:dyDescent="0.3">
      <c r="A84" s="80"/>
      <c r="B84" s="80"/>
      <c r="C84" s="80"/>
      <c r="D84" s="80"/>
      <c r="E84" s="123"/>
      <c r="F84" s="80"/>
      <c r="G84" s="80"/>
    </row>
    <row r="85" spans="1:7" x14ac:dyDescent="0.3">
      <c r="A85" s="80"/>
      <c r="B85" s="80"/>
      <c r="C85" s="80"/>
      <c r="D85" s="80"/>
      <c r="E85" s="123"/>
      <c r="F85" s="80"/>
      <c r="G85" s="80"/>
    </row>
    <row r="86" spans="1:7" x14ac:dyDescent="0.3">
      <c r="A86" s="80"/>
      <c r="B86" s="80"/>
      <c r="C86" s="80"/>
      <c r="D86" s="80"/>
      <c r="E86" s="123"/>
      <c r="F86" s="80"/>
      <c r="G86" s="80"/>
    </row>
    <row r="87" spans="1:7" x14ac:dyDescent="0.3">
      <c r="A87" s="80"/>
      <c r="B87" s="80"/>
      <c r="C87" s="80"/>
      <c r="D87" s="80"/>
      <c r="E87" s="123"/>
      <c r="F87" s="80"/>
      <c r="G87" s="80"/>
    </row>
    <row r="88" spans="1:7" x14ac:dyDescent="0.3">
      <c r="A88" s="80"/>
      <c r="B88" s="80"/>
      <c r="C88" s="80"/>
      <c r="D88" s="80"/>
      <c r="E88" s="123"/>
      <c r="F88" s="80"/>
      <c r="G88" s="80"/>
    </row>
    <row r="89" spans="1:7" x14ac:dyDescent="0.3">
      <c r="A89" s="80"/>
      <c r="B89" s="80"/>
      <c r="C89" s="80"/>
      <c r="D89" s="80"/>
      <c r="E89" s="123"/>
      <c r="F89" s="80"/>
      <c r="G89" s="80"/>
    </row>
    <row r="90" spans="1:7" x14ac:dyDescent="0.3">
      <c r="A90" s="80"/>
      <c r="B90" s="80"/>
      <c r="C90" s="80"/>
      <c r="D90" s="80"/>
      <c r="E90" s="123"/>
      <c r="F90" s="80"/>
      <c r="G90" s="80"/>
    </row>
    <row r="91" spans="1:7" x14ac:dyDescent="0.3">
      <c r="A91" s="80"/>
      <c r="B91" s="80"/>
      <c r="C91" s="80"/>
      <c r="D91" s="80"/>
      <c r="E91" s="123"/>
      <c r="F91" s="80"/>
      <c r="G91" s="80"/>
    </row>
    <row r="92" spans="1:7" x14ac:dyDescent="0.3">
      <c r="A92" s="80"/>
      <c r="B92" s="80"/>
      <c r="C92" s="80"/>
      <c r="D92" s="80"/>
      <c r="E92" s="123"/>
      <c r="F92" s="80"/>
      <c r="G92" s="80"/>
    </row>
    <row r="93" spans="1:7" x14ac:dyDescent="0.3">
      <c r="A93" s="80"/>
      <c r="B93" s="80"/>
      <c r="C93" s="80"/>
      <c r="D93" s="80"/>
      <c r="E93" s="123"/>
      <c r="F93" s="80"/>
      <c r="G93" s="80"/>
    </row>
    <row r="94" spans="1:7" x14ac:dyDescent="0.3">
      <c r="A94" s="80"/>
      <c r="B94" s="80"/>
      <c r="C94" s="80"/>
      <c r="D94" s="80"/>
      <c r="E94" s="123"/>
      <c r="F94" s="80"/>
      <c r="G94" s="80"/>
    </row>
    <row r="95" spans="1:7" x14ac:dyDescent="0.3">
      <c r="A95" s="80"/>
      <c r="B95" s="80"/>
      <c r="C95" s="80"/>
      <c r="D95" s="80"/>
      <c r="E95" s="123"/>
      <c r="F95" s="80"/>
      <c r="G95" s="80"/>
    </row>
    <row r="96" spans="1:7" x14ac:dyDescent="0.3">
      <c r="A96" s="80"/>
      <c r="B96" s="80"/>
      <c r="C96" s="80"/>
      <c r="D96" s="80"/>
      <c r="E96" s="123"/>
      <c r="F96" s="80"/>
      <c r="G96" s="80"/>
    </row>
    <row r="97" spans="1:7" x14ac:dyDescent="0.3">
      <c r="A97" s="80"/>
      <c r="B97" s="80"/>
      <c r="C97" s="80"/>
      <c r="D97" s="80"/>
      <c r="E97" s="123"/>
      <c r="F97" s="80"/>
      <c r="G97" s="80"/>
    </row>
    <row r="98" spans="1:7" x14ac:dyDescent="0.3">
      <c r="A98" s="80"/>
      <c r="B98" s="80"/>
      <c r="C98" s="80"/>
      <c r="D98" s="80"/>
      <c r="E98" s="123"/>
      <c r="F98" s="80"/>
      <c r="G98" s="80"/>
    </row>
    <row r="99" spans="1:7" x14ac:dyDescent="0.3">
      <c r="A99" s="80"/>
      <c r="B99" s="80"/>
      <c r="C99" s="80"/>
      <c r="D99" s="80"/>
      <c r="E99" s="123"/>
      <c r="F99" s="80"/>
      <c r="G99" s="80"/>
    </row>
    <row r="100" spans="1:7" x14ac:dyDescent="0.3">
      <c r="A100" s="80"/>
      <c r="B100" s="80"/>
      <c r="C100" s="80"/>
      <c r="D100" s="80"/>
      <c r="E100" s="123"/>
      <c r="F100" s="80"/>
      <c r="G100" s="80"/>
    </row>
    <row r="101" spans="1:7" x14ac:dyDescent="0.3">
      <c r="A101" s="80"/>
      <c r="B101" s="80"/>
      <c r="C101" s="80"/>
      <c r="D101" s="80"/>
      <c r="E101" s="123"/>
      <c r="F101" s="80"/>
      <c r="G101" s="80"/>
    </row>
    <row r="102" spans="1:7" x14ac:dyDescent="0.3">
      <c r="A102" s="80"/>
      <c r="B102" s="80"/>
      <c r="C102" s="80"/>
      <c r="D102" s="80"/>
      <c r="E102" s="123"/>
      <c r="F102" s="80"/>
      <c r="G102" s="80"/>
    </row>
    <row r="103" spans="1:7" x14ac:dyDescent="0.3">
      <c r="A103" s="80"/>
      <c r="B103" s="80"/>
      <c r="C103" s="80"/>
      <c r="D103" s="80"/>
      <c r="E103" s="123"/>
      <c r="F103" s="80"/>
      <c r="G103" s="80"/>
    </row>
    <row r="104" spans="1:7" x14ac:dyDescent="0.3">
      <c r="A104" s="80"/>
      <c r="B104" s="80"/>
      <c r="C104" s="80"/>
      <c r="D104" s="80"/>
      <c r="E104" s="123"/>
      <c r="F104" s="80"/>
      <c r="G104" s="80"/>
    </row>
    <row r="105" spans="1:7" x14ac:dyDescent="0.3">
      <c r="A105" s="80"/>
      <c r="B105" s="80"/>
      <c r="C105" s="80"/>
      <c r="D105" s="80"/>
      <c r="E105" s="123"/>
      <c r="F105" s="80"/>
      <c r="G105" s="80"/>
    </row>
    <row r="106" spans="1:7" x14ac:dyDescent="0.3">
      <c r="A106" s="80"/>
      <c r="B106" s="80"/>
      <c r="C106" s="80"/>
      <c r="D106" s="80"/>
      <c r="E106" s="123"/>
      <c r="F106" s="80"/>
      <c r="G106" s="80"/>
    </row>
    <row r="107" spans="1:7" ht="20.25" x14ac:dyDescent="0.35">
      <c r="A107" s="80"/>
      <c r="B107" s="69"/>
      <c r="C107" s="80"/>
      <c r="D107" s="80"/>
      <c r="E107" s="124"/>
      <c r="F107" s="80"/>
      <c r="G107" s="80"/>
    </row>
    <row r="108" spans="1:7" ht="20.25" x14ac:dyDescent="0.35">
      <c r="A108" s="80"/>
      <c r="B108" s="69"/>
      <c r="C108" s="80"/>
      <c r="D108" s="80"/>
      <c r="E108" s="124"/>
      <c r="F108" s="80"/>
      <c r="G108" s="80"/>
    </row>
    <row r="109" spans="1:7" x14ac:dyDescent="0.3">
      <c r="A109" s="80"/>
      <c r="B109" s="80"/>
      <c r="C109" s="80"/>
      <c r="D109" s="80"/>
      <c r="E109" s="124"/>
      <c r="F109" s="80"/>
      <c r="G109" s="80"/>
    </row>
    <row r="110" spans="1:7" x14ac:dyDescent="0.3">
      <c r="A110" s="80"/>
      <c r="B110" s="80"/>
      <c r="C110" s="80"/>
      <c r="D110" s="80"/>
      <c r="E110" s="124"/>
      <c r="F110" s="80"/>
      <c r="G110" s="80"/>
    </row>
    <row r="111" spans="1:7" x14ac:dyDescent="0.3">
      <c r="A111" s="80"/>
      <c r="B111" s="1"/>
      <c r="C111" s="80"/>
      <c r="D111" s="80"/>
      <c r="E111" s="124"/>
      <c r="F111" s="80"/>
      <c r="G111" s="80"/>
    </row>
    <row r="112" spans="1:7" x14ac:dyDescent="0.3">
      <c r="A112" s="80"/>
      <c r="B112" s="1"/>
      <c r="C112" s="80"/>
      <c r="D112" s="80"/>
      <c r="E112" s="124"/>
      <c r="F112" s="80"/>
      <c r="G112" s="80"/>
    </row>
    <row r="113" spans="1:7" x14ac:dyDescent="0.3">
      <c r="A113" s="80"/>
      <c r="B113" s="1"/>
      <c r="C113" s="80"/>
      <c r="D113" s="80"/>
      <c r="E113" s="124"/>
      <c r="F113" s="80"/>
      <c r="G113" s="80"/>
    </row>
    <row r="114" spans="1:7" x14ac:dyDescent="0.3">
      <c r="A114" s="80"/>
      <c r="B114" s="80"/>
      <c r="C114" s="80"/>
      <c r="D114" s="80"/>
      <c r="E114" s="123"/>
      <c r="F114" s="80"/>
      <c r="G114" s="80"/>
    </row>
  </sheetData>
  <sheetProtection password="ED9D" sheet="1" objects="1" scenarios="1" selectLockedCells="1"/>
  <mergeCells count="24">
    <mergeCell ref="G9:H9"/>
    <mergeCell ref="G14:K15"/>
    <mergeCell ref="B71:E71"/>
    <mergeCell ref="B77:E77"/>
    <mergeCell ref="B45:E45"/>
    <mergeCell ref="B11:F11"/>
    <mergeCell ref="B12:F12"/>
    <mergeCell ref="B14:F15"/>
    <mergeCell ref="B17:C17"/>
    <mergeCell ref="B46:E46"/>
    <mergeCell ref="B56:E56"/>
    <mergeCell ref="B42:F43"/>
    <mergeCell ref="B64:E64"/>
    <mergeCell ref="B37:E37"/>
    <mergeCell ref="B33:E33"/>
    <mergeCell ref="B29:E29"/>
    <mergeCell ref="B19:E19"/>
    <mergeCell ref="B23:E23"/>
    <mergeCell ref="B2:F2"/>
    <mergeCell ref="B4:F4"/>
    <mergeCell ref="B5:F8"/>
    <mergeCell ref="B9:F9"/>
    <mergeCell ref="B10:F10"/>
    <mergeCell ref="B3:F3"/>
  </mergeCells>
  <phoneticPr fontId="69" type="noConversion"/>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61"/>
  <sheetViews>
    <sheetView topLeftCell="B1" zoomScaleNormal="100" workbookViewId="0">
      <selection activeCell="C5" sqref="C5"/>
    </sheetView>
  </sheetViews>
  <sheetFormatPr defaultColWidth="9.125" defaultRowHeight="16.5" x14ac:dyDescent="0.3"/>
  <cols>
    <col min="1" max="1" width="2.25" style="2" customWidth="1"/>
    <col min="2" max="2" width="54" style="2" customWidth="1"/>
    <col min="3" max="3" width="9.75" style="15" customWidth="1"/>
    <col min="4" max="5" width="9.75" style="2" customWidth="1"/>
    <col min="6" max="6" width="50.75" style="2" customWidth="1"/>
    <col min="7" max="8" width="9.75" style="2" customWidth="1"/>
    <col min="9" max="9" width="10.25" style="2" customWidth="1"/>
    <col min="10" max="10" width="11" style="2" bestFit="1" customWidth="1"/>
    <col min="11" max="11" width="12.25" style="2" bestFit="1" customWidth="1"/>
    <col min="12" max="16384" width="9.125" style="2"/>
  </cols>
  <sheetData>
    <row r="1" spans="2:15" ht="20.25" x14ac:dyDescent="0.3">
      <c r="B1" s="227" t="s">
        <v>42</v>
      </c>
      <c r="C1" s="227"/>
      <c r="D1" s="227"/>
      <c r="E1" s="227"/>
      <c r="F1" s="227"/>
      <c r="G1" s="227"/>
      <c r="H1" s="227"/>
      <c r="I1" s="54"/>
      <c r="J1" s="54"/>
      <c r="K1" s="54"/>
      <c r="L1" s="54"/>
      <c r="M1" s="54"/>
      <c r="N1" s="54"/>
      <c r="O1" s="54"/>
    </row>
    <row r="2" spans="2:15" ht="17.25" thickBot="1" x14ac:dyDescent="0.35">
      <c r="F2" s="79" t="s">
        <v>66</v>
      </c>
      <c r="I2" s="54"/>
      <c r="J2" s="54"/>
      <c r="K2" s="54"/>
      <c r="L2" s="55"/>
      <c r="M2" s="54"/>
      <c r="N2" s="54"/>
      <c r="O2" s="54"/>
    </row>
    <row r="3" spans="2:15" x14ac:dyDescent="0.3">
      <c r="B3" s="223" t="s">
        <v>19</v>
      </c>
      <c r="C3" s="224"/>
      <c r="D3" s="225"/>
      <c r="I3" s="54"/>
      <c r="M3" s="54"/>
      <c r="N3" s="54"/>
      <c r="O3" s="54"/>
    </row>
    <row r="4" spans="2:15" ht="18" x14ac:dyDescent="0.3">
      <c r="B4" s="5" t="s">
        <v>30</v>
      </c>
      <c r="C4" s="72">
        <v>10</v>
      </c>
      <c r="D4" s="71" t="s">
        <v>13</v>
      </c>
      <c r="E4" s="65" t="s">
        <v>27</v>
      </c>
      <c r="F4" s="65"/>
      <c r="I4" s="54"/>
      <c r="M4" s="54"/>
      <c r="N4" s="54"/>
      <c r="O4" s="54"/>
    </row>
    <row r="5" spans="2:15" ht="18" x14ac:dyDescent="0.3">
      <c r="B5" s="5" t="s">
        <v>58</v>
      </c>
      <c r="C5" s="16">
        <f>C4*(('Design Inputs &amp; Calculations'!D21/'Design Inputs &amp; Calculations'!D34)+'Design Inputs &amp; Calculations'!D26-1.0001*('Design Inputs &amp; Calculations'!I20))/(1.0001*'Design Inputs &amp; Calculations'!I20)</f>
        <v>886.20667562873325</v>
      </c>
      <c r="D5" s="22" t="s">
        <v>13</v>
      </c>
      <c r="E5" s="65" t="s">
        <v>26</v>
      </c>
      <c r="F5" s="65"/>
      <c r="I5" s="54"/>
      <c r="J5" s="54" t="s">
        <v>14</v>
      </c>
      <c r="K5" s="54">
        <f>(C4+C5)/C4</f>
        <v>89.620667562873322</v>
      </c>
      <c r="L5" s="54" t="s">
        <v>57</v>
      </c>
      <c r="M5" s="54"/>
      <c r="N5" s="54"/>
      <c r="O5" s="54"/>
    </row>
    <row r="6" spans="2:15" ht="18" x14ac:dyDescent="0.3">
      <c r="B6" s="5" t="s">
        <v>31</v>
      </c>
      <c r="C6" s="72">
        <v>464</v>
      </c>
      <c r="D6" s="71" t="s">
        <v>13</v>
      </c>
      <c r="I6" s="54"/>
      <c r="J6" s="54" t="s">
        <v>15</v>
      </c>
      <c r="K6" s="54">
        <f>(((C4+C5)/C4)/'Design Inputs &amp; Calculations'!I25)/1.1</f>
        <v>19.632128710377504</v>
      </c>
      <c r="L6" s="54" t="s">
        <v>57</v>
      </c>
      <c r="M6" s="54"/>
      <c r="N6" s="54"/>
      <c r="O6" s="54"/>
    </row>
    <row r="7" spans="2:15" ht="20.25" x14ac:dyDescent="0.3">
      <c r="B7" s="27" t="s">
        <v>61</v>
      </c>
      <c r="C7" s="28">
        <f>C4*(('Design Inputs &amp; Calculations'!D20/'Design Inputs &amp; Calculations'!D34)+'Design Inputs &amp; Calculations'!D24)/('Calculations (Old)'!C4+'Calculations (Old)'!C5)</f>
        <v>0.83872022727272721</v>
      </c>
      <c r="D7" s="29" t="s">
        <v>1</v>
      </c>
      <c r="E7" s="59" t="str">
        <f>IF(C7&gt;2,"APPLICATION IS OUTSIDE OF OPERATING RANGE Decrease VBULK(MAX). Increase NPS. ","")</f>
        <v/>
      </c>
      <c r="I7" s="54"/>
      <c r="J7" s="54" t="s">
        <v>55</v>
      </c>
      <c r="K7" s="54">
        <f>SQRT('Design Inputs &amp; Calculations'!D35*'Design Inputs &amp; Calculations'!D36)*2*3.14*0.000000001</f>
        <v>1.4042506898698681E-6</v>
      </c>
      <c r="L7" s="54" t="s">
        <v>57</v>
      </c>
      <c r="M7" s="54"/>
      <c r="N7" s="54"/>
      <c r="O7" s="54"/>
    </row>
    <row r="8" spans="2:15" ht="20.25" x14ac:dyDescent="0.3">
      <c r="B8" s="27" t="s">
        <v>60</v>
      </c>
      <c r="C8" s="28">
        <f>C4*(('Design Inputs &amp; Calculations'!D21/'Design Inputs &amp; Calculations'!D34)+'Design Inputs &amp; Calculations'!D26)/(ABS('Calculations (Old)'!C4)+ABS('Calculations (Old)'!C5))</f>
        <v>0.45004500000000003</v>
      </c>
      <c r="D8" s="29" t="s">
        <v>1</v>
      </c>
      <c r="E8" s="59" t="str">
        <f>IF(C8&lt;0.4,"APPLICATION IS OUTSIDE OF OPERATING RANGE Increase VBULK(MIN). Decrease NPS","")</f>
        <v/>
      </c>
      <c r="I8" s="54"/>
      <c r="J8" s="54" t="s">
        <v>56</v>
      </c>
      <c r="K8" s="56">
        <f>(0.85*'Design Inputs &amp; Calculations'!D32*0.000000001-100*0.000000001)</f>
        <v>7.075E-7</v>
      </c>
      <c r="L8" s="54" t="s">
        <v>57</v>
      </c>
      <c r="M8" s="54"/>
      <c r="N8" s="54"/>
      <c r="O8" s="54"/>
    </row>
    <row r="9" spans="2:15" ht="20.25" x14ac:dyDescent="0.3">
      <c r="B9" s="27" t="s">
        <v>64</v>
      </c>
      <c r="C9" s="28">
        <f>C8*C10</f>
        <v>5.6255625</v>
      </c>
      <c r="D9" s="29" t="s">
        <v>47</v>
      </c>
      <c r="E9" s="59" t="str">
        <f>IF(C9&gt;7,"APPLICATION IS OUTSIDE OF OPERATING RANGE  Increase FSW,","")</f>
        <v/>
      </c>
      <c r="I9" s="54"/>
      <c r="J9" s="54"/>
      <c r="K9" s="54"/>
      <c r="L9" s="54"/>
      <c r="M9" s="54"/>
      <c r="N9" s="54"/>
      <c r="O9" s="54"/>
    </row>
    <row r="10" spans="2:15" ht="18.75" thickBot="1" x14ac:dyDescent="0.35">
      <c r="B10" s="76" t="s">
        <v>65</v>
      </c>
      <c r="C10" s="77">
        <f>1000*(1-'Design Inputs &amp; Calculations'!D31)/'Design Inputs &amp; Calculations'!D30</f>
        <v>12.5</v>
      </c>
      <c r="D10" s="78" t="s">
        <v>46</v>
      </c>
      <c r="F10" s="2" t="s">
        <v>48</v>
      </c>
      <c r="I10" s="54"/>
      <c r="J10" s="54"/>
      <c r="K10" s="54"/>
      <c r="L10" s="54"/>
      <c r="M10" s="54"/>
      <c r="N10" s="54"/>
      <c r="O10" s="54"/>
    </row>
    <row r="11" spans="2:15" x14ac:dyDescent="0.3">
      <c r="I11" s="54"/>
      <c r="J11" s="54"/>
      <c r="K11" s="54"/>
      <c r="L11" s="54"/>
      <c r="M11" s="54"/>
      <c r="N11" s="54"/>
      <c r="O11" s="54"/>
    </row>
    <row r="12" spans="2:15" x14ac:dyDescent="0.3">
      <c r="I12" s="54"/>
      <c r="J12" s="54"/>
      <c r="K12" s="54"/>
      <c r="L12" s="54"/>
      <c r="M12" s="54"/>
      <c r="N12" s="54"/>
      <c r="O12" s="54"/>
    </row>
    <row r="13" spans="2:15" ht="17.25" thickBot="1" x14ac:dyDescent="0.35">
      <c r="F13" s="226"/>
      <c r="G13" s="226"/>
      <c r="H13" s="226"/>
      <c r="I13" s="54"/>
      <c r="J13" s="54"/>
      <c r="K13" s="54"/>
      <c r="L13" s="54"/>
      <c r="M13" s="54"/>
      <c r="N13" s="54"/>
      <c r="O13" s="54"/>
    </row>
    <row r="14" spans="2:15" x14ac:dyDescent="0.3">
      <c r="B14" s="223" t="s">
        <v>23</v>
      </c>
      <c r="C14" s="224"/>
      <c r="D14" s="225"/>
      <c r="I14" s="54"/>
      <c r="J14" s="54"/>
      <c r="K14" s="54"/>
      <c r="L14" s="54"/>
      <c r="M14" s="54"/>
      <c r="N14" s="54"/>
      <c r="O14" s="54"/>
    </row>
    <row r="15" spans="2:15" ht="18" x14ac:dyDescent="0.3">
      <c r="B15" s="5" t="s">
        <v>41</v>
      </c>
      <c r="C15" s="72">
        <v>47</v>
      </c>
      <c r="D15" s="71" t="s">
        <v>13</v>
      </c>
      <c r="E15" s="65" t="s">
        <v>28</v>
      </c>
      <c r="F15" s="65"/>
      <c r="I15" s="54"/>
      <c r="J15" s="54"/>
      <c r="K15" s="54"/>
      <c r="L15" s="54"/>
      <c r="M15" s="54"/>
      <c r="N15" s="54"/>
      <c r="O15" s="54"/>
    </row>
    <row r="16" spans="2:15" ht="18" x14ac:dyDescent="0.3">
      <c r="B16" s="5" t="s">
        <v>59</v>
      </c>
      <c r="C16" s="16">
        <f>((((C4+C5)/C4)/'Design Inputs &amp; Calculations'!I25)/1.1-1)*C15</f>
        <v>875.71004938774274</v>
      </c>
      <c r="D16" s="22" t="s">
        <v>13</v>
      </c>
      <c r="E16" s="65" t="s">
        <v>29</v>
      </c>
      <c r="F16" s="65"/>
      <c r="I16" s="54"/>
      <c r="J16" s="54"/>
      <c r="K16" s="54"/>
      <c r="L16" s="54"/>
      <c r="M16" s="54"/>
      <c r="N16" s="54"/>
      <c r="O16" s="54"/>
    </row>
    <row r="17" spans="2:8" ht="18" x14ac:dyDescent="0.3">
      <c r="B17" s="5" t="s">
        <v>32</v>
      </c>
      <c r="C17" s="70" t="s">
        <v>3</v>
      </c>
      <c r="D17" s="71" t="s">
        <v>13</v>
      </c>
    </row>
    <row r="18" spans="2:8" ht="20.25" x14ac:dyDescent="0.3">
      <c r="B18" s="27" t="s">
        <v>63</v>
      </c>
      <c r="C18" s="28">
        <f>('Design Inputs &amp; Calculations'!D24)*'Calculations (Old)'!C15/('Calculations (Old)'!C15+ABS('Calculations (Old)'!C16))</f>
        <v>0.66217984772727301</v>
      </c>
      <c r="D18" s="29" t="s">
        <v>1</v>
      </c>
      <c r="E18" s="59" t="str">
        <f>IF(C18&gt;1.2,"APPLICATION IS OUTSIDE OF OPERATING RANGE.  Decrease VOUT(MAX)","")</f>
        <v/>
      </c>
    </row>
    <row r="19" spans="2:8" ht="20.25" x14ac:dyDescent="0.3">
      <c r="B19" s="5" t="s">
        <v>16</v>
      </c>
      <c r="C19" s="16">
        <f>('Design Inputs &amp; Calculations'!D25)*'Calculations (Old)'!C15/('Calculations (Old)'!C15+ABS('Calculations (Old)'!C16))</f>
        <v>0.61124293636363658</v>
      </c>
      <c r="D19" s="22" t="s">
        <v>1</v>
      </c>
      <c r="E19" s="59"/>
    </row>
    <row r="20" spans="2:8" ht="21" thickBot="1" x14ac:dyDescent="0.35">
      <c r="B20" s="30" t="s">
        <v>62</v>
      </c>
      <c r="C20" s="31">
        <f>('Design Inputs &amp; Calculations'!D26)*'Calculations (Old)'!C15/('Calculations (Old)'!C15+ABS('Calculations (Old)'!C16))</f>
        <v>0.56030602500000015</v>
      </c>
      <c r="D20" s="32" t="s">
        <v>1</v>
      </c>
      <c r="E20" s="59" t="str">
        <f>IF(C20&lt;2.3,"APPLICATION IS OUTSIDE OF OPERATING RANGE.  Increase VOUT(MIN)","")</f>
        <v>APPLICATION IS OUTSIDE OF OPERATING RANGE.  Increase VOUT(MIN)</v>
      </c>
    </row>
    <row r="21" spans="2:8" ht="17.25" thickBot="1" x14ac:dyDescent="0.35"/>
    <row r="22" spans="2:8" x14ac:dyDescent="0.3">
      <c r="B22" s="196" t="s">
        <v>20</v>
      </c>
      <c r="C22" s="197"/>
      <c r="D22" s="198"/>
      <c r="F22" s="223" t="s">
        <v>36</v>
      </c>
      <c r="G22" s="224"/>
      <c r="H22" s="225"/>
    </row>
    <row r="23" spans="2:8" ht="18" x14ac:dyDescent="0.3">
      <c r="B23" s="5" t="s">
        <v>18</v>
      </c>
      <c r="C23" s="4">
        <f>('Design Inputs &amp; Calculations'!D32*0.85-100)</f>
        <v>707.5</v>
      </c>
      <c r="D23" s="26" t="s">
        <v>33</v>
      </c>
      <c r="F23" s="5" t="s">
        <v>34</v>
      </c>
      <c r="G23" s="16">
        <f>'Design Inputs &amp; Calculations'!D25^2/('Calculations (Old)'!C4+'Calculations (Old)'!C5)</f>
        <v>0.1606772231404959</v>
      </c>
      <c r="H23" s="22" t="s">
        <v>21</v>
      </c>
    </row>
    <row r="24" spans="2:8" ht="18.75" thickBot="1" x14ac:dyDescent="0.35">
      <c r="B24" s="6" t="s">
        <v>17</v>
      </c>
      <c r="C24" s="74">
        <f>(C23-100)/18</f>
        <v>33.75</v>
      </c>
      <c r="D24" s="24" t="s">
        <v>13</v>
      </c>
      <c r="F24" s="5" t="s">
        <v>35</v>
      </c>
      <c r="G24" s="16">
        <f>'Design Inputs &amp; Calculations'!D25^2/('Calculations (Old)'!C15+'Calculations (Old)'!C16)</f>
        <v>0.15606202630560934</v>
      </c>
      <c r="H24" s="22" t="s">
        <v>21</v>
      </c>
    </row>
    <row r="25" spans="2:8" x14ac:dyDescent="0.3">
      <c r="B25" s="60" t="s">
        <v>24</v>
      </c>
      <c r="C25" s="61">
        <v>1500</v>
      </c>
      <c r="D25" s="62" t="s">
        <v>33</v>
      </c>
      <c r="F25" s="5" t="s">
        <v>22</v>
      </c>
      <c r="G25" s="16">
        <f>'Design Inputs &amp; Calculations'!I28*'Design Inputs &amp; Calculations'!D25*1000</f>
        <v>1.32</v>
      </c>
      <c r="H25" s="22" t="s">
        <v>21</v>
      </c>
    </row>
    <row r="26" spans="2:8" ht="17.25" thickBot="1" x14ac:dyDescent="0.35">
      <c r="B26" s="63" t="s">
        <v>17</v>
      </c>
      <c r="C26" s="73">
        <f>(C25-100)/18</f>
        <v>77.777777777777771</v>
      </c>
      <c r="D26" s="64" t="s">
        <v>13</v>
      </c>
      <c r="F26" s="57" t="s">
        <v>39</v>
      </c>
      <c r="G26" s="17">
        <f>G23+G24+G25</f>
        <v>1.6367392494461053</v>
      </c>
      <c r="H26" s="24" t="s">
        <v>21</v>
      </c>
    </row>
    <row r="27" spans="2:8" ht="17.25" thickBot="1" x14ac:dyDescent="0.35">
      <c r="C27" s="66" t="s">
        <v>25</v>
      </c>
      <c r="D27" s="65"/>
      <c r="F27" s="3" t="s">
        <v>3</v>
      </c>
      <c r="G27" s="23" t="s">
        <v>3</v>
      </c>
      <c r="H27" s="25" t="s">
        <v>3</v>
      </c>
    </row>
    <row r="28" spans="2:8" x14ac:dyDescent="0.3">
      <c r="F28" s="223" t="s">
        <v>38</v>
      </c>
      <c r="G28" s="224"/>
      <c r="H28" s="225"/>
    </row>
    <row r="29" spans="2:8" ht="18" x14ac:dyDescent="0.3">
      <c r="F29" s="5" t="s">
        <v>34</v>
      </c>
      <c r="G29" s="16">
        <f>(('Design Inputs &amp; Calculations'!D31*(('Design Inputs &amp; Calculations'!D21/'Design Inputs &amp; Calculations'!D34)+'Design Inputs &amp; Calculations'!D25)^2)+(1-'Design Inputs &amp; Calculations'!D31)*'Design Inputs &amp; Calculations'!D25^2)/('Calculations (Old)'!C4+'Calculations (Old)'!C5)</f>
        <v>1.0334917685950413</v>
      </c>
      <c r="H29" s="22" t="s">
        <v>21</v>
      </c>
    </row>
    <row r="30" spans="2:8" ht="18" x14ac:dyDescent="0.3">
      <c r="F30" s="5" t="s">
        <v>35</v>
      </c>
      <c r="G30" s="16">
        <f>G24</f>
        <v>0.15606202630560934</v>
      </c>
      <c r="H30" s="22" t="s">
        <v>21</v>
      </c>
    </row>
    <row r="31" spans="2:8" x14ac:dyDescent="0.3">
      <c r="F31" s="5" t="s">
        <v>37</v>
      </c>
      <c r="G31" s="16">
        <f>('Design Inputs &amp; Calculations'!I29+'Design Inputs &amp; Calculations'!D38*'Design Inputs &amp; Calculations'!D30*0.000001)*'Design Inputs &amp; Calculations'!D25*1000</f>
        <v>25.439999999999998</v>
      </c>
      <c r="H31" s="22" t="s">
        <v>21</v>
      </c>
    </row>
    <row r="32" spans="2:8" ht="17.25" thickBot="1" x14ac:dyDescent="0.35">
      <c r="B32" s="12" t="s">
        <v>3</v>
      </c>
      <c r="C32" s="13" t="s">
        <v>3</v>
      </c>
      <c r="D32" s="12" t="s">
        <v>3</v>
      </c>
      <c r="F32" s="57" t="s">
        <v>40</v>
      </c>
      <c r="G32" s="17">
        <f>G29+G30+G31</f>
        <v>26.629553794900648</v>
      </c>
      <c r="H32" s="24" t="s">
        <v>21</v>
      </c>
    </row>
    <row r="36" spans="2:8" x14ac:dyDescent="0.3">
      <c r="B36" s="12"/>
      <c r="C36" s="18"/>
      <c r="D36" s="14"/>
    </row>
    <row r="37" spans="2:8" x14ac:dyDescent="0.3">
      <c r="B37" s="12"/>
      <c r="C37" s="18"/>
      <c r="D37" s="12"/>
    </row>
    <row r="38" spans="2:8" x14ac:dyDescent="0.3">
      <c r="B38" s="12"/>
      <c r="C38" s="18"/>
      <c r="D38" s="12"/>
    </row>
    <row r="39" spans="2:8" x14ac:dyDescent="0.3">
      <c r="B39" s="12"/>
      <c r="C39" s="18"/>
      <c r="D39" s="12"/>
    </row>
    <row r="41" spans="2:8" x14ac:dyDescent="0.3">
      <c r="B41" s="226"/>
      <c r="C41" s="226"/>
      <c r="D41" s="226"/>
    </row>
    <row r="42" spans="2:8" x14ac:dyDescent="0.3">
      <c r="B42" s="12"/>
      <c r="C42" s="18"/>
      <c r="D42" s="12"/>
    </row>
    <row r="43" spans="2:8" x14ac:dyDescent="0.3">
      <c r="B43" s="12"/>
      <c r="C43" s="18"/>
      <c r="D43" s="12"/>
    </row>
    <row r="44" spans="2:8" x14ac:dyDescent="0.3">
      <c r="B44" s="12"/>
      <c r="C44" s="18"/>
      <c r="D44" s="14"/>
      <c r="F44" s="12"/>
      <c r="G44" s="13"/>
      <c r="H44" s="12"/>
    </row>
    <row r="45" spans="2:8" x14ac:dyDescent="0.3">
      <c r="B45" s="12"/>
      <c r="C45" s="18"/>
      <c r="D45" s="12"/>
      <c r="F45" s="12"/>
      <c r="G45" s="13"/>
      <c r="H45" s="12"/>
    </row>
    <row r="46" spans="2:8" x14ac:dyDescent="0.3">
      <c r="B46" s="12"/>
      <c r="C46" s="18"/>
      <c r="D46" s="14"/>
      <c r="F46" s="12"/>
      <c r="G46" s="12"/>
      <c r="H46" s="12"/>
    </row>
    <row r="47" spans="2:8" x14ac:dyDescent="0.3">
      <c r="B47" s="12"/>
      <c r="C47" s="18"/>
      <c r="D47" s="14"/>
      <c r="F47" s="226"/>
      <c r="G47" s="226"/>
      <c r="H47" s="226"/>
    </row>
    <row r="48" spans="2:8" x14ac:dyDescent="0.3">
      <c r="B48" s="12"/>
      <c r="C48" s="18"/>
      <c r="D48" s="14"/>
      <c r="F48" s="12"/>
      <c r="G48" s="13"/>
      <c r="H48" s="14"/>
    </row>
    <row r="49" spans="2:8" x14ac:dyDescent="0.3">
      <c r="B49" s="12"/>
      <c r="C49" s="18"/>
      <c r="D49" s="11"/>
      <c r="F49" s="12"/>
      <c r="G49" s="13"/>
      <c r="H49" s="12"/>
    </row>
    <row r="50" spans="2:8" x14ac:dyDescent="0.3">
      <c r="B50" s="12"/>
      <c r="C50" s="18"/>
      <c r="D50" s="11"/>
      <c r="F50" s="12"/>
      <c r="G50" s="13"/>
      <c r="H50" s="12"/>
    </row>
    <row r="51" spans="2:8" x14ac:dyDescent="0.3">
      <c r="B51" s="10"/>
      <c r="C51" s="19"/>
      <c r="D51" s="10"/>
      <c r="F51" s="226"/>
      <c r="G51" s="226"/>
      <c r="H51" s="226"/>
    </row>
    <row r="52" spans="2:8" x14ac:dyDescent="0.3">
      <c r="B52" s="10"/>
      <c r="C52" s="19"/>
      <c r="D52" s="10"/>
      <c r="F52" s="228"/>
      <c r="G52" s="229"/>
      <c r="H52" s="230"/>
    </row>
    <row r="53" spans="2:8" x14ac:dyDescent="0.3">
      <c r="B53" s="10"/>
      <c r="C53" s="19"/>
      <c r="D53" s="11"/>
      <c r="F53" s="228"/>
      <c r="G53" s="229"/>
      <c r="H53" s="230"/>
    </row>
    <row r="54" spans="2:8" x14ac:dyDescent="0.3">
      <c r="B54" s="10"/>
      <c r="C54" s="19"/>
      <c r="D54" s="10"/>
      <c r="F54" s="228"/>
      <c r="G54" s="229"/>
      <c r="H54" s="230"/>
    </row>
    <row r="55" spans="2:8" x14ac:dyDescent="0.3">
      <c r="B55" s="10"/>
      <c r="C55" s="19"/>
      <c r="D55" s="10"/>
      <c r="F55" s="228"/>
      <c r="G55" s="229"/>
      <c r="H55" s="230"/>
    </row>
    <row r="56" spans="2:8" x14ac:dyDescent="0.3">
      <c r="B56" s="10"/>
      <c r="C56" s="19"/>
      <c r="D56" s="10"/>
    </row>
    <row r="57" spans="2:8" x14ac:dyDescent="0.3">
      <c r="B57" s="231"/>
      <c r="C57" s="231"/>
      <c r="D57" s="231"/>
    </row>
    <row r="58" spans="2:8" x14ac:dyDescent="0.3">
      <c r="B58" s="8"/>
      <c r="C58" s="20"/>
      <c r="D58" s="8"/>
    </row>
    <row r="59" spans="2:8" x14ac:dyDescent="0.3">
      <c r="B59" s="8"/>
      <c r="C59" s="20"/>
      <c r="D59" s="9"/>
    </row>
    <row r="60" spans="2:8" x14ac:dyDescent="0.3">
      <c r="B60" s="8"/>
      <c r="C60" s="20"/>
      <c r="D60" s="8"/>
    </row>
    <row r="61" spans="2:8" x14ac:dyDescent="0.3">
      <c r="B61" s="7"/>
      <c r="C61" s="21"/>
      <c r="D61" s="7"/>
    </row>
  </sheetData>
  <sheetProtection selectLockedCells="1" selectUnlockedCells="1"/>
  <mergeCells count="17">
    <mergeCell ref="F54:F55"/>
    <mergeCell ref="G54:G55"/>
    <mergeCell ref="H54:H55"/>
    <mergeCell ref="B57:D57"/>
    <mergeCell ref="F51:H51"/>
    <mergeCell ref="F52:F53"/>
    <mergeCell ref="G52:G53"/>
    <mergeCell ref="H52:H53"/>
    <mergeCell ref="F22:H22"/>
    <mergeCell ref="B41:D41"/>
    <mergeCell ref="F47:H47"/>
    <mergeCell ref="B1:H1"/>
    <mergeCell ref="B3:D3"/>
    <mergeCell ref="B14:D14"/>
    <mergeCell ref="B22:D22"/>
    <mergeCell ref="F13:H13"/>
    <mergeCell ref="F28:H28"/>
  </mergeCells>
  <phoneticPr fontId="6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Design Inputs &amp; Calculations</vt:lpstr>
      <vt:lpstr>Calculations (Old)</vt:lpstr>
    </vt:vector>
  </TitlesOfParts>
  <Company>Texas Instruments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Griffin, John</dc:creator>
  <cp:lastModifiedBy>Cho, Ernest</cp:lastModifiedBy>
  <dcterms:created xsi:type="dcterms:W3CDTF">2015-03-24T11:55:59Z</dcterms:created>
  <dcterms:modified xsi:type="dcterms:W3CDTF">2025-04-01T05:58:36Z</dcterms:modified>
</cp:coreProperties>
</file>