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DA3C" lockStructure="1"/>
  <bookViews>
    <workbookView xWindow="1068" yWindow="996" windowWidth="8148" windowHeight="4848"/>
  </bookViews>
  <sheets>
    <sheet name="Instructions" sheetId="3" r:id="rId1"/>
    <sheet name="Cover" sheetId="4" r:id="rId2"/>
    <sheet name="Calculations" sheetId="5" state="hidden" r:id="rId3"/>
  </sheets>
  <externalReferences>
    <externalReference r:id="rId4"/>
  </externalReferences>
  <definedNames>
    <definedName name="_KR1">[1]ComponentCalc!$D$71</definedName>
    <definedName name="_KR2">[1]ComponentCalc!$D$72</definedName>
    <definedName name="_tr1">[1]ComponentCalc!$E$91</definedName>
    <definedName name="_tr2">[1]ComponentCalc!$E$93</definedName>
    <definedName name="_tr3">[1]ComponentCalc!$E$98</definedName>
    <definedName name="_tr41">[1]ComponentCalc!$E$94</definedName>
    <definedName name="_tr42">[1]ComponentCalc!$E$99</definedName>
    <definedName name="_tSS1">[1]ComponentCalc!$D$79</definedName>
    <definedName name="_tSS2">[1]ComponentCalc!$D$80</definedName>
    <definedName name="_tST1">[1]ComponentCalc!$D$82</definedName>
    <definedName name="_tST2">[1]ComponentCalc!$D$83</definedName>
    <definedName name="CL">[1]ComponentCalc!$D$26</definedName>
    <definedName name="Cr">[1]ComponentCalc!$D$59</definedName>
    <definedName name="Iovn">[1]ComponentCalc!$D$159</definedName>
    <definedName name="Iqmax">[1]ComponentCalc!$D$145</definedName>
    <definedName name="Isrc1">[1]ComponentCalc!$D$65</definedName>
    <definedName name="Isrc2">[1]ComponentCalc!$D$66</definedName>
    <definedName name="Iuvm">[1]ComponentCalc!$D$152</definedName>
    <definedName name="Iuvn">[1]ComponentCalc!$D$153</definedName>
    <definedName name="KC">[1]ComponentCalc!$D$74</definedName>
    <definedName name="KCL">[1]ComponentCalc!$D$70</definedName>
    <definedName name="KT">[1]ComponentCalc!$D$73</definedName>
    <definedName name="Rdiv1">[1]ComponentCalc!$D$35</definedName>
    <definedName name="Rdiv2">[1]ComponentCalc!$D$39</definedName>
    <definedName name="Rdiv3">[1]ComponentCalc!$D$40</definedName>
    <definedName name="Rsns">[1]ComponentCalc!$D$54</definedName>
    <definedName name="tST">[1]ComponentCalc!$D$81</definedName>
    <definedName name="Vfltlow">[1]ComponentCalc!$D$146</definedName>
    <definedName name="Vin">[1]ComponentCalc!$D$64</definedName>
    <definedName name="Vio">[1]ComponentCalc!$D$67</definedName>
    <definedName name="vL1_tSS2">[1]ComponentCalc!$AF$68</definedName>
    <definedName name="vL1SS1_tSS1">[1]ComponentCalc!$AF$65</definedName>
    <definedName name="vL1SS2_tSS2">[1]ComponentCalc!$AF$66</definedName>
    <definedName name="vL1SS3_tSS2">[1]ComponentCalc!$AF$67</definedName>
    <definedName name="Vovn">[1]ComponentCalc!$D$156</definedName>
    <definedName name="Vovx">[1]ComponentCalc!$D$157</definedName>
    <definedName name="Vref">[1]ComponentCalc!$D$139</definedName>
    <definedName name="Vrefk">[1]ComponentCalc!$D$69</definedName>
    <definedName name="Vsw">[1]ComponentCalc!$D$68</definedName>
    <definedName name="Vuvn">[1]ComponentCalc!$D$150</definedName>
  </definedNames>
  <calcPr calcId="145621"/>
</workbook>
</file>

<file path=xl/calcChain.xml><?xml version="1.0" encoding="utf-8"?>
<calcChain xmlns="http://schemas.openxmlformats.org/spreadsheetml/2006/main">
  <c r="E52" i="5" l="1"/>
  <c r="E158" i="5" l="1"/>
  <c r="E149" i="5"/>
  <c r="E126" i="5"/>
  <c r="E102" i="5"/>
  <c r="E103" i="5" s="1"/>
  <c r="E88" i="4" s="1"/>
  <c r="E100" i="5"/>
  <c r="E99" i="5"/>
  <c r="E89" i="5"/>
  <c r="E85" i="5"/>
  <c r="E81" i="5"/>
  <c r="E65" i="5"/>
  <c r="E66" i="5"/>
  <c r="E67" i="5"/>
  <c r="E68" i="5"/>
  <c r="E69" i="5"/>
  <c r="E64" i="5"/>
  <c r="E61" i="5"/>
  <c r="E62" i="5"/>
  <c r="E60" i="5"/>
  <c r="E29" i="5"/>
  <c r="E30" i="5"/>
  <c r="E31" i="5"/>
  <c r="E32" i="5"/>
  <c r="E33" i="5"/>
  <c r="E34" i="5"/>
  <c r="E28" i="5"/>
  <c r="E120" i="5"/>
  <c r="E128" i="5" l="1"/>
  <c r="E98" i="4" s="1"/>
  <c r="E129" i="5"/>
  <c r="E99" i="4" s="1"/>
  <c r="E36" i="5"/>
  <c r="E38" i="4" s="1"/>
  <c r="E55" i="5"/>
  <c r="E46" i="4" s="1"/>
  <c r="E54" i="5"/>
  <c r="E127" i="5"/>
  <c r="E97" i="4" s="1"/>
  <c r="E53" i="5"/>
  <c r="E44" i="4" s="1"/>
  <c r="E105" i="5"/>
  <c r="E90" i="4" s="1"/>
  <c r="E35" i="5"/>
  <c r="E37" i="4" s="1"/>
  <c r="E56" i="5"/>
  <c r="H118" i="5"/>
  <c r="E133" i="5"/>
  <c r="E103" i="4" s="1"/>
  <c r="E101" i="5"/>
  <c r="E86" i="4" s="1"/>
  <c r="E104" i="5"/>
  <c r="E89" i="4" s="1"/>
  <c r="E137" i="5"/>
  <c r="E121" i="5"/>
  <c r="E87" i="5" l="1"/>
  <c r="E78" i="4" s="1"/>
  <c r="E178" i="5"/>
  <c r="E139" i="4" s="1"/>
  <c r="E88" i="5"/>
  <c r="E79" i="4" s="1"/>
  <c r="E107" i="4"/>
  <c r="E150" i="5"/>
  <c r="E152" i="5" s="1"/>
  <c r="H119" i="5"/>
  <c r="H120" i="5"/>
  <c r="H121" i="5" s="1"/>
  <c r="E51" i="5"/>
  <c r="E42" i="4" s="1"/>
  <c r="E159" i="5"/>
  <c r="E160" i="5" s="1"/>
  <c r="E122" i="5"/>
  <c r="E123" i="5" s="1"/>
  <c r="E125" i="5" s="1"/>
  <c r="E70" i="5"/>
  <c r="E71" i="5" s="1"/>
  <c r="E176" i="5" s="1"/>
  <c r="E47" i="4"/>
  <c r="E134" i="5"/>
  <c r="E63" i="5"/>
  <c r="E54" i="4" s="1"/>
  <c r="E45" i="4"/>
  <c r="E138" i="5" l="1"/>
  <c r="E139" i="5" s="1"/>
  <c r="E109" i="4" s="1"/>
  <c r="E104" i="4"/>
  <c r="E135" i="5"/>
  <c r="E105" i="4" s="1"/>
  <c r="E61" i="4"/>
  <c r="E94" i="4"/>
  <c r="Q134" i="5"/>
  <c r="E177" i="5"/>
  <c r="E137" i="4"/>
  <c r="E151" i="5"/>
  <c r="E161" i="5"/>
  <c r="E72" i="5"/>
  <c r="E76" i="5" s="1"/>
  <c r="E62" i="4"/>
  <c r="E79" i="5" l="1"/>
  <c r="E83" i="5"/>
  <c r="Q135" i="5"/>
  <c r="E108" i="4"/>
  <c r="E141" i="5"/>
  <c r="Q136" i="5" s="1"/>
  <c r="Q137" i="5" s="1"/>
  <c r="E136" i="5"/>
  <c r="E106" i="4" s="1"/>
  <c r="O134" i="5"/>
  <c r="O135" i="5"/>
  <c r="E142" i="5"/>
  <c r="E162" i="5"/>
  <c r="E67" i="4"/>
  <c r="E84" i="5"/>
  <c r="E75" i="4" s="1"/>
  <c r="E80" i="5"/>
  <c r="E71" i="4" s="1"/>
  <c r="E153" i="5"/>
  <c r="E138" i="4"/>
  <c r="E179" i="5"/>
  <c r="E95" i="4"/>
  <c r="E124" i="5"/>
  <c r="E63" i="4"/>
  <c r="Q138" i="5" l="1"/>
  <c r="Q139" i="5" s="1"/>
  <c r="E111" i="4"/>
  <c r="E140" i="5"/>
  <c r="P134" i="5"/>
  <c r="E180" i="5"/>
  <c r="E141" i="4" s="1"/>
  <c r="E140" i="4"/>
  <c r="E163" i="5"/>
  <c r="E124" i="4" s="1"/>
  <c r="E154" i="5"/>
  <c r="E119" i="4" s="1"/>
  <c r="E112" i="4"/>
  <c r="E144" i="5"/>
  <c r="E114" i="4" s="1"/>
  <c r="E143" i="5"/>
  <c r="E113" i="4" s="1"/>
  <c r="O136" i="5"/>
  <c r="O137" i="5" s="1"/>
  <c r="O138" i="5" s="1"/>
  <c r="O139" i="5" s="1"/>
  <c r="E70" i="4"/>
  <c r="E74" i="4"/>
  <c r="E110" i="4" l="1"/>
  <c r="P136" i="5"/>
  <c r="P138" i="5" s="1"/>
  <c r="P135" i="5"/>
  <c r="P137" i="5" l="1"/>
  <c r="P139" i="5"/>
</calcChain>
</file>

<file path=xl/sharedStrings.xml><?xml version="1.0" encoding="utf-8"?>
<sst xmlns="http://schemas.openxmlformats.org/spreadsheetml/2006/main" count="765" uniqueCount="392">
  <si>
    <t>Calculated Cells</t>
  </si>
  <si>
    <t>Device Parameters</t>
  </si>
  <si>
    <t>Parameter</t>
  </si>
  <si>
    <t>Description</t>
  </si>
  <si>
    <t>Value</t>
  </si>
  <si>
    <t>Units</t>
  </si>
  <si>
    <t>W</t>
  </si>
  <si>
    <t>V</t>
  </si>
  <si>
    <t>Vvcc</t>
  </si>
  <si>
    <t>uF</t>
  </si>
  <si>
    <t>A</t>
  </si>
  <si>
    <r>
      <t>V</t>
    </r>
    <r>
      <rPr>
        <sz val="9"/>
        <color theme="1"/>
        <rFont val="Calibri"/>
        <family val="2"/>
        <scheme val="minor"/>
      </rPr>
      <t>REF_K_MIN</t>
    </r>
  </si>
  <si>
    <t>mV</t>
  </si>
  <si>
    <r>
      <t>V</t>
    </r>
    <r>
      <rPr>
        <sz val="9"/>
        <color theme="1"/>
        <rFont val="Calibri"/>
        <family val="2"/>
        <scheme val="minor"/>
      </rPr>
      <t>REF_K</t>
    </r>
  </si>
  <si>
    <r>
      <t>V</t>
    </r>
    <r>
      <rPr>
        <sz val="9"/>
        <color theme="1"/>
        <rFont val="Calibri"/>
        <family val="2"/>
        <scheme val="minor"/>
      </rPr>
      <t>REF_K_MAX</t>
    </r>
  </si>
  <si>
    <t>LCA Offset</t>
  </si>
  <si>
    <r>
      <t>R</t>
    </r>
    <r>
      <rPr>
        <sz val="9"/>
        <color theme="1"/>
        <rFont val="Calibri"/>
        <family val="2"/>
        <scheme val="minor"/>
      </rPr>
      <t>SNS</t>
    </r>
  </si>
  <si>
    <r>
      <t>P</t>
    </r>
    <r>
      <rPr>
        <sz val="9"/>
        <color theme="1"/>
        <rFont val="Calibri"/>
        <family val="2"/>
        <scheme val="minor"/>
      </rPr>
      <t>RSNS</t>
    </r>
  </si>
  <si>
    <r>
      <t>R</t>
    </r>
    <r>
      <rPr>
        <sz val="9"/>
        <color theme="1"/>
        <rFont val="Calibri"/>
        <family val="2"/>
        <scheme val="minor"/>
      </rPr>
      <t>SNSA</t>
    </r>
  </si>
  <si>
    <t>Ω</t>
  </si>
  <si>
    <r>
      <t>P</t>
    </r>
    <r>
      <rPr>
        <sz val="9"/>
        <color theme="1"/>
        <rFont val="Calibri"/>
        <family val="2"/>
        <scheme val="minor"/>
      </rPr>
      <t>RSNSA</t>
    </r>
  </si>
  <si>
    <r>
      <t>I</t>
    </r>
    <r>
      <rPr>
        <sz val="9"/>
        <color theme="1"/>
        <rFont val="Calibri"/>
        <family val="2"/>
        <scheme val="minor"/>
      </rPr>
      <t>LIMA</t>
    </r>
    <r>
      <rPr>
        <sz val="11"/>
        <color theme="1"/>
        <rFont val="Calibri"/>
        <family val="2"/>
        <scheme val="minor"/>
      </rPr>
      <t>(V</t>
    </r>
    <r>
      <rPr>
        <sz val="9"/>
        <color theme="1"/>
        <rFont val="Calibri"/>
        <family val="2"/>
        <scheme val="minor"/>
      </rPr>
      <t>REF_K_MIN</t>
    </r>
    <r>
      <rPr>
        <sz val="11"/>
        <color theme="1"/>
        <rFont val="Calibri"/>
        <family val="2"/>
        <scheme val="minor"/>
      </rPr>
      <t>, R</t>
    </r>
    <r>
      <rPr>
        <sz val="9"/>
        <color theme="1"/>
        <rFont val="Calibri"/>
        <family val="2"/>
        <scheme val="minor"/>
      </rPr>
      <t>SNSA</t>
    </r>
    <r>
      <rPr>
        <sz val="11"/>
        <color theme="1"/>
        <rFont val="Calibri"/>
        <family val="2"/>
        <scheme val="minor"/>
      </rPr>
      <t>)</t>
    </r>
  </si>
  <si>
    <r>
      <t>I</t>
    </r>
    <r>
      <rPr>
        <sz val="9"/>
        <color theme="1"/>
        <rFont val="Calibri"/>
        <family val="2"/>
        <scheme val="minor"/>
      </rPr>
      <t>LIMA</t>
    </r>
    <r>
      <rPr>
        <sz val="11"/>
        <color theme="1"/>
        <rFont val="Calibri"/>
        <family val="2"/>
        <scheme val="minor"/>
      </rPr>
      <t>(V</t>
    </r>
    <r>
      <rPr>
        <sz val="9"/>
        <color theme="1"/>
        <rFont val="Calibri"/>
        <family val="2"/>
        <scheme val="minor"/>
      </rPr>
      <t>REF_K</t>
    </r>
    <r>
      <rPr>
        <sz val="11"/>
        <color theme="1"/>
        <rFont val="Calibri"/>
        <family val="2"/>
        <scheme val="minor"/>
      </rPr>
      <t>, R</t>
    </r>
    <r>
      <rPr>
        <sz val="9"/>
        <color theme="1"/>
        <rFont val="Calibri"/>
        <family val="2"/>
        <scheme val="minor"/>
      </rPr>
      <t>SNSA</t>
    </r>
    <r>
      <rPr>
        <sz val="11"/>
        <color theme="1"/>
        <rFont val="Calibri"/>
        <family val="2"/>
        <scheme val="minor"/>
      </rPr>
      <t>)</t>
    </r>
  </si>
  <si>
    <r>
      <t>I</t>
    </r>
    <r>
      <rPr>
        <sz val="9"/>
        <color theme="1"/>
        <rFont val="Calibri"/>
        <family val="2"/>
        <scheme val="minor"/>
      </rPr>
      <t>LIMA</t>
    </r>
    <r>
      <rPr>
        <sz val="11"/>
        <color theme="1"/>
        <rFont val="Calibri"/>
        <family val="2"/>
        <scheme val="minor"/>
      </rPr>
      <t>(V</t>
    </r>
    <r>
      <rPr>
        <sz val="9"/>
        <color theme="1"/>
        <rFont val="Calibri"/>
        <family val="2"/>
        <scheme val="minor"/>
      </rPr>
      <t>REF_K_MAX</t>
    </r>
    <r>
      <rPr>
        <sz val="11"/>
        <color theme="1"/>
        <rFont val="Calibri"/>
        <family val="2"/>
        <scheme val="minor"/>
      </rPr>
      <t>, R</t>
    </r>
    <r>
      <rPr>
        <sz val="9"/>
        <color theme="1"/>
        <rFont val="Calibri"/>
        <family val="2"/>
        <scheme val="minor"/>
      </rPr>
      <t>SNSA</t>
    </r>
    <r>
      <rPr>
        <sz val="11"/>
        <color theme="1"/>
        <rFont val="Calibri"/>
        <family val="2"/>
        <scheme val="minor"/>
      </rPr>
      <t>)</t>
    </r>
  </si>
  <si>
    <t>Maximum load current at nominal VCC</t>
  </si>
  <si>
    <t>Maximum load current at minimum VCC</t>
  </si>
  <si>
    <t>MOSFET selection</t>
  </si>
  <si>
    <t>MOSFET maximum junction temperature (150C or 175C)</t>
  </si>
  <si>
    <t>C</t>
  </si>
  <si>
    <t>C/W</t>
  </si>
  <si>
    <t>nF</t>
  </si>
  <si>
    <t>TJ</t>
  </si>
  <si>
    <t>uA</t>
  </si>
  <si>
    <t>ms</t>
  </si>
  <si>
    <t>mV/V</t>
  </si>
  <si>
    <t>Power dissipation</t>
  </si>
  <si>
    <t>Pin</t>
  </si>
  <si>
    <t>ŋ</t>
  </si>
  <si>
    <t>%</t>
  </si>
  <si>
    <t>Typical fault time</t>
  </si>
  <si>
    <t>Minimum fault time</t>
  </si>
  <si>
    <r>
      <t>C</t>
    </r>
    <r>
      <rPr>
        <sz val="9"/>
        <color theme="1"/>
        <rFont val="Calibri"/>
        <family val="2"/>
        <scheme val="minor"/>
      </rPr>
      <t>LOAD</t>
    </r>
  </si>
  <si>
    <r>
      <t>C</t>
    </r>
    <r>
      <rPr>
        <sz val="9"/>
        <color theme="1"/>
        <rFont val="Calibri"/>
        <family val="2"/>
        <scheme val="minor"/>
      </rPr>
      <t>LOAD_TOL</t>
    </r>
  </si>
  <si>
    <r>
      <t>V</t>
    </r>
    <r>
      <rPr>
        <sz val="9"/>
        <color theme="1"/>
        <rFont val="Calibri"/>
        <family val="2"/>
        <scheme val="minor"/>
      </rPr>
      <t>IO_MIN</t>
    </r>
  </si>
  <si>
    <r>
      <t>V</t>
    </r>
    <r>
      <rPr>
        <sz val="9"/>
        <color theme="1"/>
        <rFont val="Calibri"/>
        <family val="2"/>
        <scheme val="minor"/>
      </rPr>
      <t>IO_MAX</t>
    </r>
  </si>
  <si>
    <r>
      <t>TJ</t>
    </r>
    <r>
      <rPr>
        <sz val="9"/>
        <color theme="1"/>
        <rFont val="Calibri"/>
        <family val="2"/>
        <scheme val="minor"/>
      </rPr>
      <t>MAX</t>
    </r>
  </si>
  <si>
    <r>
      <t>TA</t>
    </r>
    <r>
      <rPr>
        <sz val="9"/>
        <color theme="1"/>
        <rFont val="Calibri"/>
        <family val="2"/>
        <scheme val="minor"/>
      </rPr>
      <t>MAX</t>
    </r>
  </si>
  <si>
    <r>
      <t>R</t>
    </r>
    <r>
      <rPr>
        <sz val="11"/>
        <color theme="1"/>
        <rFont val="Calibri"/>
        <family val="2"/>
      </rPr>
      <t>θJA</t>
    </r>
    <r>
      <rPr>
        <sz val="9"/>
        <color theme="1"/>
        <rFont val="Calibri"/>
        <family val="2"/>
      </rPr>
      <t>MAX</t>
    </r>
  </si>
  <si>
    <r>
      <t>R</t>
    </r>
    <r>
      <rPr>
        <sz val="9"/>
        <color theme="1"/>
        <rFont val="Calibri"/>
        <family val="2"/>
        <scheme val="minor"/>
      </rPr>
      <t>DSON</t>
    </r>
  </si>
  <si>
    <r>
      <t>RDSON25</t>
    </r>
    <r>
      <rPr>
        <sz val="9"/>
        <color theme="1"/>
        <rFont val="Calibri"/>
        <family val="2"/>
        <scheme val="minor"/>
      </rPr>
      <t>MAX</t>
    </r>
  </si>
  <si>
    <r>
      <t>N</t>
    </r>
    <r>
      <rPr>
        <sz val="9"/>
        <color theme="1"/>
        <rFont val="Calibri"/>
        <family val="2"/>
        <scheme val="minor"/>
      </rPr>
      <t>FET</t>
    </r>
  </si>
  <si>
    <r>
      <t>C</t>
    </r>
    <r>
      <rPr>
        <sz val="9"/>
        <color theme="1"/>
        <rFont val="Calibri"/>
        <family val="2"/>
        <scheme val="minor"/>
      </rPr>
      <t>ISS</t>
    </r>
  </si>
  <si>
    <r>
      <t>N</t>
    </r>
    <r>
      <rPr>
        <sz val="9"/>
        <color theme="1"/>
        <rFont val="Calibri"/>
        <family val="2"/>
        <scheme val="minor"/>
      </rPr>
      <t>SHARE</t>
    </r>
  </si>
  <si>
    <r>
      <t>R</t>
    </r>
    <r>
      <rPr>
        <sz val="9"/>
        <color theme="1"/>
        <rFont val="Calibri"/>
        <family val="2"/>
        <scheme val="minor"/>
      </rPr>
      <t>DSON</t>
    </r>
    <r>
      <rPr>
        <sz val="11"/>
        <color theme="1"/>
        <rFont val="Calibri"/>
        <family val="2"/>
        <scheme val="minor"/>
      </rPr>
      <t>(TEMP)</t>
    </r>
  </si>
  <si>
    <r>
      <t>P</t>
    </r>
    <r>
      <rPr>
        <sz val="9"/>
        <color theme="1"/>
        <rFont val="Calibri"/>
        <family val="2"/>
        <scheme val="minor"/>
      </rPr>
      <t>FLT</t>
    </r>
  </si>
  <si>
    <r>
      <t>I</t>
    </r>
    <r>
      <rPr>
        <sz val="9"/>
        <color theme="1"/>
        <rFont val="Calibri"/>
        <family val="2"/>
        <scheme val="minor"/>
      </rPr>
      <t>FLT25</t>
    </r>
  </si>
  <si>
    <r>
      <t>V</t>
    </r>
    <r>
      <rPr>
        <sz val="9"/>
        <color theme="1"/>
        <rFont val="Calibri"/>
        <family val="2"/>
        <scheme val="minor"/>
      </rPr>
      <t>FLTM_MIN</t>
    </r>
  </si>
  <si>
    <r>
      <t>V</t>
    </r>
    <r>
      <rPr>
        <sz val="9"/>
        <color theme="1"/>
        <rFont val="Calibri"/>
        <family val="2"/>
        <scheme val="minor"/>
      </rPr>
      <t>FLTM</t>
    </r>
  </si>
  <si>
    <r>
      <t>V</t>
    </r>
    <r>
      <rPr>
        <sz val="9"/>
        <color theme="1"/>
        <rFont val="Calibri"/>
        <family val="2"/>
        <scheme val="minor"/>
      </rPr>
      <t>FLTM_MAX</t>
    </r>
  </si>
  <si>
    <r>
      <t>I</t>
    </r>
    <r>
      <rPr>
        <sz val="9"/>
        <color theme="1"/>
        <rFont val="Calibri"/>
        <family val="2"/>
        <scheme val="minor"/>
      </rPr>
      <t>FLTM_MIN</t>
    </r>
  </si>
  <si>
    <r>
      <t>I</t>
    </r>
    <r>
      <rPr>
        <sz val="9"/>
        <color theme="1"/>
        <rFont val="Calibri"/>
        <family val="2"/>
        <scheme val="minor"/>
      </rPr>
      <t>FLTM</t>
    </r>
  </si>
  <si>
    <r>
      <t>I</t>
    </r>
    <r>
      <rPr>
        <sz val="9"/>
        <color theme="1"/>
        <rFont val="Calibri"/>
        <family val="2"/>
        <scheme val="minor"/>
      </rPr>
      <t>FLTM_MAX</t>
    </r>
  </si>
  <si>
    <r>
      <t>T</t>
    </r>
    <r>
      <rPr>
        <sz val="9"/>
        <color theme="1"/>
        <rFont val="Calibri"/>
        <family val="2"/>
        <scheme val="minor"/>
      </rPr>
      <t>SOA</t>
    </r>
  </si>
  <si>
    <r>
      <t>C</t>
    </r>
    <r>
      <rPr>
        <sz val="9"/>
        <color theme="1"/>
        <rFont val="Calibri"/>
        <family val="2"/>
        <scheme val="minor"/>
      </rPr>
      <t>T_TOL</t>
    </r>
  </si>
  <si>
    <r>
      <t>C</t>
    </r>
    <r>
      <rPr>
        <sz val="9"/>
        <color theme="1"/>
        <rFont val="Calibri"/>
        <family val="2"/>
        <scheme val="minor"/>
      </rPr>
      <t>FLTM</t>
    </r>
    <r>
      <rPr>
        <sz val="11"/>
        <color theme="1"/>
        <rFont val="Calibri"/>
        <family val="2"/>
        <scheme val="minor"/>
      </rPr>
      <t>(T</t>
    </r>
    <r>
      <rPr>
        <sz val="9"/>
        <color theme="1"/>
        <rFont val="Calibri"/>
        <family val="2"/>
        <scheme val="minor"/>
      </rPr>
      <t>SOA</t>
    </r>
    <r>
      <rPr>
        <sz val="11"/>
        <color theme="1"/>
        <rFont val="Calibri"/>
        <family val="2"/>
        <scheme val="minor"/>
      </rPr>
      <t>, 0.1)</t>
    </r>
  </si>
  <si>
    <r>
      <t>T</t>
    </r>
    <r>
      <rPr>
        <sz val="9"/>
        <color theme="1"/>
        <rFont val="Calibri"/>
        <family val="2"/>
        <scheme val="minor"/>
      </rPr>
      <t>FLTM</t>
    </r>
  </si>
  <si>
    <r>
      <t>I</t>
    </r>
    <r>
      <rPr>
        <sz val="9"/>
        <color theme="1"/>
        <rFont val="Calibri"/>
        <family val="2"/>
        <scheme val="minor"/>
      </rPr>
      <t>SRC1_MIN</t>
    </r>
  </si>
  <si>
    <r>
      <t>I</t>
    </r>
    <r>
      <rPr>
        <sz val="9"/>
        <color theme="1"/>
        <rFont val="Calibri"/>
        <family val="2"/>
        <scheme val="minor"/>
      </rPr>
      <t>SRC1</t>
    </r>
  </si>
  <si>
    <r>
      <t>I</t>
    </r>
    <r>
      <rPr>
        <sz val="9"/>
        <color theme="1"/>
        <rFont val="Calibri"/>
        <family val="2"/>
        <scheme val="minor"/>
      </rPr>
      <t>SRC1_MAX</t>
    </r>
  </si>
  <si>
    <r>
      <t>I</t>
    </r>
    <r>
      <rPr>
        <sz val="9"/>
        <color theme="1"/>
        <rFont val="Calibri"/>
        <family val="2"/>
        <scheme val="minor"/>
      </rPr>
      <t>SRC2_MIN</t>
    </r>
  </si>
  <si>
    <r>
      <t>I</t>
    </r>
    <r>
      <rPr>
        <sz val="9"/>
        <color theme="1"/>
        <rFont val="Calibri"/>
        <family val="2"/>
        <scheme val="minor"/>
      </rPr>
      <t>SRC2</t>
    </r>
  </si>
  <si>
    <r>
      <t>I</t>
    </r>
    <r>
      <rPr>
        <sz val="9"/>
        <color theme="1"/>
        <rFont val="Calibri"/>
        <family val="2"/>
        <scheme val="minor"/>
      </rPr>
      <t>SRC2_MAX</t>
    </r>
  </si>
  <si>
    <r>
      <t>A</t>
    </r>
    <r>
      <rPr>
        <sz val="9"/>
        <color theme="1"/>
        <rFont val="Calibri"/>
        <family val="2"/>
        <scheme val="minor"/>
      </rPr>
      <t>V_MIN</t>
    </r>
  </si>
  <si>
    <r>
      <t>A</t>
    </r>
    <r>
      <rPr>
        <sz val="9"/>
        <color theme="1"/>
        <rFont val="Calibri"/>
        <family val="2"/>
        <scheme val="minor"/>
      </rPr>
      <t>V</t>
    </r>
  </si>
  <si>
    <r>
      <t>A</t>
    </r>
    <r>
      <rPr>
        <sz val="9"/>
        <color theme="1"/>
        <rFont val="Calibri"/>
        <family val="2"/>
        <scheme val="minor"/>
      </rPr>
      <t>V_MAX</t>
    </r>
  </si>
  <si>
    <r>
      <t>V</t>
    </r>
    <r>
      <rPr>
        <sz val="9"/>
        <color theme="1"/>
        <rFont val="Calibri"/>
        <family val="2"/>
        <scheme val="minor"/>
      </rPr>
      <t>SRC1</t>
    </r>
  </si>
  <si>
    <r>
      <t>V</t>
    </r>
    <r>
      <rPr>
        <sz val="9"/>
        <color theme="1"/>
        <rFont val="Calibri"/>
        <family val="2"/>
        <scheme val="minor"/>
      </rPr>
      <t>SRC2</t>
    </r>
  </si>
  <si>
    <r>
      <t>C</t>
    </r>
    <r>
      <rPr>
        <sz val="9"/>
        <color theme="1"/>
        <rFont val="Calibri"/>
        <family val="2"/>
        <scheme val="minor"/>
      </rPr>
      <t>RMP</t>
    </r>
  </si>
  <si>
    <r>
      <t>V</t>
    </r>
    <r>
      <rPr>
        <sz val="9"/>
        <color theme="1"/>
        <rFont val="Calibri"/>
        <family val="2"/>
        <scheme val="minor"/>
      </rPr>
      <t>HYS</t>
    </r>
  </si>
  <si>
    <r>
      <t>V</t>
    </r>
    <r>
      <rPr>
        <sz val="9"/>
        <color theme="1"/>
        <rFont val="Calibri"/>
        <family val="2"/>
        <scheme val="minor"/>
      </rPr>
      <t>DS</t>
    </r>
  </si>
  <si>
    <r>
      <t>P</t>
    </r>
    <r>
      <rPr>
        <sz val="9"/>
        <color theme="1"/>
        <rFont val="Calibri"/>
        <family val="2"/>
        <scheme val="minor"/>
      </rPr>
      <t>FET</t>
    </r>
  </si>
  <si>
    <t>Input Power</t>
  </si>
  <si>
    <t>Efficiency</t>
  </si>
  <si>
    <t>Maximum operating load output power</t>
  </si>
  <si>
    <t>Nominal operating load output voltage</t>
  </si>
  <si>
    <t>Nominal operating input voltage</t>
  </si>
  <si>
    <t>Minimum operating input voltage</t>
  </si>
  <si>
    <t>Maximum operating input voltage</t>
  </si>
  <si>
    <t>Load capacitance presented at Vout</t>
  </si>
  <si>
    <t>Tolerance of the load capacitance</t>
  </si>
  <si>
    <r>
      <t>I_l</t>
    </r>
    <r>
      <rPr>
        <sz val="9"/>
        <color theme="1"/>
        <rFont val="Calibri"/>
        <family val="2"/>
        <scheme val="minor"/>
      </rPr>
      <t>oad_48VCC</t>
    </r>
  </si>
  <si>
    <r>
      <t>I_l</t>
    </r>
    <r>
      <rPr>
        <sz val="9"/>
        <color theme="1"/>
        <rFont val="Calibri"/>
        <family val="2"/>
        <scheme val="minor"/>
      </rPr>
      <t>oad_38VCC</t>
    </r>
  </si>
  <si>
    <t>User Input Cells</t>
  </si>
  <si>
    <t>Minimum reference clamp voltage</t>
  </si>
  <si>
    <t>Nominal reference clamp voltage</t>
  </si>
  <si>
    <t>Maximum reference clamp voltage</t>
  </si>
  <si>
    <t>PCB based junction to ambient thermal resistance goal (depends on PCB thermal characteristics)</t>
  </si>
  <si>
    <t>Number of FETS in parallel</t>
  </si>
  <si>
    <r>
      <t>TJ</t>
    </r>
    <r>
      <rPr>
        <sz val="9"/>
        <color theme="1"/>
        <rFont val="Calibri"/>
        <family val="2"/>
        <scheme val="minor"/>
      </rPr>
      <t>SF</t>
    </r>
  </si>
  <si>
    <t>Case 2</t>
  </si>
  <si>
    <t>Case 3</t>
  </si>
  <si>
    <t xml:space="preserve">Case 1 </t>
  </si>
  <si>
    <t>Tolerance of the fault timer capacitor</t>
  </si>
  <si>
    <t>Minimum fault timer threshold voltage</t>
  </si>
  <si>
    <t>Nominal fault timer threshold voltage</t>
  </si>
  <si>
    <t>Maximum fault timer threshold voltage</t>
  </si>
  <si>
    <t>Minimum fault timer charging current</t>
  </si>
  <si>
    <t>Nominal fault timer charging current</t>
  </si>
  <si>
    <t>Maximum fault timer charging current</t>
  </si>
  <si>
    <r>
      <t>C</t>
    </r>
    <r>
      <rPr>
        <sz val="9"/>
        <color theme="1"/>
        <rFont val="Calibri"/>
        <family val="2"/>
        <scheme val="minor"/>
      </rPr>
      <t>FLTMA</t>
    </r>
  </si>
  <si>
    <t>FLTTIME capacitor</t>
  </si>
  <si>
    <t>Calculated FLTTIME capacitor</t>
  </si>
  <si>
    <t>Minimum ramp1 charging current</t>
  </si>
  <si>
    <t>Minimum voltage gain</t>
  </si>
  <si>
    <t>Nominal voltage gain</t>
  </si>
  <si>
    <t>Maximum voltage gain</t>
  </si>
  <si>
    <r>
      <t>VD(V</t>
    </r>
    <r>
      <rPr>
        <sz val="9"/>
        <color theme="1"/>
        <rFont val="Calibri"/>
        <family val="2"/>
        <scheme val="minor"/>
      </rPr>
      <t>REF_K_MAX</t>
    </r>
    <r>
      <rPr>
        <sz val="11"/>
        <color theme="1"/>
        <rFont val="Calibri"/>
        <family val="2"/>
        <scheme val="minor"/>
      </rPr>
      <t>, R</t>
    </r>
    <r>
      <rPr>
        <sz val="9"/>
        <color theme="1"/>
        <rFont val="Calibri"/>
        <family val="2"/>
        <scheme val="minor"/>
      </rPr>
      <t>SNSA</t>
    </r>
    <r>
      <rPr>
        <sz val="11"/>
        <color theme="1"/>
        <rFont val="Calibri"/>
        <family val="2"/>
        <scheme val="minor"/>
      </rPr>
      <t xml:space="preserve"> , R</t>
    </r>
    <r>
      <rPr>
        <sz val="9"/>
        <color theme="1"/>
        <rFont val="Calibri"/>
        <family val="2"/>
        <scheme val="minor"/>
      </rPr>
      <t>DSON</t>
    </r>
    <r>
      <rPr>
        <sz val="11"/>
        <color theme="1"/>
        <rFont val="Calibri"/>
        <family val="2"/>
        <scheme val="minor"/>
      </rPr>
      <t>(TEMP))</t>
    </r>
  </si>
  <si>
    <t>T3</t>
  </si>
  <si>
    <t>T2</t>
  </si>
  <si>
    <t>T1</t>
  </si>
  <si>
    <t>M1</t>
  </si>
  <si>
    <t>M2</t>
  </si>
  <si>
    <t>A/s</t>
  </si>
  <si>
    <r>
      <t>T</t>
    </r>
    <r>
      <rPr>
        <sz val="9"/>
        <color theme="1"/>
        <rFont val="Calibri"/>
        <family val="2"/>
        <scheme val="minor"/>
      </rPr>
      <t>CLOAD</t>
    </r>
  </si>
  <si>
    <r>
      <t>T</t>
    </r>
    <r>
      <rPr>
        <sz val="9"/>
        <color theme="1"/>
        <rFont val="Calibri"/>
        <family val="2"/>
        <scheme val="minor"/>
      </rPr>
      <t>RUN</t>
    </r>
  </si>
  <si>
    <t>LCA Current Limit (clamp)</t>
  </si>
  <si>
    <r>
      <t>Maximum fault time (should be smaller than T</t>
    </r>
    <r>
      <rPr>
        <sz val="9"/>
        <color theme="1"/>
        <rFont val="Calibri"/>
        <family val="2"/>
        <scheme val="minor"/>
      </rPr>
      <t>SOA</t>
    </r>
    <r>
      <rPr>
        <sz val="11"/>
        <color theme="1"/>
        <rFont val="Calibri"/>
        <family val="2"/>
        <scheme val="minor"/>
      </rPr>
      <t>)</t>
    </r>
  </si>
  <si>
    <r>
      <t>V</t>
    </r>
    <r>
      <rPr>
        <sz val="9"/>
        <color theme="1"/>
        <rFont val="Calibri"/>
        <family val="2"/>
        <scheme val="minor"/>
      </rPr>
      <t>UVLO_L</t>
    </r>
  </si>
  <si>
    <r>
      <t>V</t>
    </r>
    <r>
      <rPr>
        <sz val="9"/>
        <color theme="1"/>
        <rFont val="Calibri"/>
        <family val="2"/>
        <scheme val="minor"/>
      </rPr>
      <t>UVLO_L_MAX</t>
    </r>
  </si>
  <si>
    <t>UVLO rising threshold voltage_Min</t>
  </si>
  <si>
    <t>UVLO rising threshold voltage</t>
  </si>
  <si>
    <t>UVLO rising threshold voltage_Max</t>
  </si>
  <si>
    <r>
      <t>V</t>
    </r>
    <r>
      <rPr>
        <sz val="9"/>
        <color theme="1"/>
        <rFont val="Calibri"/>
        <family val="2"/>
        <scheme val="minor"/>
      </rPr>
      <t>UVLO_L_MIN</t>
    </r>
  </si>
  <si>
    <r>
      <t>V</t>
    </r>
    <r>
      <rPr>
        <sz val="9"/>
        <color theme="1"/>
        <rFont val="Calibri"/>
        <family val="2"/>
        <scheme val="minor"/>
      </rPr>
      <t>HYS_MIN</t>
    </r>
  </si>
  <si>
    <t>UVLO hysteresis voltage_Min</t>
  </si>
  <si>
    <r>
      <t>V</t>
    </r>
    <r>
      <rPr>
        <sz val="9"/>
        <color theme="1"/>
        <rFont val="Calibri"/>
        <family val="2"/>
        <scheme val="minor"/>
      </rPr>
      <t>HYS_MAX</t>
    </r>
  </si>
  <si>
    <t>UVLO hysteresis voltage</t>
  </si>
  <si>
    <t>UVLO hysteresis voltage_Max</t>
  </si>
  <si>
    <t>Q1</t>
  </si>
  <si>
    <t>STB120NF10</t>
  </si>
  <si>
    <r>
      <t>Choose Q1 (ST Microelectronics STB120NF10 in the D</t>
    </r>
    <r>
      <rPr>
        <vertAlign val="superscript"/>
        <sz val="11"/>
        <color theme="1"/>
        <rFont val="Calibri"/>
        <family val="2"/>
        <scheme val="minor"/>
      </rPr>
      <t>2</t>
    </r>
    <r>
      <rPr>
        <sz val="11"/>
        <color theme="1"/>
        <rFont val="Calibri"/>
        <family val="2"/>
        <scheme val="minor"/>
      </rPr>
      <t>PAK)</t>
    </r>
  </si>
  <si>
    <r>
      <t>P</t>
    </r>
    <r>
      <rPr>
        <sz val="9"/>
        <color theme="1"/>
        <rFont val="Calibri"/>
        <family val="2"/>
        <scheme val="minor"/>
      </rPr>
      <t>FET</t>
    </r>
    <r>
      <rPr>
        <sz val="11"/>
        <color theme="1"/>
        <rFont val="Calibri"/>
        <family val="2"/>
        <scheme val="minor"/>
      </rPr>
      <t>(I_</t>
    </r>
    <r>
      <rPr>
        <sz val="9"/>
        <color theme="1"/>
        <rFont val="Calibri"/>
        <family val="2"/>
        <scheme val="minor"/>
      </rPr>
      <t>load_38VCC</t>
    </r>
    <r>
      <rPr>
        <sz val="11"/>
        <color theme="1"/>
        <rFont val="Calibri"/>
        <family val="2"/>
        <scheme val="minor"/>
      </rPr>
      <t>, V</t>
    </r>
    <r>
      <rPr>
        <sz val="9"/>
        <color theme="1"/>
        <rFont val="Calibri"/>
        <family val="2"/>
        <scheme val="minor"/>
      </rPr>
      <t>DS</t>
    </r>
    <r>
      <rPr>
        <sz val="11"/>
        <color theme="1"/>
        <rFont val="Calibri"/>
        <family val="2"/>
        <scheme val="minor"/>
      </rPr>
      <t>)</t>
    </r>
  </si>
  <si>
    <r>
      <t>P</t>
    </r>
    <r>
      <rPr>
        <sz val="9"/>
        <color theme="1"/>
        <rFont val="Calibri"/>
        <family val="2"/>
        <scheme val="minor"/>
      </rPr>
      <t>RSNS</t>
    </r>
    <r>
      <rPr>
        <sz val="11"/>
        <color theme="1"/>
        <rFont val="Calibri"/>
        <family val="2"/>
        <scheme val="minor"/>
      </rPr>
      <t>( I</t>
    </r>
    <r>
      <rPr>
        <sz val="9"/>
        <color theme="1"/>
        <rFont val="Calibri"/>
        <family val="2"/>
        <scheme val="minor"/>
      </rPr>
      <t>_load_38VCC</t>
    </r>
    <r>
      <rPr>
        <sz val="11"/>
        <color theme="1"/>
        <rFont val="Calibri"/>
        <family val="2"/>
        <scheme val="minor"/>
      </rPr>
      <t>, R</t>
    </r>
    <r>
      <rPr>
        <sz val="9"/>
        <color theme="1"/>
        <rFont val="Calibri"/>
        <family val="2"/>
        <scheme val="minor"/>
      </rPr>
      <t>SNSA</t>
    </r>
    <r>
      <rPr>
        <sz val="11"/>
        <color theme="1"/>
        <rFont val="Calibri"/>
        <family val="2"/>
        <scheme val="minor"/>
      </rPr>
      <t xml:space="preserve"> )</t>
    </r>
  </si>
  <si>
    <t>mΩ</t>
  </si>
  <si>
    <r>
      <t>Total time to charge C</t>
    </r>
    <r>
      <rPr>
        <sz val="9"/>
        <color theme="1"/>
        <rFont val="Calibri"/>
        <family val="2"/>
        <scheme val="minor"/>
      </rPr>
      <t>LOAD</t>
    </r>
  </si>
  <si>
    <r>
      <t>T</t>
    </r>
    <r>
      <rPr>
        <sz val="9"/>
        <color theme="1"/>
        <rFont val="Calibri"/>
        <family val="2"/>
        <scheme val="minor"/>
      </rPr>
      <t>FC1</t>
    </r>
  </si>
  <si>
    <r>
      <t>T</t>
    </r>
    <r>
      <rPr>
        <sz val="9"/>
        <color theme="1"/>
        <rFont val="Calibri"/>
        <family val="2"/>
        <scheme val="minor"/>
      </rPr>
      <t>FC2</t>
    </r>
  </si>
  <si>
    <r>
      <t>T</t>
    </r>
    <r>
      <rPr>
        <sz val="9"/>
        <color theme="1"/>
        <rFont val="Calibri"/>
        <family val="2"/>
        <scheme val="minor"/>
      </rPr>
      <t>FC3</t>
    </r>
  </si>
  <si>
    <t>Case 2 fault time from MOSFET SOA curve</t>
  </si>
  <si>
    <t>Case 3 fault time from MOSFET SOA curve</t>
  </si>
  <si>
    <t>Choose case 1,2, or 3 fault time from above</t>
  </si>
  <si>
    <r>
      <t>V</t>
    </r>
    <r>
      <rPr>
        <sz val="9"/>
        <color theme="1"/>
        <rFont val="Calibri"/>
        <family val="2"/>
        <scheme val="minor"/>
      </rPr>
      <t>TH_FAST</t>
    </r>
  </si>
  <si>
    <t>System Parameters</t>
  </si>
  <si>
    <r>
      <t>E</t>
    </r>
    <r>
      <rPr>
        <sz val="9"/>
        <color theme="1"/>
        <rFont val="Calibri"/>
        <family val="2"/>
        <scheme val="minor"/>
      </rPr>
      <t>MAX</t>
    </r>
  </si>
  <si>
    <r>
      <t>V</t>
    </r>
    <r>
      <rPr>
        <sz val="9"/>
        <color theme="1"/>
        <rFont val="Calibri"/>
        <family val="2"/>
        <scheme val="minor"/>
      </rPr>
      <t>VCC_MIN</t>
    </r>
  </si>
  <si>
    <r>
      <t>V</t>
    </r>
    <r>
      <rPr>
        <sz val="9"/>
        <color theme="1"/>
        <rFont val="Calibri"/>
        <family val="2"/>
        <scheme val="minor"/>
      </rPr>
      <t>VCC_MAX</t>
    </r>
  </si>
  <si>
    <r>
      <t>Energy required to charge C</t>
    </r>
    <r>
      <rPr>
        <sz val="9"/>
        <color theme="1"/>
        <rFont val="Calibri"/>
        <family val="2"/>
        <scheme val="minor"/>
      </rPr>
      <t>LOAD</t>
    </r>
    <r>
      <rPr>
        <sz val="11"/>
        <color theme="1"/>
        <rFont val="Calibri"/>
        <family val="2"/>
        <scheme val="minor"/>
      </rPr>
      <t xml:space="preserve"> at V</t>
    </r>
    <r>
      <rPr>
        <sz val="9"/>
        <color theme="1"/>
        <rFont val="Calibri"/>
        <family val="2"/>
        <scheme val="minor"/>
      </rPr>
      <t>VCC_MAX</t>
    </r>
  </si>
  <si>
    <t>J</t>
  </si>
  <si>
    <r>
      <t>T</t>
    </r>
    <r>
      <rPr>
        <sz val="9"/>
        <color theme="1"/>
        <rFont val="Calibri"/>
        <family val="2"/>
        <scheme val="minor"/>
      </rPr>
      <t>FLTM_MIN</t>
    </r>
  </si>
  <si>
    <r>
      <t>T</t>
    </r>
    <r>
      <rPr>
        <sz val="9"/>
        <color theme="1"/>
        <rFont val="Calibri"/>
        <family val="2"/>
        <scheme val="minor"/>
      </rPr>
      <t>FLTM_MAX</t>
    </r>
  </si>
  <si>
    <r>
      <t>Average current required to deliver E</t>
    </r>
    <r>
      <rPr>
        <sz val="9"/>
        <color theme="1"/>
        <rFont val="Calibri"/>
        <family val="2"/>
        <scheme val="minor"/>
      </rPr>
      <t>MAX</t>
    </r>
    <r>
      <rPr>
        <sz val="11"/>
        <color theme="1"/>
        <rFont val="Calibri"/>
        <family val="2"/>
        <scheme val="minor"/>
      </rPr>
      <t xml:space="preserve"> to C</t>
    </r>
    <r>
      <rPr>
        <sz val="9"/>
        <color theme="1"/>
        <rFont val="Calibri"/>
        <family val="2"/>
        <scheme val="minor"/>
      </rPr>
      <t>LOAD</t>
    </r>
    <r>
      <rPr>
        <sz val="11"/>
        <color theme="1"/>
        <rFont val="Calibri"/>
        <family val="2"/>
        <scheme val="minor"/>
      </rPr>
      <t xml:space="preserve"> in T</t>
    </r>
    <r>
      <rPr>
        <sz val="9"/>
        <color theme="1"/>
        <rFont val="Calibri"/>
        <family val="2"/>
        <scheme val="minor"/>
      </rPr>
      <t>FLTM_MIN</t>
    </r>
  </si>
  <si>
    <r>
      <t>I</t>
    </r>
    <r>
      <rPr>
        <sz val="9"/>
        <color theme="1"/>
        <rFont val="Calibri"/>
        <family val="2"/>
        <scheme val="minor"/>
      </rPr>
      <t>AVG_MAX</t>
    </r>
  </si>
  <si>
    <r>
      <rPr>
        <sz val="11"/>
        <color theme="1"/>
        <rFont val="Calibri"/>
        <family val="2"/>
      </rPr>
      <t>T2</t>
    </r>
    <r>
      <rPr>
        <sz val="9"/>
        <color theme="1"/>
        <rFont val="Calibri"/>
        <family val="2"/>
      </rPr>
      <t>MAX</t>
    </r>
  </si>
  <si>
    <r>
      <t>T3</t>
    </r>
    <r>
      <rPr>
        <sz val="9"/>
        <color theme="1"/>
        <rFont val="Calibri"/>
        <family val="2"/>
      </rPr>
      <t>MAX</t>
    </r>
  </si>
  <si>
    <r>
      <t>Maximum T3 at V</t>
    </r>
    <r>
      <rPr>
        <sz val="9"/>
        <color theme="1"/>
        <rFont val="Calibri"/>
        <family val="2"/>
        <scheme val="minor"/>
      </rPr>
      <t>REF_K_MIN</t>
    </r>
    <r>
      <rPr>
        <sz val="11"/>
        <color theme="1"/>
        <rFont val="Calibri"/>
        <family val="2"/>
        <scheme val="minor"/>
      </rPr>
      <t xml:space="preserve"> yielding I</t>
    </r>
    <r>
      <rPr>
        <sz val="9"/>
        <color theme="1"/>
        <rFont val="Calibri"/>
        <family val="2"/>
        <scheme val="minor"/>
      </rPr>
      <t>AVG_MAX</t>
    </r>
    <r>
      <rPr>
        <sz val="11"/>
        <color theme="1"/>
        <rFont val="Calibri"/>
        <family val="2"/>
        <scheme val="minor"/>
      </rPr>
      <t xml:space="preserve"> assuming C</t>
    </r>
    <r>
      <rPr>
        <sz val="9"/>
        <color theme="1"/>
        <rFont val="Calibri"/>
        <family val="2"/>
        <scheme val="minor"/>
      </rPr>
      <t>LOAD</t>
    </r>
    <r>
      <rPr>
        <sz val="11"/>
        <color theme="1"/>
        <rFont val="Calibri"/>
        <family val="2"/>
        <scheme val="minor"/>
      </rPr>
      <t xml:space="preserve"> is only charged during  T2 and T3</t>
    </r>
  </si>
  <si>
    <r>
      <t>C</t>
    </r>
    <r>
      <rPr>
        <sz val="9"/>
        <color theme="1"/>
        <rFont val="Calibri"/>
        <family val="2"/>
        <scheme val="minor"/>
      </rPr>
      <t>RMP_MAX</t>
    </r>
  </si>
  <si>
    <r>
      <t>Choose C</t>
    </r>
    <r>
      <rPr>
        <sz val="9"/>
        <color theme="1"/>
        <rFont val="Calibri"/>
        <family val="2"/>
        <scheme val="minor"/>
      </rPr>
      <t>RMP</t>
    </r>
    <r>
      <rPr>
        <sz val="11"/>
        <color theme="1"/>
        <rFont val="Calibri"/>
        <family val="2"/>
        <scheme val="minor"/>
      </rPr>
      <t xml:space="preserve"> &lt; C</t>
    </r>
    <r>
      <rPr>
        <sz val="9"/>
        <color theme="1"/>
        <rFont val="Calibri"/>
        <family val="2"/>
        <scheme val="minor"/>
      </rPr>
      <t>RMP_MAX</t>
    </r>
  </si>
  <si>
    <r>
      <t>Maximum C</t>
    </r>
    <r>
      <rPr>
        <sz val="9"/>
        <color theme="1"/>
        <rFont val="Calibri"/>
        <family val="2"/>
        <scheme val="minor"/>
      </rPr>
      <t>RMP</t>
    </r>
    <r>
      <rPr>
        <sz val="11"/>
        <color theme="1"/>
        <rFont val="Calibri"/>
        <family val="2"/>
        <scheme val="minor"/>
      </rPr>
      <t xml:space="preserve"> with V</t>
    </r>
    <r>
      <rPr>
        <sz val="9"/>
        <color theme="1"/>
        <rFont val="Calibri"/>
        <family val="2"/>
        <scheme val="minor"/>
      </rPr>
      <t>IO_MIN</t>
    </r>
    <r>
      <rPr>
        <sz val="11"/>
        <color theme="1"/>
        <rFont val="Calibri"/>
        <family val="2"/>
        <scheme val="minor"/>
      </rPr>
      <t xml:space="preserve"> yielding T2</t>
    </r>
    <r>
      <rPr>
        <sz val="9"/>
        <color theme="1"/>
        <rFont val="Calibri"/>
        <family val="2"/>
        <scheme val="minor"/>
      </rPr>
      <t>MAX</t>
    </r>
  </si>
  <si>
    <r>
      <t>Fault timer run time (T2+T3). Ensure that T</t>
    </r>
    <r>
      <rPr>
        <sz val="9"/>
        <color theme="1"/>
        <rFont val="Calibri"/>
        <family val="2"/>
        <scheme val="minor"/>
      </rPr>
      <t>RUN</t>
    </r>
    <r>
      <rPr>
        <sz val="11"/>
        <color theme="1"/>
        <rFont val="Calibri"/>
        <family val="2"/>
        <scheme val="minor"/>
      </rPr>
      <t xml:space="preserve"> &lt; T</t>
    </r>
    <r>
      <rPr>
        <sz val="9"/>
        <color theme="1"/>
        <rFont val="Calibri"/>
        <family val="2"/>
        <scheme val="minor"/>
      </rPr>
      <t>FLTM_MIN</t>
    </r>
  </si>
  <si>
    <t>T</t>
  </si>
  <si>
    <t>I</t>
  </si>
  <si>
    <r>
      <t>Time to charge C</t>
    </r>
    <r>
      <rPr>
        <sz val="9"/>
        <color theme="1"/>
        <rFont val="Calibri"/>
        <family val="2"/>
        <scheme val="minor"/>
      </rPr>
      <t>RMP</t>
    </r>
    <r>
      <rPr>
        <sz val="11"/>
        <color theme="1"/>
        <rFont val="Calibri"/>
        <family val="2"/>
        <scheme val="minor"/>
      </rPr>
      <t xml:space="preserve"> to V</t>
    </r>
    <r>
      <rPr>
        <sz val="9"/>
        <color theme="1"/>
        <rFont val="Calibri"/>
        <family val="2"/>
        <scheme val="minor"/>
      </rPr>
      <t>SRC1</t>
    </r>
  </si>
  <si>
    <r>
      <t>Time to charge C</t>
    </r>
    <r>
      <rPr>
        <sz val="9"/>
        <color theme="1"/>
        <rFont val="Calibri"/>
        <family val="2"/>
        <scheme val="minor"/>
      </rPr>
      <t>RMP</t>
    </r>
    <r>
      <rPr>
        <sz val="11"/>
        <color theme="1"/>
        <rFont val="Calibri"/>
        <family val="2"/>
        <scheme val="minor"/>
      </rPr>
      <t xml:space="preserve"> to V</t>
    </r>
    <r>
      <rPr>
        <sz val="9"/>
        <color theme="1"/>
        <rFont val="Calibri"/>
        <family val="2"/>
        <scheme val="minor"/>
      </rPr>
      <t>SRC2</t>
    </r>
    <r>
      <rPr>
        <sz val="11"/>
        <color theme="1"/>
        <rFont val="Calibri"/>
        <family val="2"/>
        <scheme val="minor"/>
      </rPr>
      <t/>
    </r>
  </si>
  <si>
    <t>T1A</t>
  </si>
  <si>
    <t>T2A</t>
  </si>
  <si>
    <t>I2A</t>
  </si>
  <si>
    <t>I1A</t>
  </si>
  <si>
    <t>Ramp 1 threshold voltage</t>
  </si>
  <si>
    <t>Ramp 2 threshold voltage</t>
  </si>
  <si>
    <t>Maximum ramp 2 charging current</t>
  </si>
  <si>
    <t>Nominal ramp 2 charging current</t>
  </si>
  <si>
    <t>Minimum ramp 2 charging current</t>
  </si>
  <si>
    <t>Maximum ramp 1 charging current</t>
  </si>
  <si>
    <t>Nominal ramp 1 charging current</t>
  </si>
  <si>
    <t>Ramp 2 voltage change</t>
  </si>
  <si>
    <t>Typical inrush current slew rate during ramp 1</t>
  </si>
  <si>
    <t>Typical inrush current slew rate during ramp 2</t>
  </si>
  <si>
    <t>Output voltage change during ramp 1</t>
  </si>
  <si>
    <r>
      <t>Output voltage change during ramp 2 (may not reach I</t>
    </r>
    <r>
      <rPr>
        <sz val="9"/>
        <color theme="1"/>
        <rFont val="Calibri"/>
        <family val="2"/>
        <scheme val="minor"/>
      </rPr>
      <t>LIMA</t>
    </r>
    <r>
      <rPr>
        <sz val="11"/>
        <color theme="1"/>
        <rFont val="Calibri"/>
        <family val="2"/>
        <scheme val="minor"/>
      </rPr>
      <t xml:space="preserve"> for large C</t>
    </r>
    <r>
      <rPr>
        <sz val="9"/>
        <color theme="1"/>
        <rFont val="Calibri"/>
        <family val="2"/>
        <scheme val="minor"/>
      </rPr>
      <t>RMP</t>
    </r>
    <r>
      <rPr>
        <sz val="11"/>
        <color theme="1"/>
        <rFont val="Calibri"/>
        <family val="2"/>
        <scheme val="minor"/>
      </rPr>
      <t>)</t>
    </r>
  </si>
  <si>
    <r>
      <t>Time to charge C</t>
    </r>
    <r>
      <rPr>
        <sz val="9"/>
        <color theme="1"/>
        <rFont val="Calibri"/>
        <family val="2"/>
        <scheme val="minor"/>
      </rPr>
      <t>LOAD</t>
    </r>
    <r>
      <rPr>
        <sz val="11"/>
        <color theme="1"/>
        <rFont val="Calibri"/>
        <family val="2"/>
        <scheme val="minor"/>
      </rPr>
      <t xml:space="preserve"> to DV1A with M1</t>
    </r>
  </si>
  <si>
    <r>
      <t>Time to charge C</t>
    </r>
    <r>
      <rPr>
        <sz val="9"/>
        <color theme="1"/>
        <rFont val="Calibri"/>
        <family val="2"/>
        <scheme val="minor"/>
      </rPr>
      <t>LOAD</t>
    </r>
    <r>
      <rPr>
        <sz val="11"/>
        <color theme="1"/>
        <rFont val="Calibri"/>
        <family val="2"/>
        <scheme val="minor"/>
      </rPr>
      <t xml:space="preserve"> to DV2A with M2</t>
    </r>
  </si>
  <si>
    <t>Inrush current at the end of ramp 1</t>
  </si>
  <si>
    <t>Inrush current at the end of ramp 2</t>
  </si>
  <si>
    <r>
      <t>Remaining output voltage change required to charge C</t>
    </r>
    <r>
      <rPr>
        <sz val="9"/>
        <color theme="1"/>
        <rFont val="Calibri"/>
        <family val="2"/>
        <scheme val="minor"/>
      </rPr>
      <t>LOAD</t>
    </r>
    <r>
      <rPr>
        <sz val="11"/>
        <color theme="1"/>
        <rFont val="Calibri"/>
        <family val="2"/>
        <scheme val="minor"/>
      </rPr>
      <t xml:space="preserve"> at I</t>
    </r>
    <r>
      <rPr>
        <sz val="9"/>
        <color theme="1"/>
        <rFont val="Calibri"/>
        <family val="2"/>
        <scheme val="minor"/>
      </rPr>
      <t>LIMA</t>
    </r>
    <r>
      <rPr>
        <sz val="11"/>
        <color theme="1"/>
        <rFont val="Calibri"/>
        <family val="2"/>
        <scheme val="minor"/>
      </rPr>
      <t xml:space="preserve"> (may be zero)</t>
    </r>
  </si>
  <si>
    <r>
      <t>Remaining time to charge C</t>
    </r>
    <r>
      <rPr>
        <sz val="9"/>
        <color theme="1"/>
        <rFont val="Calibri"/>
        <family val="2"/>
        <scheme val="minor"/>
      </rPr>
      <t>LOAD</t>
    </r>
    <r>
      <rPr>
        <sz val="11"/>
        <color theme="1"/>
        <rFont val="Calibri"/>
        <family val="2"/>
        <scheme val="minor"/>
      </rPr>
      <t xml:space="preserve"> at I</t>
    </r>
    <r>
      <rPr>
        <sz val="9"/>
        <color theme="1"/>
        <rFont val="Calibri"/>
        <family val="2"/>
        <scheme val="minor"/>
      </rPr>
      <t>LIMA</t>
    </r>
    <r>
      <rPr>
        <sz val="11"/>
        <color theme="1"/>
        <rFont val="Calibri"/>
        <family val="2"/>
        <scheme val="minor"/>
      </rPr>
      <t xml:space="preserve"> (may be zero)</t>
    </r>
  </si>
  <si>
    <t>V2A</t>
  </si>
  <si>
    <t>V3A</t>
  </si>
  <si>
    <t>V1A</t>
  </si>
  <si>
    <r>
      <t>V1A</t>
    </r>
    <r>
      <rPr>
        <sz val="9"/>
        <color theme="1"/>
        <rFont val="Calibri"/>
        <family val="2"/>
        <scheme val="minor"/>
      </rPr>
      <t>VIO</t>
    </r>
  </si>
  <si>
    <r>
      <t>V2A</t>
    </r>
    <r>
      <rPr>
        <sz val="9"/>
        <color theme="1"/>
        <rFont val="Calibri"/>
        <family val="2"/>
        <scheme val="minor"/>
      </rPr>
      <t>VIO</t>
    </r>
  </si>
  <si>
    <r>
      <t>V3A</t>
    </r>
    <r>
      <rPr>
        <sz val="9"/>
        <color theme="1"/>
        <rFont val="Calibri"/>
        <family val="2"/>
        <scheme val="minor"/>
      </rPr>
      <t>VIO</t>
    </r>
  </si>
  <si>
    <r>
      <t>T2A</t>
    </r>
    <r>
      <rPr>
        <sz val="9"/>
        <color theme="1"/>
        <rFont val="Calibri"/>
        <family val="2"/>
        <scheme val="minor"/>
      </rPr>
      <t>VIO</t>
    </r>
  </si>
  <si>
    <r>
      <t>TV3A</t>
    </r>
    <r>
      <rPr>
        <sz val="9"/>
        <color theme="1"/>
        <rFont val="Calibri"/>
        <family val="2"/>
        <scheme val="minor"/>
      </rPr>
      <t>VIO</t>
    </r>
  </si>
  <si>
    <r>
      <t>V</t>
    </r>
    <r>
      <rPr>
        <sz val="9"/>
        <color theme="1"/>
        <rFont val="Calibri"/>
        <family val="2"/>
        <scheme val="minor"/>
      </rPr>
      <t>VCC</t>
    </r>
    <r>
      <rPr>
        <sz val="11"/>
        <color theme="1"/>
        <rFont val="Calibri"/>
        <family val="2"/>
        <scheme val="minor"/>
      </rPr>
      <t>-Check 1</t>
    </r>
  </si>
  <si>
    <r>
      <t>Check final values using maximum V</t>
    </r>
    <r>
      <rPr>
        <sz val="9"/>
        <color theme="1"/>
        <rFont val="Calibri"/>
        <family val="2"/>
        <scheme val="minor"/>
      </rPr>
      <t>VCC</t>
    </r>
  </si>
  <si>
    <r>
      <t>T2A</t>
    </r>
    <r>
      <rPr>
        <sz val="9"/>
        <color theme="1"/>
        <rFont val="Calibri"/>
        <family val="2"/>
        <scheme val="minor"/>
      </rPr>
      <t>MAX_VIO</t>
    </r>
  </si>
  <si>
    <r>
      <t>Re-check T2A at C</t>
    </r>
    <r>
      <rPr>
        <sz val="9"/>
        <color theme="1"/>
        <rFont val="Calibri"/>
        <family val="2"/>
        <scheme val="minor"/>
      </rPr>
      <t>LOAD</t>
    </r>
    <r>
      <rPr>
        <sz val="11"/>
        <color theme="1"/>
        <rFont val="Calibri"/>
        <family val="2"/>
        <scheme val="minor"/>
      </rPr>
      <t xml:space="preserve"> (may be lower than T2A</t>
    </r>
    <r>
      <rPr>
        <sz val="9"/>
        <color theme="1"/>
        <rFont val="Calibri"/>
        <family val="2"/>
        <scheme val="minor"/>
      </rPr>
      <t>MAX_VIO</t>
    </r>
    <r>
      <rPr>
        <sz val="11"/>
        <color theme="1"/>
        <rFont val="Calibri"/>
        <family val="2"/>
        <scheme val="minor"/>
      </rPr>
      <t xml:space="preserve"> if no T3 is required)</t>
    </r>
  </si>
  <si>
    <t>T3A accounting for minimum offset and clamp</t>
  </si>
  <si>
    <r>
      <t>Maximum T2A with C</t>
    </r>
    <r>
      <rPr>
        <sz val="9"/>
        <color theme="1"/>
        <rFont val="Calibri"/>
        <family val="2"/>
        <scheme val="minor"/>
      </rPr>
      <t>RMP</t>
    </r>
    <r>
      <rPr>
        <sz val="11"/>
        <color theme="1"/>
        <rFont val="Calibri"/>
        <family val="2"/>
        <scheme val="minor"/>
      </rPr>
      <t xml:space="preserve"> accounting for minimum offset and clamp</t>
    </r>
  </si>
  <si>
    <t>Output ramp time: Typical circuit parameters</t>
  </si>
  <si>
    <t>Output ramp time: Minimum LCA offset, minimum clamp, maximum Vvcc.</t>
  </si>
  <si>
    <t>Output ramp time: Minimum LCA offset, minimum clamp, nominal Vvcc.</t>
  </si>
  <si>
    <t>MOSFET SOA derating at maximum operating junction temperature.</t>
  </si>
  <si>
    <t>Safe power required at 25C to survive case 1 system fault</t>
  </si>
  <si>
    <t>Safe current required at 25C to survive case 1 system fault</t>
  </si>
  <si>
    <t>Safe power required at 25C to survive case 2 system fault</t>
  </si>
  <si>
    <t>Safe current required at 25C to survive case 2 system fault</t>
  </si>
  <si>
    <t>Safe power required at 25C to survive case 3 system fault</t>
  </si>
  <si>
    <t>Safe current required at 25C to survive case 3 system fault</t>
  </si>
  <si>
    <t>Hot output short at nominal Vcc, Ilima and elevated TJ (Medium stress fault)</t>
  </si>
  <si>
    <r>
      <t>Hot output short at V</t>
    </r>
    <r>
      <rPr>
        <sz val="9"/>
        <color theme="1"/>
        <rFont val="Calibri"/>
        <family val="2"/>
        <scheme val="minor"/>
      </rPr>
      <t>VCC_MAX</t>
    </r>
    <r>
      <rPr>
        <sz val="11"/>
        <color theme="1"/>
        <rFont val="Calibri"/>
        <family val="2"/>
        <scheme val="minor"/>
      </rPr>
      <t>, ILIM1, and elevated TJ (High stress fault)</t>
    </r>
  </si>
  <si>
    <t>Start up into short at nominal Vcc and maximum Ta (Ta=Tj) (Stressed fault)</t>
  </si>
  <si>
    <r>
      <t xml:space="preserve">Choose fault time capacitor </t>
    </r>
    <r>
      <rPr>
        <sz val="11"/>
        <color theme="1"/>
        <rFont val="Symbol"/>
        <family val="1"/>
        <charset val="2"/>
      </rPr>
      <t>»</t>
    </r>
    <r>
      <rPr>
        <sz val="11"/>
        <color theme="1"/>
        <rFont val="Calibri"/>
        <family val="2"/>
        <scheme val="minor"/>
      </rPr>
      <t xml:space="preserve"> C</t>
    </r>
    <r>
      <rPr>
        <sz val="9"/>
        <color theme="1"/>
        <rFont val="Calibri"/>
        <family val="2"/>
        <scheme val="minor"/>
      </rPr>
      <t>FLTM(TSOA, 0.1)</t>
    </r>
  </si>
  <si>
    <r>
      <t>MOSFET second pass elevated junction temperature using R</t>
    </r>
    <r>
      <rPr>
        <sz val="9"/>
        <color theme="1"/>
        <rFont val="Calibri"/>
        <family val="2"/>
        <scheme val="minor"/>
      </rPr>
      <t>DSON</t>
    </r>
    <r>
      <rPr>
        <sz val="11"/>
        <color theme="1"/>
        <rFont val="Calibri"/>
        <family val="2"/>
        <scheme val="minor"/>
      </rPr>
      <t>(TEMP)</t>
    </r>
  </si>
  <si>
    <t>Typical design procedure</t>
  </si>
  <si>
    <t>Robust Hot Swap Design</t>
  </si>
  <si>
    <t>2. Select current limit parameters.</t>
  </si>
  <si>
    <t>Notes</t>
  </si>
  <si>
    <t>1. This worksheet is designed for use with Microsoft Excel 5.0 or later.  Its use is intended to assist power supply designers in their</t>
  </si>
  <si>
    <t xml:space="preserve">routine, day-to-day calculations.  </t>
  </si>
  <si>
    <t>2. All worksheets have light green inputs cells, white calculated cells, yellow warning cells and red high-risk cells.</t>
  </si>
  <si>
    <t>3. Formulas and device constants used in the spreadsheet are locked to prohibit them from accidentally being overwritten or deleted.</t>
  </si>
  <si>
    <t xml:space="preserve">TEXAS INSTRUMENTS TEXT FILE LICENSE
Copyright (c) 2014 Texas Instruments Incorporated
All rights reserved not granted herein.
Limited License.  
Texas Instruments Incorporated grants a world-wide, royalty-free, non-exclusive license under copyrights and patents it now or hereafter owns or controls to make, have made, use, import, offer to sell and sell ("Utilize") this software subject to the terms herein.  With respect to the foregoing patent license, such license is granted  solely to the extent that any such patent is necessary to Utilize the software alone.  The patent license shall not apply to any combinations which include this software, other than combinations with devices manufactured by or for TI (“TI Devices”).  No hardware patent is licensed hereunder.
Redistributions must preserve existing copyright notices and reproduce this license (including the above copyright notice and the disclaimer and (if applicable) source code license limitations below) in the documentation and/or other materials provided with the distribution
Redistribution and use in binary form, without modification, are permitted provided that the following conditions are met:
* No reverse engineering, decompilation, or disassembly of this software is permitted with respect to any software provided in binary form.
* any redistribution and use are licensed by TI for use only with TI Devices.
* Nothing shall obligate TI to provide you with source code for the software licensed and provided to you in object code.
If software source code is provided to you, modification and redistribution of the source code are permitted provided that the following conditions are met:
* any redistribution and use of the source code, including any resulting derivative works, are licensed by TI for use only with TI Devices.
* any redistribution and use of any object code compiled from the source code and any resulting derivative works, are licensed by TI for use only with TI Devices.
Neither the name of Texas Instruments Incorporated nor the names of its suppliers may be used to endorse or promote products derived from this software without specific prior written permission.
DISCLAIMER.
THIS SOFTWARE IS PROVIDED BY TI AND TI’S LICENSORS "AS IS" AND ANY EXPRESS OR IMPLIED WARRANTIES, INCLUDING, BUT NOT LIMITED TO, THE IMPLIED WARRANTIES OF MERCHANTABILITY AND FITNESS FOR A PARTICULAR PURPOSE ARE DISCLAIMED. IN NO EVENT SHALL TI AND TI’S LICENSORS BE LIABLE FOR ANY DIRECT, INDIRECT, INCIDENTAL, SPECIAL, EXEMPLARY, OR CONSEQUENTIAL DAMAGES (INCLUDING, BUT NOT LIMITED TO, PROCUREMENT OF SUBSTITUTE GOODS OR SERVICES; LOSS OF USE, DATA, OR PROFITS; OR BUSINESS INTERRUPTION) HOWEVER CAUSED AND ON ANY THEORY OF LIABILITY, WHETHER IN CONTRACT, STRICT LIABILITY, OR TORT (INCLUDING NEGLIGENCE OR OTHERWISE) ARISING IN ANY WAY OUT OF THE USE OF THIS SOFTWARE, EVEN IF ADVISED OF THE POSSIBILITY OF SUCH DAMAGE.
</t>
  </si>
  <si>
    <t>© 2015</t>
  </si>
  <si>
    <t>Design Calculator Tool - Rev A</t>
  </si>
  <si>
    <r>
      <t xml:space="preserve">User entries which exceed the safe design capabilities of this device will cause selected value cells to turn </t>
    </r>
    <r>
      <rPr>
        <b/>
        <sz val="11"/>
        <color rgb="FFFF0000"/>
        <rFont val="Calibri"/>
        <family val="2"/>
        <scheme val="minor"/>
      </rPr>
      <t>RED</t>
    </r>
    <r>
      <rPr>
        <b/>
        <sz val="11"/>
        <color theme="1"/>
        <rFont val="Calibri"/>
        <family val="2"/>
        <scheme val="minor"/>
      </rPr>
      <t xml:space="preserve"> as a warning.</t>
    </r>
  </si>
  <si>
    <r>
      <t>Maximum sense resistor at V</t>
    </r>
    <r>
      <rPr>
        <sz val="9"/>
        <color theme="1"/>
        <rFont val="Calibri"/>
        <family val="2"/>
        <scheme val="minor"/>
      </rPr>
      <t>REF_K_MIN</t>
    </r>
    <r>
      <rPr>
        <sz val="11"/>
        <color theme="1"/>
        <rFont val="Calibri"/>
        <family val="2"/>
        <scheme val="minor"/>
      </rPr>
      <t xml:space="preserve"> and V</t>
    </r>
    <r>
      <rPr>
        <sz val="9"/>
        <color theme="1"/>
        <rFont val="Calibri"/>
        <family val="2"/>
        <scheme val="minor"/>
      </rPr>
      <t>VCC_MIN</t>
    </r>
  </si>
  <si>
    <r>
      <t>Select R1 (R</t>
    </r>
    <r>
      <rPr>
        <b/>
        <i/>
        <sz val="9"/>
        <color theme="1"/>
        <rFont val="Calibri"/>
        <family val="2"/>
        <scheme val="minor"/>
      </rPr>
      <t>SNSA</t>
    </r>
    <r>
      <rPr>
        <b/>
        <i/>
        <sz val="11"/>
        <color theme="1"/>
        <rFont val="Calibri"/>
        <family val="2"/>
        <scheme val="minor"/>
      </rPr>
      <t>)</t>
    </r>
  </si>
  <si>
    <r>
      <t>Choose R</t>
    </r>
    <r>
      <rPr>
        <sz val="9"/>
        <color theme="1"/>
        <rFont val="Calibri"/>
        <family val="2"/>
        <scheme val="minor"/>
      </rPr>
      <t>SNSA</t>
    </r>
    <r>
      <rPr>
        <sz val="11"/>
        <color theme="1"/>
        <rFont val="Calibri"/>
        <family val="2"/>
        <scheme val="minor"/>
      </rPr>
      <t xml:space="preserve"> &lt; R</t>
    </r>
    <r>
      <rPr>
        <sz val="9"/>
        <color theme="1"/>
        <rFont val="Calibri"/>
        <family val="2"/>
        <scheme val="minor"/>
      </rPr>
      <t>SNS</t>
    </r>
  </si>
  <si>
    <t>Minimum LCA offset</t>
  </si>
  <si>
    <t>Maximum LCA offset</t>
  </si>
  <si>
    <t>This device parameter affects the current limit accuracy.</t>
  </si>
  <si>
    <t>This device parameter affects the ramp characteristic.</t>
  </si>
  <si>
    <r>
      <t>Maximum programmed current limit using R</t>
    </r>
    <r>
      <rPr>
        <sz val="9"/>
        <color theme="1"/>
        <rFont val="Calibri"/>
        <family val="2"/>
        <scheme val="minor"/>
      </rPr>
      <t>SNSA</t>
    </r>
  </si>
  <si>
    <r>
      <t>Nominal programmed current limit using R</t>
    </r>
    <r>
      <rPr>
        <sz val="9"/>
        <color theme="1"/>
        <rFont val="Calibri"/>
        <family val="2"/>
        <scheme val="minor"/>
      </rPr>
      <t>SNSA</t>
    </r>
  </si>
  <si>
    <r>
      <t>Minimum programmed current limit using R</t>
    </r>
    <r>
      <rPr>
        <sz val="9"/>
        <color theme="1"/>
        <rFont val="Calibri"/>
        <family val="2"/>
        <scheme val="minor"/>
      </rPr>
      <t>SNSA</t>
    </r>
  </si>
  <si>
    <r>
      <t>Maximum power dissipation in R</t>
    </r>
    <r>
      <rPr>
        <sz val="9"/>
        <color theme="1"/>
        <rFont val="Calibri"/>
        <family val="2"/>
        <scheme val="minor"/>
      </rPr>
      <t>SNSA</t>
    </r>
  </si>
  <si>
    <t>Maximum system ambient operating temperature (near MOSFET)</t>
  </si>
  <si>
    <r>
      <t>Estimated MOSFET R</t>
    </r>
    <r>
      <rPr>
        <sz val="9"/>
        <color theme="1"/>
        <rFont val="Calibri"/>
        <family val="2"/>
        <scheme val="minor"/>
      </rPr>
      <t>DSON</t>
    </r>
    <r>
      <rPr>
        <sz val="11"/>
        <color theme="1"/>
        <rFont val="Calibri"/>
        <family val="2"/>
        <scheme val="minor"/>
      </rPr>
      <t xml:space="preserve"> in order to keep the junction temperature ~50C below maximum Tj when the system is at maximum ambient operating temperature</t>
    </r>
  </si>
  <si>
    <r>
      <t>MOSFET maximum R</t>
    </r>
    <r>
      <rPr>
        <sz val="9"/>
        <color theme="1"/>
        <rFont val="Calibri"/>
        <family val="2"/>
        <scheme val="minor"/>
      </rPr>
      <t>DSON</t>
    </r>
    <r>
      <rPr>
        <sz val="11"/>
        <color theme="1"/>
        <rFont val="Calibri"/>
        <family val="2"/>
        <scheme val="minor"/>
      </rPr>
      <t xml:space="preserve"> at 25C</t>
    </r>
  </si>
  <si>
    <r>
      <t>Per FET C</t>
    </r>
    <r>
      <rPr>
        <sz val="9"/>
        <color theme="1"/>
        <rFont val="Calibri"/>
        <family val="2"/>
        <scheme val="minor"/>
      </rPr>
      <t>ISS</t>
    </r>
    <r>
      <rPr>
        <sz val="11"/>
        <color theme="1"/>
        <rFont val="Calibri"/>
        <family val="2"/>
        <scheme val="minor"/>
      </rPr>
      <t xml:space="preserve"> (&lt; 10nF / NFET)</t>
    </r>
  </si>
  <si>
    <t>Estimated sharing between parallel FETS (=1 with one FET)</t>
  </si>
  <si>
    <r>
      <t>MOSFET R</t>
    </r>
    <r>
      <rPr>
        <sz val="9"/>
        <color theme="1"/>
        <rFont val="Calibri"/>
        <family val="2"/>
        <scheme val="minor"/>
      </rPr>
      <t>DSON</t>
    </r>
    <r>
      <rPr>
        <sz val="11"/>
        <color theme="1"/>
        <rFont val="Calibri"/>
        <family val="2"/>
        <scheme val="minor"/>
      </rPr>
      <t xml:space="preserve"> scale factor at 125C</t>
    </r>
  </si>
  <si>
    <r>
      <t>SF</t>
    </r>
    <r>
      <rPr>
        <sz val="9"/>
        <color theme="1"/>
        <rFont val="Calibri"/>
        <family val="2"/>
        <scheme val="minor"/>
      </rPr>
      <t>125</t>
    </r>
  </si>
  <si>
    <r>
      <t>MOSFET elevated junction temperature using SF</t>
    </r>
    <r>
      <rPr>
        <sz val="9"/>
        <color theme="1"/>
        <rFont val="Calibri"/>
        <family val="2"/>
        <scheme val="minor"/>
      </rPr>
      <t>125</t>
    </r>
  </si>
  <si>
    <r>
      <t>MOSFET maximum R</t>
    </r>
    <r>
      <rPr>
        <sz val="9"/>
        <color theme="1"/>
        <rFont val="Calibri"/>
        <family val="2"/>
        <scheme val="minor"/>
      </rPr>
      <t>DSON</t>
    </r>
    <r>
      <rPr>
        <sz val="11"/>
        <color theme="1"/>
        <rFont val="Calibri"/>
        <family val="2"/>
        <scheme val="minor"/>
      </rPr>
      <t xml:space="preserve"> at elevated junction temperature</t>
    </r>
  </si>
  <si>
    <t>Choose the MOSFET based on maximum system load, operating temperature and MOSFET junction temperature.</t>
  </si>
  <si>
    <t>Derate the MOSFET SOA for elevated operating temperature. The derating factor is paired with the system level fault case to determine the safe time limit for which the MOSFET is subjected to the fault case level. This safe time is used to program the fault timer.</t>
  </si>
  <si>
    <t>Choose the system level fault case time and use this to program the fault timer. The minimum fault time will be used to size the IRAMP capacitor.</t>
  </si>
  <si>
    <r>
      <t>P</t>
    </r>
    <r>
      <rPr>
        <sz val="9"/>
        <color theme="1"/>
        <rFont val="Calibri"/>
        <family val="2"/>
        <scheme val="minor"/>
      </rPr>
      <t>OUT</t>
    </r>
  </si>
  <si>
    <r>
      <t>V</t>
    </r>
    <r>
      <rPr>
        <sz val="9"/>
        <color theme="1"/>
        <rFont val="Calibri"/>
        <family val="2"/>
        <scheme val="minor"/>
      </rPr>
      <t>OUT</t>
    </r>
  </si>
  <si>
    <t>IRAMP capacitor</t>
  </si>
  <si>
    <r>
      <t>During V</t>
    </r>
    <r>
      <rPr>
        <sz val="9"/>
        <color theme="1"/>
        <rFont val="Calibri"/>
        <family val="2"/>
        <scheme val="minor"/>
      </rPr>
      <t>OUT</t>
    </r>
    <r>
      <rPr>
        <sz val="11"/>
        <color theme="1"/>
        <rFont val="Calibri"/>
        <family val="2"/>
        <scheme val="minor"/>
      </rPr>
      <t xml:space="preserve"> ramp, the IRAMP capacitor (C</t>
    </r>
    <r>
      <rPr>
        <sz val="9"/>
        <color theme="1"/>
        <rFont val="Calibri"/>
        <family val="2"/>
        <scheme val="minor"/>
      </rPr>
      <t>RMP</t>
    </r>
    <r>
      <rPr>
        <sz val="11"/>
        <color theme="1"/>
        <rFont val="Calibri"/>
        <family val="2"/>
        <scheme val="minor"/>
      </rPr>
      <t>) programs a dual slope inrush current profile. T1 and T2 ramp times are managed by C</t>
    </r>
    <r>
      <rPr>
        <sz val="9"/>
        <color theme="1"/>
        <rFont val="Calibri"/>
        <family val="2"/>
        <scheme val="minor"/>
      </rPr>
      <t>RMP</t>
    </r>
    <r>
      <rPr>
        <sz val="11"/>
        <color theme="1"/>
        <rFont val="Calibri"/>
        <family val="2"/>
        <scheme val="minor"/>
      </rPr>
      <t xml:space="preserve"> and the final charge time, T3 occurs at a constant rate. C</t>
    </r>
    <r>
      <rPr>
        <sz val="9"/>
        <color theme="1"/>
        <rFont val="Calibri"/>
        <family val="2"/>
        <scheme val="minor"/>
      </rPr>
      <t>RMP</t>
    </r>
    <r>
      <rPr>
        <sz val="11"/>
        <color theme="1"/>
        <rFont val="Calibri"/>
        <family val="2"/>
        <scheme val="minor"/>
      </rPr>
      <t xml:space="preserve"> is chosen so that T2 + T3 &lt; T</t>
    </r>
    <r>
      <rPr>
        <sz val="9"/>
        <color theme="1"/>
        <rFont val="Calibri"/>
        <family val="2"/>
        <scheme val="minor"/>
      </rPr>
      <t>FLTM_MIN</t>
    </r>
    <r>
      <rPr>
        <sz val="11"/>
        <color theme="1"/>
        <rFont val="Calibri"/>
        <family val="2"/>
        <scheme val="minor"/>
      </rPr>
      <t>. Maximum T2 + T3 condition occurs at  V</t>
    </r>
    <r>
      <rPr>
        <sz val="9"/>
        <color theme="1"/>
        <rFont val="Calibri"/>
        <family val="2"/>
        <scheme val="minor"/>
      </rPr>
      <t>IO_MIN</t>
    </r>
    <r>
      <rPr>
        <sz val="11"/>
        <color theme="1"/>
        <rFont val="Calibri"/>
        <family val="2"/>
        <scheme val="minor"/>
      </rPr>
      <t>, V</t>
    </r>
    <r>
      <rPr>
        <sz val="9"/>
        <color theme="1"/>
        <rFont val="Calibri"/>
        <family val="2"/>
        <scheme val="minor"/>
      </rPr>
      <t>REF_K_MIN</t>
    </r>
    <r>
      <rPr>
        <sz val="11"/>
        <color theme="1"/>
        <rFont val="Calibri"/>
        <family val="2"/>
        <scheme val="minor"/>
      </rPr>
      <t>, and V</t>
    </r>
    <r>
      <rPr>
        <sz val="9"/>
        <color theme="1"/>
        <rFont val="Calibri"/>
        <family val="2"/>
        <scheme val="minor"/>
      </rPr>
      <t>VCC_MAX</t>
    </r>
    <r>
      <rPr>
        <sz val="11"/>
        <color theme="1"/>
        <rFont val="Calibri"/>
        <family val="2"/>
        <scheme val="minor"/>
      </rPr>
      <t xml:space="preserve"> and C</t>
    </r>
    <r>
      <rPr>
        <sz val="9"/>
        <color theme="1"/>
        <rFont val="Calibri"/>
        <family val="2"/>
        <scheme val="minor"/>
      </rPr>
      <t>RMP</t>
    </r>
    <r>
      <rPr>
        <sz val="11"/>
        <color theme="1"/>
        <rFont val="Calibri"/>
        <family val="2"/>
        <scheme val="minor"/>
      </rPr>
      <t xml:space="preserve"> is selected to charge C</t>
    </r>
    <r>
      <rPr>
        <sz val="9"/>
        <color theme="1"/>
        <rFont val="Calibri"/>
        <family val="2"/>
        <scheme val="minor"/>
      </rPr>
      <t>LOAD</t>
    </r>
    <r>
      <rPr>
        <sz val="11"/>
        <color theme="1"/>
        <rFont val="Calibri"/>
        <family val="2"/>
        <scheme val="minor"/>
      </rPr>
      <t xml:space="preserve"> under these conditions.</t>
    </r>
  </si>
  <si>
    <r>
      <t>The output charge current follows two linear slopes set by C</t>
    </r>
    <r>
      <rPr>
        <sz val="9"/>
        <color theme="1"/>
        <rFont val="Calibri"/>
        <family val="2"/>
        <scheme val="minor"/>
      </rPr>
      <t>RMP</t>
    </r>
    <r>
      <rPr>
        <sz val="11"/>
        <color theme="1"/>
        <rFont val="Calibri"/>
        <family val="2"/>
        <scheme val="minor"/>
      </rPr>
      <t>, with the remaining charge current furnished at a constant rate. Three discrete times are calculated with the total being the overall output charge time.</t>
    </r>
  </si>
  <si>
    <t>Used to determine when the TPS2390/1 will turn on.</t>
  </si>
  <si>
    <t>Useful for system level efficiency analysis.</t>
  </si>
  <si>
    <t>UVLO turn on threshold</t>
  </si>
  <si>
    <t>Enter system level requirements.</t>
  </si>
  <si>
    <t>Choose the current limit sense resistor.</t>
  </si>
  <si>
    <t>1. Enter system level operating conditions.</t>
  </si>
  <si>
    <t>3. Choose appropriate MOSFET based on Rdson and SOA characteristics .</t>
  </si>
  <si>
    <t>4. Choose system fault case. Bound fault time based on MOSFET SOA curve derated for temperature.</t>
  </si>
  <si>
    <t>5. Select FLTTIM capacitor and use this to size IRAMP capacitor based on energy required to charge the output capacitor.</t>
  </si>
  <si>
    <t>6. Double-check final design.</t>
  </si>
  <si>
    <t>7. Done</t>
  </si>
  <si>
    <t>Typical applications require multiple passes through the design tool using MOSFET factors such as safe operating area curves. Refer to the following application reports for more detail.</t>
  </si>
  <si>
    <t>TPS2390/1 Overview</t>
  </si>
  <si>
    <t xml:space="preserve">For applications requiring quality inrush control and MOSFET SOA protection under high load conditions, use LM5067-1 or LM5067-2 with MOSFET SOA protection. </t>
  </si>
  <si>
    <t>charge</t>
  </si>
  <si>
    <t>mC</t>
  </si>
  <si>
    <t>iavgmax</t>
  </si>
  <si>
    <t>Tchg,Ilim</t>
  </si>
  <si>
    <t>&lt;= Time to charge in straign ILIM</t>
  </si>
  <si>
    <t>max T2</t>
  </si>
  <si>
    <t>&lt;= Cap at T = Flt, time (not sure if equation works otherwise)</t>
  </si>
  <si>
    <t>&lt;= if Iavg, max &gt; Ilim, min design not possible</t>
  </si>
  <si>
    <t xml:space="preserve">Case 1 fault time from MOSFET SOA curve </t>
  </si>
  <si>
    <t>POUT</t>
  </si>
  <si>
    <t>VOUT</t>
  </si>
  <si>
    <t>VVCC_MIN</t>
  </si>
  <si>
    <t>VVCC_MAX</t>
  </si>
  <si>
    <t>CLOAD</t>
  </si>
  <si>
    <t>CLOAD_TOL</t>
  </si>
  <si>
    <t>Select R1 (RSNSA)</t>
  </si>
  <si>
    <t>RSNS</t>
  </si>
  <si>
    <t>Maximum sense resistor at VREF_K_MIN and VVCC_MIN</t>
  </si>
  <si>
    <t>RSNSA</t>
  </si>
  <si>
    <t>Choose RSNSA &lt; RSNS</t>
  </si>
  <si>
    <t>PRSNSA</t>
  </si>
  <si>
    <t>Maximum power dissipation in RSNSA</t>
  </si>
  <si>
    <t>ILIMA(VREF_K_MIN, RSNSA)</t>
  </si>
  <si>
    <t>Minimum programmed current limit using RSNSA</t>
  </si>
  <si>
    <t>ILIMA(VREF_K, RSNSA)</t>
  </si>
  <si>
    <t>Nominal programmed current limit using RSNSA</t>
  </si>
  <si>
    <t>ILIMA(VREF_K_MAX, RSNSA)</t>
  </si>
  <si>
    <t>Maximum programmed current limit using RSNSA</t>
  </si>
  <si>
    <t>TJMAX</t>
  </si>
  <si>
    <t>TAMAX</t>
  </si>
  <si>
    <t>RθJAMAX</t>
  </si>
  <si>
    <t>RDSON</t>
  </si>
  <si>
    <t>Estimated MOSFET RDSON in order to keep the junction temperature ~50C below maximum Tj when the system is at maximum ambient operating temperature</t>
  </si>
  <si>
    <t>Choose Q1 (ST Microelectronics STB120NF10 in the D2PAK)</t>
  </si>
  <si>
    <t>RDSON25MAX</t>
  </si>
  <si>
    <t>MOSFET maximum RDSON at 25C</t>
  </si>
  <si>
    <t>NFET</t>
  </si>
  <si>
    <t>CISS</t>
  </si>
  <si>
    <t>Per FET CISS (&lt; 10nF / NFET)</t>
  </si>
  <si>
    <t>NSHARE</t>
  </si>
  <si>
    <t>SF125</t>
  </si>
  <si>
    <t>MOSFET RDSON scale factor at 125C</t>
  </si>
  <si>
    <t>TJSF</t>
  </si>
  <si>
    <t>MOSFET elevated junction temperature using SF125</t>
  </si>
  <si>
    <t>RDSON(TEMP)</t>
  </si>
  <si>
    <t>MOSFET maximum RDSON at elevated junction temperature</t>
  </si>
  <si>
    <t>MOSFET second pass elevated junction temperature using RDSON(TEMP)</t>
  </si>
  <si>
    <t>Hot output short at VVCC_MAX, ILIM1, and elevated TJ (High stress fault)</t>
  </si>
  <si>
    <t>PFLT</t>
  </si>
  <si>
    <t>IFLT25</t>
  </si>
  <si>
    <t>TFC1</t>
  </si>
  <si>
    <t>TFC2</t>
  </si>
  <si>
    <t>TFC3</t>
  </si>
  <si>
    <t>TSOA</t>
  </si>
  <si>
    <t>CT_TOL</t>
  </si>
  <si>
    <t>CFLTM(TSOA, 0.1)</t>
  </si>
  <si>
    <t>CFLTMA</t>
  </si>
  <si>
    <t>Choose fault time capacitor » CFLTM(TSOA, 0.1)</t>
  </si>
  <si>
    <t>TFLTM</t>
  </si>
  <si>
    <t>TFLTM_MIN</t>
  </si>
  <si>
    <t>TFLTM_MAX</t>
  </si>
  <si>
    <t>Maximum fault time (should be smaller than TSOA)</t>
  </si>
  <si>
    <t>T2MAX</t>
  </si>
  <si>
    <t>CRMP_MAX</t>
  </si>
  <si>
    <t>CRMP</t>
  </si>
  <si>
    <t>Choose CRMP &lt; CRMP_MAX</t>
  </si>
  <si>
    <t>Time to charge CRMP to VSRC1</t>
  </si>
  <si>
    <t>Time to charge CRMP to VSRC2</t>
  </si>
  <si>
    <t>T2AMAX_VIO</t>
  </si>
  <si>
    <t>Maximum T2A with CRMP accounting for minimum offset and clamp</t>
  </si>
  <si>
    <t>The output charge current follows two linear slopes set by CRMP, with the remaining charge current furnished at a constant rate. Three discrete times are calculated with the total being the overall output charge time.</t>
  </si>
  <si>
    <t>Time to charge CLOAD to DV1A with M1</t>
  </si>
  <si>
    <t>Output voltage change during ramp 2 (may not reach ILIMA for large CRMP)</t>
  </si>
  <si>
    <t>Time to charge CLOAD to DV2A with M2</t>
  </si>
  <si>
    <t>Remaining output voltage change required to charge CLOAD at ILIMA (may be zero)</t>
  </si>
  <si>
    <t>Remaining time to charge CLOAD at ILIMA (may be zero)</t>
  </si>
  <si>
    <t>TCLOAD</t>
  </si>
  <si>
    <t>Total time to charge CLOAD</t>
  </si>
  <si>
    <t>TRUN</t>
  </si>
  <si>
    <t>Fault timer run time (T2+T3). Ensure that TRUN &lt; TFLTM_MIN</t>
  </si>
  <si>
    <t>VVCC-Check 1</t>
  </si>
  <si>
    <t>Check final values using maximum VVCC</t>
  </si>
  <si>
    <t>VUVLO_L_MIN</t>
  </si>
  <si>
    <t>VUVLO_L</t>
  </si>
  <si>
    <t>VUVLO_L_MAX</t>
  </si>
  <si>
    <t>VHYS_MIN</t>
  </si>
  <si>
    <t>VHYS</t>
  </si>
  <si>
    <t>VHYS_MAX</t>
  </si>
  <si>
    <t>VDS</t>
  </si>
  <si>
    <t>VD(VREF_K_MAX, RSNSA , RDSON(TEMP))</t>
  </si>
  <si>
    <t>PFET</t>
  </si>
  <si>
    <t>PFET(I_load_38VCC, VDS)</t>
  </si>
  <si>
    <t>PRSNS</t>
  </si>
  <si>
    <t>PRSNS( I_load_38VCC, RSNSA )</t>
  </si>
  <si>
    <t>25C SOA multiplier (SOA curve must be that much larger than the actual system condition to account for the elevated temperature during testing)</t>
  </si>
  <si>
    <t>Max Cramp to ensure that T2 is less than T2MAX</t>
  </si>
  <si>
    <t>Nominal Voltage check</t>
  </si>
  <si>
    <t>SOA_mult</t>
  </si>
  <si>
    <t>During VOUT ramp, the IRAMP capacitor (CRMP) programs a dual slope inrush current profile. T1 and T2 ramp times are managed by CRMP and the final charge time, T3 occurs at a constant rate. CRMP is chosen so that T2 + T3 &lt; TFLTM_MIN. Maximum T2 + T3 condition occurs at  VIO_MIN, VREF_K_MIN, and VVCC_MAX. CRMP is selected to charge CLOAD under these conditions.</t>
  </si>
  <si>
    <t>VVCC-Check 2</t>
  </si>
  <si>
    <r>
      <t>Check final values using typical V</t>
    </r>
    <r>
      <rPr>
        <sz val="9"/>
        <color theme="1"/>
        <rFont val="Calibri"/>
        <family val="2"/>
        <scheme val="minor"/>
      </rPr>
      <t>VCC</t>
    </r>
  </si>
  <si>
    <r>
      <t>V</t>
    </r>
    <r>
      <rPr>
        <sz val="9"/>
        <color theme="1"/>
        <rFont val="Calibri"/>
        <family val="2"/>
        <scheme val="minor"/>
      </rPr>
      <t>VCC</t>
    </r>
    <r>
      <rPr>
        <sz val="11"/>
        <color theme="1"/>
        <rFont val="Calibri"/>
        <family val="2"/>
        <scheme val="minor"/>
      </rPr>
      <t>-Check 2</t>
    </r>
  </si>
  <si>
    <r>
      <t>Check the worst case run time under conditions of V</t>
    </r>
    <r>
      <rPr>
        <sz val="9"/>
        <color theme="1"/>
        <rFont val="Calibri"/>
        <family val="2"/>
        <scheme val="minor"/>
      </rPr>
      <t>IO_MIN</t>
    </r>
    <r>
      <rPr>
        <sz val="11"/>
        <color theme="1"/>
        <rFont val="Calibri"/>
        <family val="2"/>
        <scheme val="minor"/>
      </rPr>
      <t>, V</t>
    </r>
    <r>
      <rPr>
        <sz val="9"/>
        <color theme="1"/>
        <rFont val="Calibri"/>
        <family val="2"/>
        <scheme val="minor"/>
      </rPr>
      <t>REF_K_MIN</t>
    </r>
    <r>
      <rPr>
        <sz val="11"/>
        <color theme="1"/>
        <rFont val="Calibri"/>
        <family val="2"/>
        <scheme val="minor"/>
      </rPr>
      <t>, and V</t>
    </r>
    <r>
      <rPr>
        <sz val="9"/>
        <color theme="1"/>
        <rFont val="Calibri"/>
        <family val="2"/>
        <scheme val="minor"/>
      </rPr>
      <t>VCC_MAX</t>
    </r>
    <r>
      <rPr>
        <sz val="11"/>
        <color theme="1"/>
        <rFont val="Calibri"/>
        <family val="2"/>
        <scheme val="minor"/>
      </rPr>
      <t>. Ensure the run time is less than the minimum programmed fault time.</t>
    </r>
  </si>
  <si>
    <r>
      <t>Check the worst case run time under conditions of V</t>
    </r>
    <r>
      <rPr>
        <sz val="9"/>
        <color theme="1"/>
        <rFont val="Calibri"/>
        <family val="2"/>
        <scheme val="minor"/>
      </rPr>
      <t>IO_MIN</t>
    </r>
    <r>
      <rPr>
        <sz val="11"/>
        <color theme="1"/>
        <rFont val="Calibri"/>
        <family val="2"/>
        <scheme val="minor"/>
      </rPr>
      <t>, V</t>
    </r>
    <r>
      <rPr>
        <sz val="9"/>
        <color theme="1"/>
        <rFont val="Calibri"/>
        <family val="2"/>
        <scheme val="minor"/>
      </rPr>
      <t>REF_K_MIN</t>
    </r>
    <r>
      <rPr>
        <sz val="11"/>
        <color theme="1"/>
        <rFont val="Calibri"/>
        <family val="2"/>
        <scheme val="minor"/>
      </rPr>
      <t>, and V</t>
    </r>
    <r>
      <rPr>
        <sz val="9"/>
        <color theme="1"/>
        <rFont val="Calibri"/>
        <family val="2"/>
        <scheme val="minor"/>
      </rPr>
      <t>VCC</t>
    </r>
    <r>
      <rPr>
        <sz val="11"/>
        <color theme="1"/>
        <rFont val="Calibri"/>
        <family val="2"/>
        <scheme val="minor"/>
      </rPr>
      <t>. Ensure the run time is less than the minimum programmed fault time.</t>
    </r>
  </si>
  <si>
    <t>Check the worst case run time under conditions of VIO_MIN, VREF_K_MIN, and VVCC_MAX. Ensure the run time is less than the minimum programmed fault time.</t>
  </si>
  <si>
    <t>Check the worst case run time under conditions of VIO_MIN, VREF_K_MIN, and VVCC. Ensure the run time is less than the minimum programmed fault time.</t>
  </si>
  <si>
    <r>
      <t xml:space="preserve">Maximum recommended T2. </t>
    </r>
    <r>
      <rPr>
        <u/>
        <sz val="11"/>
        <color theme="1"/>
        <rFont val="Calibri"/>
        <family val="2"/>
        <scheme val="minor"/>
      </rPr>
      <t>If this value is negative a robust design is not possible. Either pick a FET with better SOA, consider a milder system fault case, or switch to LM5067</t>
    </r>
  </si>
  <si>
    <t>TPS2398</t>
  </si>
  <si>
    <t>TPS2398/TPS2399 - Simple 48-V Hot Swap Controller</t>
  </si>
  <si>
    <t xml:space="preserve">TPS2398/9 is a simple hot swap controller providing basic inrush current control and limited MOSFET protection. TPS2398/9 does not provide MOSFET SOA protection. </t>
  </si>
  <si>
    <t>for Redundant Supply Systems</t>
  </si>
  <si>
    <t>TPS2398 and TPS2399  Design Calculator Tool</t>
  </si>
  <si>
    <t xml:space="preserve">Note: TPS2398/TPS2399 is a simple hotswap controller without SOA protection and is intended for low power (&lt;250W) and low output capacitance (&lt;150 uF) applications. If the design does not converge, consider using the LM5067 with MOSFET SOA protection. </t>
  </si>
  <si>
    <t>Used to determine when the TPS2398/9 will turn on.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</si>
</sst>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0"/>
    <numFmt numFmtId="166" formatCode="0.0"/>
  </numFmts>
  <fonts count="28" x14ac:knownFonts="1">
    <font>
      <sz val="11"/>
      <color theme="1"/>
      <name val="Calibri"/>
      <family val="2"/>
      <scheme val="minor"/>
    </font>
    <font>
      <sz val="10"/>
      <name val="Arial"/>
      <family val="2"/>
    </font>
    <font>
      <sz val="10"/>
      <color theme="1"/>
      <name val="Arial"/>
      <family val="2"/>
    </font>
    <font>
      <sz val="9"/>
      <color theme="1"/>
      <name val="Calibri"/>
      <family val="2"/>
      <scheme val="minor"/>
    </font>
    <font>
      <sz val="11"/>
      <color theme="1"/>
      <name val="Calibri"/>
      <family val="2"/>
    </font>
    <font>
      <b/>
      <i/>
      <sz val="11"/>
      <color theme="1"/>
      <name val="Calibri"/>
      <family val="2"/>
      <scheme val="minor"/>
    </font>
    <font>
      <b/>
      <sz val="11"/>
      <color theme="1"/>
      <name val="Calibri"/>
      <family val="2"/>
      <scheme val="minor"/>
    </font>
    <font>
      <sz val="11"/>
      <name val="Calibri"/>
      <family val="2"/>
      <scheme val="minor"/>
    </font>
    <font>
      <sz val="10"/>
      <color theme="0" tint="-0.14999847407452621"/>
      <name val="Arial"/>
      <family val="2"/>
    </font>
    <font>
      <sz val="9"/>
      <color theme="1"/>
      <name val="Calibri"/>
      <family val="2"/>
    </font>
    <font>
      <b/>
      <sz val="24"/>
      <name val="Arial"/>
      <family val="2"/>
    </font>
    <font>
      <sz val="16"/>
      <name val="Arial"/>
      <family val="2"/>
    </font>
    <font>
      <b/>
      <sz val="16"/>
      <name val="Arial"/>
      <family val="2"/>
    </font>
    <font>
      <u/>
      <sz val="11"/>
      <color theme="1"/>
      <name val="Calibri"/>
      <family val="2"/>
      <scheme val="minor"/>
    </font>
    <font>
      <vertAlign val="superscript"/>
      <sz val="11"/>
      <color theme="1"/>
      <name val="Calibri"/>
      <family val="2"/>
      <scheme val="minor"/>
    </font>
    <font>
      <b/>
      <sz val="11"/>
      <color rgb="FFFF0000"/>
      <name val="Calibri"/>
      <family val="2"/>
      <scheme val="minor"/>
    </font>
    <font>
      <sz val="11"/>
      <color theme="1"/>
      <name val="Symbol"/>
      <family val="1"/>
      <charset val="2"/>
    </font>
    <font>
      <b/>
      <sz val="14"/>
      <name val="Arial"/>
      <family val="2"/>
    </font>
    <font>
      <u/>
      <sz val="10"/>
      <color theme="10"/>
      <name val="Arial"/>
      <family val="2"/>
    </font>
    <font>
      <u/>
      <sz val="10"/>
      <color theme="0"/>
      <name val="Arial"/>
      <family val="2"/>
    </font>
    <font>
      <b/>
      <sz val="10"/>
      <name val="Arial"/>
      <family val="2"/>
    </font>
    <font>
      <sz val="12"/>
      <name val="MS Sans Serif"/>
      <family val="2"/>
    </font>
    <font>
      <b/>
      <i/>
      <sz val="16"/>
      <name val="Arial"/>
      <family val="2"/>
    </font>
    <font>
      <b/>
      <i/>
      <sz val="11"/>
      <name val="Arial"/>
      <family val="2"/>
    </font>
    <font>
      <b/>
      <i/>
      <sz val="10"/>
      <name val="Arial"/>
      <family val="2"/>
    </font>
    <font>
      <b/>
      <sz val="12"/>
      <color rgb="FFFF0000"/>
      <name val="Calibri"/>
      <family val="2"/>
    </font>
    <font>
      <sz val="11"/>
      <color rgb="FF000000"/>
      <name val="Arial"/>
      <family val="2"/>
    </font>
    <font>
      <b/>
      <i/>
      <sz val="9"/>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66CC"/>
        <bgColor indexed="64"/>
      </patternFill>
    </fill>
    <fill>
      <patternFill patternType="solid">
        <fgColor rgb="FFFFFF00"/>
        <bgColor indexed="64"/>
      </patternFill>
    </fill>
    <fill>
      <patternFill patternType="solid">
        <fgColor theme="0" tint="-0.34998626667073579"/>
        <bgColor indexed="64"/>
      </patternFill>
    </fill>
    <fill>
      <patternFill patternType="solid">
        <fgColor indexed="13"/>
        <bgColor indexed="64"/>
      </patternFill>
    </fill>
    <fill>
      <patternFill patternType="solid">
        <fgColor theme="0" tint="-0.14999847407452621"/>
        <bgColor indexed="64"/>
      </patternFill>
    </fill>
    <fill>
      <patternFill patternType="solid">
        <fgColor theme="0" tint="-0.249977111117893"/>
        <bgColor indexed="64"/>
      </patternFill>
    </fill>
  </fills>
  <borders count="19">
    <border>
      <left/>
      <right/>
      <top/>
      <bottom/>
      <diagonal/>
    </border>
    <border>
      <left style="thick">
        <color indexed="64"/>
      </left>
      <right style="thick">
        <color indexed="64"/>
      </right>
      <top style="thin">
        <color indexed="64"/>
      </top>
      <bottom style="thick">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ck">
        <color indexed="64"/>
      </left>
      <right style="thick">
        <color indexed="64"/>
      </right>
      <top/>
      <bottom style="thin">
        <color indexed="64"/>
      </bottom>
      <diagonal/>
    </border>
    <border>
      <left/>
      <right style="thin">
        <color theme="0" tint="-0.249977111117893"/>
      </right>
      <top/>
      <bottom/>
      <diagonal/>
    </border>
    <border>
      <left style="thin">
        <color theme="0" tint="-0.249977111117893"/>
      </left>
      <right style="thin">
        <color theme="0" tint="-0.249977111117893"/>
      </right>
      <top style="thin">
        <color theme="0" tint="-0.249977111117893"/>
      </top>
      <bottom style="medium">
        <color indexed="64"/>
      </bottom>
      <diagonal/>
    </border>
    <border>
      <left style="thick">
        <color indexed="64"/>
      </left>
      <right style="thick">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ck">
        <color indexed="64"/>
      </left>
      <right/>
      <top/>
      <bottom/>
      <diagonal/>
    </border>
  </borders>
  <cellStyleXfs count="3">
    <xf numFmtId="0" fontId="0" fillId="0" borderId="0"/>
    <xf numFmtId="0" fontId="1" fillId="0" borderId="0"/>
    <xf numFmtId="0" fontId="18" fillId="0" borderId="0" applyNumberFormat="0" applyFill="0" applyBorder="0" applyAlignment="0" applyProtection="0">
      <alignment vertical="top"/>
      <protection locked="0"/>
    </xf>
  </cellStyleXfs>
  <cellXfs count="106">
    <xf numFmtId="0" fontId="0" fillId="0" borderId="0" xfId="0"/>
    <xf numFmtId="2" fontId="1" fillId="4" borderId="1" xfId="0" applyNumberFormat="1" applyFont="1" applyFill="1" applyBorder="1" applyProtection="1"/>
    <xf numFmtId="9" fontId="2" fillId="3" borderId="4" xfId="0" applyNumberFormat="1" applyFont="1" applyFill="1" applyBorder="1" applyProtection="1"/>
    <xf numFmtId="2" fontId="8" fillId="2" borderId="6" xfId="0" applyNumberFormat="1" applyFont="1" applyFill="1" applyBorder="1" applyAlignment="1" applyProtection="1">
      <alignment horizontal="left"/>
    </xf>
    <xf numFmtId="9" fontId="2" fillId="5" borderId="7" xfId="0" applyNumberFormat="1" applyFont="1" applyFill="1" applyBorder="1" applyProtection="1"/>
    <xf numFmtId="0" fontId="0" fillId="4" borderId="0" xfId="0" applyFill="1"/>
    <xf numFmtId="0" fontId="12" fillId="0" borderId="0" xfId="0" applyFont="1" applyFill="1" applyProtection="1"/>
    <xf numFmtId="0" fontId="0" fillId="0" borderId="0" xfId="0" applyProtection="1"/>
    <xf numFmtId="0" fontId="0" fillId="0" borderId="5" xfId="0" applyBorder="1" applyProtection="1"/>
    <xf numFmtId="0" fontId="0" fillId="0" borderId="0" xfId="0" applyAlignment="1" applyProtection="1">
      <alignment horizontal="center" vertical="center"/>
    </xf>
    <xf numFmtId="0" fontId="0" fillId="0" borderId="2" xfId="0" applyBorder="1" applyAlignment="1" applyProtection="1">
      <alignment horizontal="center" vertical="center"/>
    </xf>
    <xf numFmtId="0" fontId="0" fillId="0" borderId="0" xfId="0" applyAlignment="1" applyProtection="1">
      <alignment horizontal="center"/>
    </xf>
    <xf numFmtId="0" fontId="0" fillId="0" borderId="0" xfId="0" applyAlignment="1" applyProtection="1">
      <alignment horizontal="left"/>
    </xf>
    <xf numFmtId="164" fontId="0" fillId="4" borderId="2" xfId="0" applyNumberFormat="1" applyFill="1" applyBorder="1" applyAlignment="1" applyProtection="1">
      <alignment horizontal="right"/>
    </xf>
    <xf numFmtId="0" fontId="0" fillId="5" borderId="2" xfId="0" applyFill="1" applyBorder="1" applyAlignment="1" applyProtection="1">
      <alignment horizontal="right"/>
    </xf>
    <xf numFmtId="0" fontId="4" fillId="0" borderId="0" xfId="0" applyFont="1" applyAlignment="1" applyProtection="1">
      <alignment horizontal="left"/>
    </xf>
    <xf numFmtId="0" fontId="0" fillId="4" borderId="2" xfId="0" applyFill="1" applyBorder="1" applyProtection="1"/>
    <xf numFmtId="0" fontId="0" fillId="0" borderId="0" xfId="0" applyAlignment="1" applyProtection="1">
      <alignment wrapText="1"/>
    </xf>
    <xf numFmtId="0" fontId="4" fillId="0" borderId="0" xfId="0" applyFont="1" applyProtection="1"/>
    <xf numFmtId="164" fontId="0" fillId="4" borderId="3" xfId="0" applyNumberFormat="1" applyFill="1" applyBorder="1" applyProtection="1"/>
    <xf numFmtId="164" fontId="0" fillId="4" borderId="2" xfId="0" applyNumberFormat="1" applyFill="1" applyBorder="1" applyProtection="1"/>
    <xf numFmtId="164" fontId="7" fillId="4" borderId="2" xfId="0" applyNumberFormat="1" applyFont="1" applyFill="1" applyBorder="1" applyProtection="1"/>
    <xf numFmtId="0" fontId="0" fillId="0" borderId="0" xfId="0" applyBorder="1" applyProtection="1"/>
    <xf numFmtId="0" fontId="0" fillId="5" borderId="2" xfId="0" applyFill="1" applyBorder="1" applyProtection="1"/>
    <xf numFmtId="0" fontId="0" fillId="0" borderId="0" xfId="0" applyBorder="1" applyAlignment="1" applyProtection="1">
      <alignment horizontal="left" vertical="center"/>
    </xf>
    <xf numFmtId="0" fontId="0" fillId="3" borderId="2" xfId="0" applyFill="1" applyBorder="1" applyAlignment="1" applyProtection="1">
      <alignment horizontal="right"/>
      <protection locked="0"/>
    </xf>
    <xf numFmtId="0" fontId="0" fillId="3" borderId="2" xfId="0" applyFill="1" applyBorder="1" applyProtection="1">
      <protection locked="0"/>
    </xf>
    <xf numFmtId="0" fontId="0" fillId="3" borderId="3" xfId="0" applyFill="1" applyBorder="1" applyProtection="1">
      <protection locked="0"/>
    </xf>
    <xf numFmtId="164" fontId="0" fillId="3" borderId="2" xfId="0" applyNumberFormat="1" applyFill="1" applyBorder="1" applyProtection="1">
      <protection locked="0"/>
    </xf>
    <xf numFmtId="164" fontId="0" fillId="3" borderId="3" xfId="0" applyNumberFormat="1" applyFill="1" applyBorder="1" applyAlignment="1" applyProtection="1">
      <alignment horizontal="right"/>
      <protection locked="0"/>
    </xf>
    <xf numFmtId="0" fontId="0" fillId="0" borderId="0" xfId="0" applyFill="1" applyBorder="1" applyAlignment="1" applyProtection="1">
      <alignment horizontal="center" vertical="center"/>
    </xf>
    <xf numFmtId="164" fontId="0" fillId="0" borderId="0" xfId="0" applyNumberFormat="1" applyAlignment="1" applyProtection="1">
      <alignment horizontal="center"/>
    </xf>
    <xf numFmtId="165" fontId="0" fillId="0" borderId="0" xfId="0" applyNumberFormat="1" applyAlignment="1" applyProtection="1">
      <alignment horizontal="center"/>
    </xf>
    <xf numFmtId="166" fontId="0" fillId="4" borderId="2" xfId="0" applyNumberFormat="1" applyFill="1" applyBorder="1" applyProtection="1"/>
    <xf numFmtId="0" fontId="0" fillId="0" borderId="0" xfId="0" applyAlignment="1" applyProtection="1">
      <alignment horizontal="center" vertical="top" wrapText="1"/>
    </xf>
    <xf numFmtId="0" fontId="0" fillId="0" borderId="0" xfId="0" applyAlignment="1" applyProtection="1">
      <alignment vertical="top" wrapText="1"/>
    </xf>
    <xf numFmtId="0" fontId="0" fillId="0" borderId="0" xfId="0" applyFill="1" applyBorder="1" applyAlignment="1" applyProtection="1">
      <alignment vertical="top" wrapText="1"/>
    </xf>
    <xf numFmtId="0" fontId="13" fillId="0" borderId="0" xfId="0" applyFont="1" applyAlignment="1" applyProtection="1">
      <alignment vertical="top" wrapText="1"/>
    </xf>
    <xf numFmtId="0" fontId="4" fillId="0" borderId="0" xfId="0" applyFont="1" applyAlignment="1" applyProtection="1">
      <alignment vertical="top" wrapText="1"/>
    </xf>
    <xf numFmtId="0" fontId="0" fillId="0" borderId="0" xfId="0" applyBorder="1" applyAlignment="1" applyProtection="1">
      <alignment horizontal="left" vertical="top" wrapText="1"/>
    </xf>
    <xf numFmtId="0" fontId="0" fillId="0" borderId="0" xfId="0" applyAlignment="1" applyProtection="1">
      <alignment horizontal="left" vertical="top" wrapText="1"/>
    </xf>
    <xf numFmtId="0" fontId="0" fillId="0" borderId="0" xfId="0" applyFill="1" applyBorder="1" applyAlignment="1" applyProtection="1">
      <alignment horizontal="left" vertical="top" wrapText="1"/>
    </xf>
    <xf numFmtId="0" fontId="0" fillId="4" borderId="11" xfId="0" applyFill="1" applyBorder="1"/>
    <xf numFmtId="0" fontId="0" fillId="4" borderId="12" xfId="0" applyFill="1" applyBorder="1"/>
    <xf numFmtId="0" fontId="17" fillId="4" borderId="0" xfId="0" applyFont="1" applyFill="1"/>
    <xf numFmtId="0" fontId="19" fillId="4" borderId="0" xfId="2" applyFont="1" applyFill="1" applyAlignment="1" applyProtection="1"/>
    <xf numFmtId="0" fontId="20" fillId="4" borderId="0" xfId="0" applyFont="1" applyFill="1"/>
    <xf numFmtId="0" fontId="21" fillId="6" borderId="0" xfId="0" applyFont="1" applyFill="1" applyBorder="1" applyProtection="1"/>
    <xf numFmtId="0" fontId="10" fillId="4" borderId="0" xfId="0" applyFont="1" applyFill="1"/>
    <xf numFmtId="0" fontId="22" fillId="6" borderId="0" xfId="1" applyFont="1" applyFill="1" applyProtection="1"/>
    <xf numFmtId="0" fontId="1" fillId="6" borderId="0" xfId="1" applyFill="1" applyProtection="1"/>
    <xf numFmtId="0" fontId="1" fillId="6" borderId="0" xfId="1" applyFill="1" applyBorder="1" applyProtection="1"/>
    <xf numFmtId="0" fontId="0" fillId="6" borderId="0" xfId="0" applyFill="1" applyProtection="1"/>
    <xf numFmtId="0" fontId="0" fillId="6" borderId="0" xfId="0" applyFill="1" applyBorder="1" applyProtection="1"/>
    <xf numFmtId="0" fontId="24" fillId="6" borderId="0" xfId="0" applyFont="1" applyFill="1" applyProtection="1"/>
    <xf numFmtId="0" fontId="1" fillId="4" borderId="12" xfId="0" applyFont="1" applyFill="1" applyBorder="1" applyAlignment="1">
      <alignment horizontal="center" vertical="center" wrapText="1"/>
    </xf>
    <xf numFmtId="0" fontId="22" fillId="6" borderId="0" xfId="0" applyFont="1" applyFill="1" applyProtection="1"/>
    <xf numFmtId="0" fontId="1" fillId="6" borderId="0" xfId="0" applyFont="1" applyFill="1" applyBorder="1" applyProtection="1"/>
    <xf numFmtId="0" fontId="0" fillId="4" borderId="13" xfId="0" applyFill="1" applyBorder="1"/>
    <xf numFmtId="0" fontId="20" fillId="4" borderId="14" xfId="0" applyFont="1" applyFill="1" applyBorder="1"/>
    <xf numFmtId="0" fontId="0" fillId="4" borderId="14" xfId="0" applyFill="1" applyBorder="1"/>
    <xf numFmtId="0" fontId="0" fillId="4" borderId="15" xfId="0" applyFill="1" applyBorder="1"/>
    <xf numFmtId="0" fontId="11" fillId="4" borderId="0" xfId="0" applyFont="1" applyFill="1"/>
    <xf numFmtId="0" fontId="6" fillId="4" borderId="16" xfId="0" applyFont="1" applyFill="1" applyBorder="1" applyAlignment="1" applyProtection="1">
      <alignment vertical="top" wrapText="1"/>
    </xf>
    <xf numFmtId="0" fontId="0" fillId="0" borderId="17" xfId="0" applyBorder="1" applyAlignment="1" applyProtection="1">
      <alignment horizontal="center" vertical="top" wrapText="1"/>
    </xf>
    <xf numFmtId="0" fontId="0" fillId="7" borderId="16" xfId="0" applyFill="1" applyBorder="1" applyAlignment="1" applyProtection="1">
      <alignment vertical="top" wrapText="1"/>
    </xf>
    <xf numFmtId="0" fontId="0" fillId="8" borderId="16" xfId="0" applyFill="1" applyBorder="1" applyAlignment="1" applyProtection="1">
      <alignment vertical="top" wrapText="1"/>
    </xf>
    <xf numFmtId="0" fontId="0" fillId="0" borderId="17" xfId="0" applyBorder="1" applyAlignment="1" applyProtection="1">
      <alignment horizontal="center" vertical="center"/>
    </xf>
    <xf numFmtId="0" fontId="0" fillId="8" borderId="16" xfId="0" applyFill="1" applyBorder="1" applyAlignment="1" applyProtection="1">
      <alignment wrapText="1"/>
    </xf>
    <xf numFmtId="0" fontId="6" fillId="8" borderId="16" xfId="0" applyFont="1" applyFill="1" applyBorder="1" applyAlignment="1" applyProtection="1">
      <alignment wrapText="1"/>
    </xf>
    <xf numFmtId="0" fontId="6" fillId="7" borderId="16" xfId="0" applyFont="1" applyFill="1" applyBorder="1" applyAlignment="1" applyProtection="1">
      <alignment vertical="top" wrapText="1"/>
    </xf>
    <xf numFmtId="0" fontId="6" fillId="8" borderId="16" xfId="0" applyFont="1" applyFill="1" applyBorder="1" applyProtection="1"/>
    <xf numFmtId="0" fontId="5" fillId="7" borderId="16" xfId="0" applyFont="1" applyFill="1" applyBorder="1" applyAlignment="1" applyProtection="1">
      <alignment vertical="top" wrapText="1"/>
    </xf>
    <xf numFmtId="0" fontId="5" fillId="7" borderId="16" xfId="0" applyFont="1" applyFill="1" applyBorder="1" applyAlignment="1" applyProtection="1">
      <alignment horizontal="left" vertical="top" wrapText="1"/>
    </xf>
    <xf numFmtId="0" fontId="0" fillId="7" borderId="16" xfId="0" applyFill="1" applyBorder="1" applyAlignment="1" applyProtection="1">
      <alignment horizontal="left" vertical="center"/>
    </xf>
    <xf numFmtId="0" fontId="0" fillId="0" borderId="0" xfId="0" applyFill="1" applyAlignment="1" applyProtection="1">
      <alignment horizontal="center" vertical="top" wrapText="1"/>
    </xf>
    <xf numFmtId="0" fontId="0" fillId="0" borderId="0" xfId="0" applyFill="1" applyAlignment="1" applyProtection="1">
      <alignment vertical="top" wrapText="1"/>
    </xf>
    <xf numFmtId="0" fontId="0" fillId="0" borderId="0" xfId="0" applyFill="1" applyBorder="1" applyProtection="1"/>
    <xf numFmtId="0" fontId="5" fillId="5" borderId="16" xfId="0" applyFont="1" applyFill="1" applyBorder="1" applyAlignment="1" applyProtection="1">
      <alignment horizontal="left" vertical="top" wrapText="1"/>
    </xf>
    <xf numFmtId="0" fontId="0" fillId="5" borderId="16" xfId="0" applyFill="1" applyBorder="1" applyAlignment="1" applyProtection="1">
      <alignment horizontal="left" vertical="center"/>
    </xf>
    <xf numFmtId="0" fontId="5" fillId="5" borderId="16" xfId="0" applyFont="1" applyFill="1" applyBorder="1" applyAlignment="1" applyProtection="1">
      <alignment vertical="top" wrapText="1"/>
    </xf>
    <xf numFmtId="0" fontId="0" fillId="5" borderId="16" xfId="0" applyFill="1" applyBorder="1" applyAlignment="1" applyProtection="1">
      <alignment vertical="top" wrapText="1"/>
    </xf>
    <xf numFmtId="0" fontId="6" fillId="5" borderId="16" xfId="0" applyFont="1" applyFill="1" applyBorder="1" applyAlignment="1" applyProtection="1">
      <alignment vertical="top" wrapText="1"/>
    </xf>
    <xf numFmtId="0" fontId="6" fillId="5" borderId="16" xfId="0" applyFont="1" applyFill="1" applyBorder="1" applyAlignment="1" applyProtection="1">
      <alignment wrapText="1"/>
    </xf>
    <xf numFmtId="0" fontId="6" fillId="5" borderId="16" xfId="0" applyFont="1" applyFill="1" applyBorder="1" applyProtection="1"/>
    <xf numFmtId="0" fontId="0" fillId="5" borderId="16" xfId="0" applyFill="1" applyBorder="1" applyAlignment="1" applyProtection="1">
      <alignment wrapText="1"/>
    </xf>
    <xf numFmtId="0" fontId="0" fillId="3" borderId="2" xfId="0" applyFill="1" applyBorder="1" applyAlignment="1" applyProtection="1">
      <alignment horizontal="right"/>
    </xf>
    <xf numFmtId="0" fontId="0" fillId="3" borderId="2" xfId="0" applyFill="1" applyBorder="1" applyProtection="1"/>
    <xf numFmtId="164" fontId="0" fillId="3" borderId="3" xfId="0" applyNumberFormat="1" applyFill="1" applyBorder="1" applyAlignment="1" applyProtection="1">
      <alignment horizontal="right"/>
    </xf>
    <xf numFmtId="0" fontId="18" fillId="6" borderId="0" xfId="2" applyFill="1" applyAlignment="1" applyProtection="1">
      <alignment horizontal="left"/>
    </xf>
    <xf numFmtId="0" fontId="25" fillId="4" borderId="0" xfId="0" applyFont="1" applyFill="1" applyBorder="1" applyAlignment="1" applyProtection="1">
      <alignment horizontal="center" vertical="center"/>
    </xf>
    <xf numFmtId="0" fontId="26" fillId="0" borderId="8"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12"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5" xfId="0" applyFont="1" applyBorder="1" applyAlignment="1">
      <alignment horizontal="center" vertical="center" wrapText="1"/>
    </xf>
    <xf numFmtId="0" fontId="23" fillId="6" borderId="0" xfId="1" applyFont="1" applyFill="1" applyAlignment="1" applyProtection="1">
      <alignment vertical="top" wrapText="1"/>
    </xf>
    <xf numFmtId="0" fontId="0" fillId="0" borderId="0" xfId="0" applyAlignment="1">
      <alignment vertical="top" wrapText="1"/>
    </xf>
    <xf numFmtId="0" fontId="0" fillId="0" borderId="12" xfId="0" applyBorder="1" applyAlignment="1">
      <alignment vertical="top" wrapText="1"/>
    </xf>
    <xf numFmtId="0" fontId="15" fillId="0" borderId="18" xfId="0" applyFont="1" applyBorder="1" applyAlignment="1" applyProtection="1">
      <alignment horizontal="justify" vertical="top" wrapText="1"/>
    </xf>
    <xf numFmtId="0" fontId="0" fillId="0" borderId="0" xfId="0" applyBorder="1" applyAlignment="1" applyProtection="1">
      <alignment horizontal="justify" vertical="top" wrapText="1"/>
    </xf>
    <xf numFmtId="0" fontId="0" fillId="0" borderId="18" xfId="0" applyBorder="1" applyAlignment="1" applyProtection="1">
      <alignment horizontal="justify" vertical="top" wrapText="1"/>
    </xf>
  </cellXfs>
  <cellStyles count="3">
    <cellStyle name="Hyperlink" xfId="2" builtinId="8"/>
    <cellStyle name="Normal" xfId="0" builtinId="0"/>
    <cellStyle name="Normal 2" xfId="1"/>
  </cellStyles>
  <dxfs count="1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
      <font>
        <b/>
        <i val="0"/>
        <color rgb="FFFF0000"/>
      </font>
      <fill>
        <patternFill patternType="none">
          <bgColor auto="1"/>
        </patternFill>
      </fill>
    </dxf>
  </dxfs>
  <tableStyles count="0" defaultTableStyle="TableStyleMedium2" defaultPivotStyle="PivotStyleLight16"/>
  <colors>
    <mruColors>
      <color rgb="FFFF66CC"/>
      <color rgb="FFFF33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Typical Vout/Inrush</a:t>
            </a:r>
            <a:r>
              <a:rPr lang="en-US" baseline="0"/>
              <a:t> Profile</a:t>
            </a:r>
            <a:endParaRPr lang="en-US"/>
          </a:p>
        </c:rich>
      </c:tx>
      <c:layout>
        <c:manualLayout>
          <c:xMode val="edge"/>
          <c:yMode val="edge"/>
          <c:x val="0.2144213791457886"/>
          <c:y val="2.5974025974025976E-2"/>
        </c:manualLayout>
      </c:layout>
      <c:overlay val="0"/>
    </c:title>
    <c:autoTitleDeleted val="0"/>
    <c:plotArea>
      <c:layout/>
      <c:scatterChart>
        <c:scatterStyle val="lineMarker"/>
        <c:varyColors val="0"/>
        <c:ser>
          <c:idx val="0"/>
          <c:order val="0"/>
          <c:tx>
            <c:strRef>
              <c:f>Calculations!$P$132</c:f>
              <c:strCache>
                <c:ptCount val="1"/>
                <c:pt idx="0">
                  <c:v>I</c:v>
                </c:pt>
              </c:strCache>
            </c:strRef>
          </c:tx>
          <c:marker>
            <c:symbol val="none"/>
          </c:marker>
          <c:xVal>
            <c:numRef>
              <c:f>Calculations!$O$133:$O$139</c:f>
              <c:numCache>
                <c:formatCode>0.000</c:formatCode>
                <c:ptCount val="7"/>
                <c:pt idx="0" formatCode="General">
                  <c:v>0</c:v>
                </c:pt>
                <c:pt idx="1">
                  <c:v>2.2500000000000004</c:v>
                </c:pt>
                <c:pt idx="2">
                  <c:v>3.1950000000000003</c:v>
                </c:pt>
                <c:pt idx="3">
                  <c:v>3.3609375000000004</c:v>
                </c:pt>
                <c:pt idx="4">
                  <c:v>3.4609375000000004</c:v>
                </c:pt>
                <c:pt idx="5">
                  <c:v>3.5609375000000005</c:v>
                </c:pt>
                <c:pt idx="6" formatCode="#,##0.000">
                  <c:v>4.2731250000000003</c:v>
                </c:pt>
              </c:numCache>
            </c:numRef>
          </c:xVal>
          <c:yVal>
            <c:numRef>
              <c:f>Calculations!$P$133:$P$139</c:f>
              <c:numCache>
                <c:formatCode>0.000</c:formatCode>
                <c:ptCount val="7"/>
                <c:pt idx="0" formatCode="General">
                  <c:v>0</c:v>
                </c:pt>
                <c:pt idx="1">
                  <c:v>1.2500000000000002</c:v>
                </c:pt>
                <c:pt idx="2">
                  <c:v>10</c:v>
                </c:pt>
                <c:pt idx="3">
                  <c:v>10</c:v>
                </c:pt>
                <c:pt idx="4">
                  <c:v>1</c:v>
                </c:pt>
                <c:pt idx="5">
                  <c:v>1</c:v>
                </c:pt>
                <c:pt idx="6" formatCode="#,##0.000">
                  <c:v>1</c:v>
                </c:pt>
              </c:numCache>
            </c:numRef>
          </c:yVal>
          <c:smooth val="0"/>
        </c:ser>
        <c:ser>
          <c:idx val="1"/>
          <c:order val="1"/>
          <c:tx>
            <c:strRef>
              <c:f>Calculations!$Q$132</c:f>
              <c:strCache>
                <c:ptCount val="1"/>
                <c:pt idx="0">
                  <c:v>V</c:v>
                </c:pt>
              </c:strCache>
            </c:strRef>
          </c:tx>
          <c:marker>
            <c:symbol val="none"/>
          </c:marker>
          <c:xVal>
            <c:numRef>
              <c:f>Calculations!$O$133:$O$139</c:f>
              <c:numCache>
                <c:formatCode>0.000</c:formatCode>
                <c:ptCount val="7"/>
                <c:pt idx="0" formatCode="General">
                  <c:v>0</c:v>
                </c:pt>
                <c:pt idx="1">
                  <c:v>2.2500000000000004</c:v>
                </c:pt>
                <c:pt idx="2">
                  <c:v>3.1950000000000003</c:v>
                </c:pt>
                <c:pt idx="3">
                  <c:v>3.3609375000000004</c:v>
                </c:pt>
                <c:pt idx="4">
                  <c:v>3.4609375000000004</c:v>
                </c:pt>
                <c:pt idx="5">
                  <c:v>3.5609375000000005</c:v>
                </c:pt>
                <c:pt idx="6" formatCode="#,##0.000">
                  <c:v>4.2731250000000003</c:v>
                </c:pt>
              </c:numCache>
            </c:numRef>
          </c:xVal>
          <c:yVal>
            <c:numRef>
              <c:f>Calculations!$Q$133:$Q$139</c:f>
              <c:numCache>
                <c:formatCode>0.000</c:formatCode>
                <c:ptCount val="7"/>
                <c:pt idx="0" formatCode="General">
                  <c:v>0</c:v>
                </c:pt>
                <c:pt idx="1">
                  <c:v>9.3750000000000036</c:v>
                </c:pt>
                <c:pt idx="2">
                  <c:v>36.9375</c:v>
                </c:pt>
                <c:pt idx="3">
                  <c:v>48</c:v>
                </c:pt>
                <c:pt idx="4">
                  <c:v>48</c:v>
                </c:pt>
                <c:pt idx="5">
                  <c:v>48</c:v>
                </c:pt>
                <c:pt idx="6" formatCode="#,##0.000">
                  <c:v>48</c:v>
                </c:pt>
              </c:numCache>
            </c:numRef>
          </c:yVal>
          <c:smooth val="0"/>
        </c:ser>
        <c:dLbls>
          <c:showLegendKey val="0"/>
          <c:showVal val="0"/>
          <c:showCatName val="0"/>
          <c:showSerName val="0"/>
          <c:showPercent val="0"/>
          <c:showBubbleSize val="0"/>
        </c:dLbls>
        <c:axId val="155209088"/>
        <c:axId val="155235840"/>
      </c:scatterChart>
      <c:valAx>
        <c:axId val="155209088"/>
        <c:scaling>
          <c:orientation val="minMax"/>
        </c:scaling>
        <c:delete val="0"/>
        <c:axPos val="b"/>
        <c:majorGridlines/>
        <c:title>
          <c:tx>
            <c:rich>
              <a:bodyPr/>
              <a:lstStyle/>
              <a:p>
                <a:pPr>
                  <a:defRPr/>
                </a:pPr>
                <a:r>
                  <a:rPr lang="en-US"/>
                  <a:t>Time (ms)</a:t>
                </a:r>
              </a:p>
            </c:rich>
          </c:tx>
          <c:layout/>
          <c:overlay val="0"/>
        </c:title>
        <c:numFmt formatCode="General" sourceLinked="1"/>
        <c:majorTickMark val="out"/>
        <c:minorTickMark val="none"/>
        <c:tickLblPos val="nextTo"/>
        <c:crossAx val="155235840"/>
        <c:crosses val="autoZero"/>
        <c:crossBetween val="midCat"/>
      </c:valAx>
      <c:valAx>
        <c:axId val="155235840"/>
        <c:scaling>
          <c:orientation val="minMax"/>
          <c:max val="60"/>
        </c:scaling>
        <c:delete val="0"/>
        <c:axPos val="l"/>
        <c:majorGridlines/>
        <c:title>
          <c:tx>
            <c:rich>
              <a:bodyPr rot="-5400000" vert="horz"/>
              <a:lstStyle/>
              <a:p>
                <a:pPr>
                  <a:defRPr/>
                </a:pPr>
                <a:r>
                  <a:rPr lang="en-US"/>
                  <a:t>Inrush current (A)</a:t>
                </a:r>
              </a:p>
              <a:p>
                <a:pPr>
                  <a:defRPr/>
                </a:pPr>
                <a:r>
                  <a:rPr lang="en-US"/>
                  <a:t>Output voltage (V)</a:t>
                </a:r>
              </a:p>
            </c:rich>
          </c:tx>
          <c:layout/>
          <c:overlay val="0"/>
        </c:title>
        <c:numFmt formatCode="General" sourceLinked="1"/>
        <c:majorTickMark val="out"/>
        <c:minorTickMark val="none"/>
        <c:tickLblPos val="nextTo"/>
        <c:crossAx val="155209088"/>
        <c:crosses val="autoZero"/>
        <c:crossBetween val="midCat"/>
      </c:valAx>
    </c:plotArea>
    <c:legend>
      <c:legendPos val="r"/>
      <c:layout/>
      <c:overlay val="0"/>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Typical Vout/Inrush</a:t>
            </a:r>
            <a:r>
              <a:rPr lang="en-US" baseline="0"/>
              <a:t> Profile</a:t>
            </a:r>
            <a:endParaRPr lang="en-US"/>
          </a:p>
        </c:rich>
      </c:tx>
      <c:overlay val="0"/>
    </c:title>
    <c:autoTitleDeleted val="0"/>
    <c:plotArea>
      <c:layout/>
      <c:scatterChart>
        <c:scatterStyle val="lineMarker"/>
        <c:varyColors val="0"/>
        <c:ser>
          <c:idx val="0"/>
          <c:order val="0"/>
          <c:tx>
            <c:strRef>
              <c:f>Calculations!$P$132</c:f>
              <c:strCache>
                <c:ptCount val="1"/>
                <c:pt idx="0">
                  <c:v>I</c:v>
                </c:pt>
              </c:strCache>
            </c:strRef>
          </c:tx>
          <c:marker>
            <c:symbol val="none"/>
          </c:marker>
          <c:xVal>
            <c:numRef>
              <c:f>Calculations!$O$133:$O$139</c:f>
              <c:numCache>
                <c:formatCode>0.000</c:formatCode>
                <c:ptCount val="7"/>
                <c:pt idx="0" formatCode="General">
                  <c:v>0</c:v>
                </c:pt>
                <c:pt idx="1">
                  <c:v>2.2500000000000004</c:v>
                </c:pt>
                <c:pt idx="2">
                  <c:v>3.1950000000000003</c:v>
                </c:pt>
                <c:pt idx="3">
                  <c:v>3.3609375000000004</c:v>
                </c:pt>
                <c:pt idx="4">
                  <c:v>3.4609375000000004</c:v>
                </c:pt>
                <c:pt idx="5">
                  <c:v>3.5609375000000005</c:v>
                </c:pt>
                <c:pt idx="6" formatCode="#,##0.000">
                  <c:v>4.2731250000000003</c:v>
                </c:pt>
              </c:numCache>
            </c:numRef>
          </c:xVal>
          <c:yVal>
            <c:numRef>
              <c:f>Calculations!$P$133:$P$139</c:f>
              <c:numCache>
                <c:formatCode>0.000</c:formatCode>
                <c:ptCount val="7"/>
                <c:pt idx="0" formatCode="General">
                  <c:v>0</c:v>
                </c:pt>
                <c:pt idx="1">
                  <c:v>1.2500000000000002</c:v>
                </c:pt>
                <c:pt idx="2">
                  <c:v>10</c:v>
                </c:pt>
                <c:pt idx="3">
                  <c:v>10</c:v>
                </c:pt>
                <c:pt idx="4">
                  <c:v>1</c:v>
                </c:pt>
                <c:pt idx="5">
                  <c:v>1</c:v>
                </c:pt>
                <c:pt idx="6" formatCode="#,##0.000">
                  <c:v>1</c:v>
                </c:pt>
              </c:numCache>
            </c:numRef>
          </c:yVal>
          <c:smooth val="0"/>
        </c:ser>
        <c:ser>
          <c:idx val="1"/>
          <c:order val="1"/>
          <c:tx>
            <c:strRef>
              <c:f>Calculations!$Q$132</c:f>
              <c:strCache>
                <c:ptCount val="1"/>
                <c:pt idx="0">
                  <c:v>V</c:v>
                </c:pt>
              </c:strCache>
            </c:strRef>
          </c:tx>
          <c:marker>
            <c:symbol val="none"/>
          </c:marker>
          <c:xVal>
            <c:numRef>
              <c:f>Calculations!$O$133:$O$139</c:f>
              <c:numCache>
                <c:formatCode>0.000</c:formatCode>
                <c:ptCount val="7"/>
                <c:pt idx="0" formatCode="General">
                  <c:v>0</c:v>
                </c:pt>
                <c:pt idx="1">
                  <c:v>2.2500000000000004</c:v>
                </c:pt>
                <c:pt idx="2">
                  <c:v>3.1950000000000003</c:v>
                </c:pt>
                <c:pt idx="3">
                  <c:v>3.3609375000000004</c:v>
                </c:pt>
                <c:pt idx="4">
                  <c:v>3.4609375000000004</c:v>
                </c:pt>
                <c:pt idx="5">
                  <c:v>3.5609375000000005</c:v>
                </c:pt>
                <c:pt idx="6" formatCode="#,##0.000">
                  <c:v>4.2731250000000003</c:v>
                </c:pt>
              </c:numCache>
            </c:numRef>
          </c:xVal>
          <c:yVal>
            <c:numRef>
              <c:f>Calculations!$Q$133:$Q$139</c:f>
              <c:numCache>
                <c:formatCode>0.000</c:formatCode>
                <c:ptCount val="7"/>
                <c:pt idx="0" formatCode="General">
                  <c:v>0</c:v>
                </c:pt>
                <c:pt idx="1">
                  <c:v>9.3750000000000036</c:v>
                </c:pt>
                <c:pt idx="2">
                  <c:v>36.9375</c:v>
                </c:pt>
                <c:pt idx="3">
                  <c:v>48</c:v>
                </c:pt>
                <c:pt idx="4">
                  <c:v>48</c:v>
                </c:pt>
                <c:pt idx="5">
                  <c:v>48</c:v>
                </c:pt>
                <c:pt idx="6" formatCode="#,##0.000">
                  <c:v>48</c:v>
                </c:pt>
              </c:numCache>
            </c:numRef>
          </c:yVal>
          <c:smooth val="0"/>
        </c:ser>
        <c:dLbls>
          <c:showLegendKey val="0"/>
          <c:showVal val="0"/>
          <c:showCatName val="0"/>
          <c:showSerName val="0"/>
          <c:showPercent val="0"/>
          <c:showBubbleSize val="0"/>
        </c:dLbls>
        <c:axId val="155925504"/>
        <c:axId val="155927680"/>
      </c:scatterChart>
      <c:valAx>
        <c:axId val="155925504"/>
        <c:scaling>
          <c:orientation val="minMax"/>
        </c:scaling>
        <c:delete val="0"/>
        <c:axPos val="b"/>
        <c:majorGridlines/>
        <c:title>
          <c:tx>
            <c:rich>
              <a:bodyPr/>
              <a:lstStyle/>
              <a:p>
                <a:pPr>
                  <a:defRPr/>
                </a:pPr>
                <a:r>
                  <a:rPr lang="en-US"/>
                  <a:t>Time (ms)</a:t>
                </a:r>
              </a:p>
            </c:rich>
          </c:tx>
          <c:overlay val="0"/>
        </c:title>
        <c:numFmt formatCode="General" sourceLinked="1"/>
        <c:majorTickMark val="out"/>
        <c:minorTickMark val="none"/>
        <c:tickLblPos val="nextTo"/>
        <c:crossAx val="155927680"/>
        <c:crosses val="autoZero"/>
        <c:crossBetween val="midCat"/>
      </c:valAx>
      <c:valAx>
        <c:axId val="155927680"/>
        <c:scaling>
          <c:orientation val="minMax"/>
          <c:max val="60"/>
        </c:scaling>
        <c:delete val="0"/>
        <c:axPos val="l"/>
        <c:majorGridlines/>
        <c:title>
          <c:tx>
            <c:rich>
              <a:bodyPr rot="-5400000" vert="horz"/>
              <a:lstStyle/>
              <a:p>
                <a:pPr>
                  <a:defRPr/>
                </a:pPr>
                <a:r>
                  <a:rPr lang="en-US"/>
                  <a:t>Inrush current (A)</a:t>
                </a:r>
              </a:p>
              <a:p>
                <a:pPr>
                  <a:defRPr/>
                </a:pPr>
                <a:r>
                  <a:rPr lang="en-US"/>
                  <a:t>Output voltage (V)</a:t>
                </a:r>
              </a:p>
            </c:rich>
          </c:tx>
          <c:overlay val="0"/>
        </c:title>
        <c:numFmt formatCode="General" sourceLinked="1"/>
        <c:majorTickMark val="out"/>
        <c:minorTickMark val="none"/>
        <c:tickLblPos val="nextTo"/>
        <c:crossAx val="155925504"/>
        <c:crosses val="autoZero"/>
        <c:crossBetween val="midCat"/>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5.emf"/><Relationship Id="rId4"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2.xml"/><Relationship Id="rId1"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190500</xdr:rowOff>
    </xdr:from>
    <xdr:to>
      <xdr:col>15</xdr:col>
      <xdr:colOff>600075</xdr:colOff>
      <xdr:row>7</xdr:row>
      <xdr:rowOff>19050</xdr:rowOff>
    </xdr:to>
    <xdr:sp macro="" textlink="">
      <xdr:nvSpPr>
        <xdr:cNvPr id="2" name="Rectangle 1"/>
        <xdr:cNvSpPr>
          <a:spLocks noChangeArrowheads="1"/>
        </xdr:cNvSpPr>
      </xdr:nvSpPr>
      <xdr:spPr bwMode="auto">
        <a:xfrm>
          <a:off x="0" y="358140"/>
          <a:ext cx="9591675" cy="91821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editAs="oneCell">
    <xdr:from>
      <xdr:col>0</xdr:col>
      <xdr:colOff>142875</xdr:colOff>
      <xdr:row>2</xdr:row>
      <xdr:rowOff>47625</xdr:rowOff>
    </xdr:from>
    <xdr:to>
      <xdr:col>4</xdr:col>
      <xdr:colOff>485775</xdr:colOff>
      <xdr:row>6</xdr:row>
      <xdr:rowOff>85725</xdr:rowOff>
    </xdr:to>
    <xdr:pic>
      <xdr:nvPicPr>
        <xdr:cNvPr id="3" name="Picture 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2875" y="436245"/>
          <a:ext cx="2575560" cy="7467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480060</xdr:colOff>
      <xdr:row>50</xdr:row>
      <xdr:rowOff>15240</xdr:rowOff>
    </xdr:from>
    <xdr:to>
      <xdr:col>12</xdr:col>
      <xdr:colOff>186854</xdr:colOff>
      <xdr:row>64</xdr:row>
      <xdr:rowOff>51819</xdr:rowOff>
    </xdr:to>
    <xdr:pic>
      <xdr:nvPicPr>
        <xdr:cNvPr id="13" name="Picture 1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363200" y="11910060"/>
          <a:ext cx="3554894" cy="3153158"/>
        </a:xfrm>
        <a:prstGeom prst="rect">
          <a:avLst/>
        </a:prstGeom>
        <a:solidFill>
          <a:schemeClr val="bg1"/>
        </a:solidFill>
        <a:ln w="12700">
          <a:solidFill>
            <a:sysClr val="windowText" lastClr="000000"/>
          </a:solidFill>
        </a:ln>
      </xdr:spPr>
    </xdr:pic>
    <xdr:clientData/>
  </xdr:twoCellAnchor>
  <xdr:twoCellAnchor editAs="oneCell">
    <xdr:from>
      <xdr:col>6</xdr:col>
      <xdr:colOff>601980</xdr:colOff>
      <xdr:row>65</xdr:row>
      <xdr:rowOff>106680</xdr:rowOff>
    </xdr:from>
    <xdr:to>
      <xdr:col>12</xdr:col>
      <xdr:colOff>152078</xdr:colOff>
      <xdr:row>81</xdr:row>
      <xdr:rowOff>6856</xdr:rowOff>
    </xdr:to>
    <xdr:pic>
      <xdr:nvPicPr>
        <xdr:cNvPr id="14" name="Picture 1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485120" y="15857220"/>
          <a:ext cx="3398198" cy="3213724"/>
        </a:xfrm>
        <a:prstGeom prst="rect">
          <a:avLst/>
        </a:prstGeom>
        <a:solidFill>
          <a:schemeClr val="bg1"/>
        </a:solidFill>
        <a:ln w="12700">
          <a:solidFill>
            <a:sysClr val="windowText" lastClr="000000"/>
          </a:solidFill>
        </a:ln>
      </xdr:spPr>
    </xdr:pic>
    <xdr:clientData/>
  </xdr:twoCellAnchor>
  <xdr:twoCellAnchor editAs="oneCell">
    <xdr:from>
      <xdr:col>6</xdr:col>
      <xdr:colOff>483049</xdr:colOff>
      <xdr:row>91</xdr:row>
      <xdr:rowOff>161350</xdr:rowOff>
    </xdr:from>
    <xdr:to>
      <xdr:col>14</xdr:col>
      <xdr:colOff>95036</xdr:colOff>
      <xdr:row>97</xdr:row>
      <xdr:rowOff>175250</xdr:rowOff>
    </xdr:to>
    <xdr:pic>
      <xdr:nvPicPr>
        <xdr:cNvPr id="19" name="Picture 1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362155" y="19121703"/>
          <a:ext cx="4677046" cy="2380582"/>
        </a:xfrm>
        <a:prstGeom prst="rect">
          <a:avLst/>
        </a:prstGeom>
        <a:ln w="12700">
          <a:solidFill>
            <a:schemeClr val="tx1"/>
          </a:solidFill>
        </a:ln>
      </xdr:spPr>
    </xdr:pic>
    <xdr:clientData/>
  </xdr:twoCellAnchor>
  <xdr:twoCellAnchor>
    <xdr:from>
      <xdr:col>6</xdr:col>
      <xdr:colOff>358588</xdr:colOff>
      <xdr:row>100</xdr:row>
      <xdr:rowOff>134470</xdr:rowOff>
    </xdr:from>
    <xdr:to>
      <xdr:col>13</xdr:col>
      <xdr:colOff>513229</xdr:colOff>
      <xdr:row>113</xdr:row>
      <xdr:rowOff>172570</xdr:rowOff>
    </xdr:to>
    <xdr:graphicFrame macro="">
      <xdr:nvGraphicFramePr>
        <xdr:cNvPr id="20" name="Chart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2</xdr:col>
      <xdr:colOff>206196</xdr:colOff>
      <xdr:row>5</xdr:row>
      <xdr:rowOff>80680</xdr:rowOff>
    </xdr:from>
    <xdr:to>
      <xdr:col>4</xdr:col>
      <xdr:colOff>1138522</xdr:colOff>
      <xdr:row>25</xdr:row>
      <xdr:rowOff>16922</xdr:rowOff>
    </xdr:to>
    <xdr:pic>
      <xdr:nvPicPr>
        <xdr:cNvPr id="8" name="Picture 7"/>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52925" y="1084727"/>
          <a:ext cx="6902821" cy="3531089"/>
        </a:xfrm>
        <a:prstGeom prst="rect">
          <a:avLst/>
        </a:prstGeom>
        <a:solidFill>
          <a:schemeClr val="bg1"/>
        </a:solidFill>
        <a:ln w="12700">
          <a:solidFill>
            <a:schemeClr val="accent1"/>
          </a:solid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1905</xdr:colOff>
      <xdr:row>90</xdr:row>
      <xdr:rowOff>226695</xdr:rowOff>
    </xdr:from>
    <xdr:to>
      <xdr:col>13</xdr:col>
      <xdr:colOff>190500</xdr:colOff>
      <xdr:row>106</xdr:row>
      <xdr:rowOff>27976</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85145" y="18956655"/>
          <a:ext cx="3846195" cy="3161701"/>
        </a:xfrm>
        <a:prstGeom prst="rect">
          <a:avLst/>
        </a:prstGeom>
        <a:noFill/>
        <a:ln w="12700">
          <a:solidFill>
            <a:schemeClr val="tx1"/>
          </a:solidFill>
        </a:ln>
        <a:extLst>
          <a:ext uri="{909E8E84-426E-40DD-AFC4-6F175D3DCCD1}">
            <a14:hiddenFill xmlns:a14="http://schemas.microsoft.com/office/drawing/2010/main">
              <a:solidFill>
                <a:srgbClr val="FFFFFF"/>
              </a:solidFill>
            </a14:hiddenFill>
          </a:ext>
        </a:extLst>
      </xdr:spPr>
    </xdr:pic>
    <xdr:clientData/>
  </xdr:twoCellAnchor>
  <xdr:twoCellAnchor>
    <xdr:from>
      <xdr:col>6</xdr:col>
      <xdr:colOff>182880</xdr:colOff>
      <xdr:row>130</xdr:row>
      <xdr:rowOff>358140</xdr:rowOff>
    </xdr:from>
    <xdr:to>
      <xdr:col>13</xdr:col>
      <xdr:colOff>335280</xdr:colOff>
      <xdr:row>144</xdr:row>
      <xdr:rowOff>175260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7</xdr:col>
      <xdr:colOff>22860</xdr:colOff>
      <xdr:row>75</xdr:row>
      <xdr:rowOff>38130</xdr:rowOff>
    </xdr:from>
    <xdr:to>
      <xdr:col>13</xdr:col>
      <xdr:colOff>190500</xdr:colOff>
      <xdr:row>89</xdr:row>
      <xdr:rowOff>4390</xdr:rowOff>
    </xdr:to>
    <xdr:pic>
      <xdr:nvPicPr>
        <xdr:cNvPr id="5"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0699825" y="15224342"/>
          <a:ext cx="3825240" cy="2664636"/>
        </a:xfrm>
        <a:prstGeom prst="rect">
          <a:avLst/>
        </a:prstGeom>
        <a:solidFill>
          <a:schemeClr val="bg1"/>
        </a:solidFill>
        <a:ln w="12700">
          <a:solidFill>
            <a:sysClr val="windowText" lastClr="000000"/>
          </a:solidFill>
        </a:ln>
      </xdr:spPr>
    </xdr:pic>
    <xdr:clientData/>
  </xdr:twoCellAnchor>
  <xdr:twoCellAnchor editAs="oneCell">
    <xdr:from>
      <xdr:col>7</xdr:col>
      <xdr:colOff>9410</xdr:colOff>
      <xdr:row>61</xdr:row>
      <xdr:rowOff>176811</xdr:rowOff>
    </xdr:from>
    <xdr:to>
      <xdr:col>12</xdr:col>
      <xdr:colOff>516304</xdr:colOff>
      <xdr:row>71</xdr:row>
      <xdr:rowOff>177978</xdr:rowOff>
    </xdr:to>
    <xdr:pic>
      <xdr:nvPicPr>
        <xdr:cNvPr id="6" name="Picture 5"/>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10686375" y="11705423"/>
          <a:ext cx="3554894" cy="2376814"/>
        </a:xfrm>
        <a:prstGeom prst="rect">
          <a:avLst/>
        </a:prstGeom>
        <a:solidFill>
          <a:schemeClr val="bg1"/>
        </a:solidFill>
        <a:ln w="12700">
          <a:solidFill>
            <a:sysClr val="windowText" lastClr="000000"/>
          </a:solidFill>
        </a:ln>
      </xdr:spPr>
    </xdr:pic>
    <xdr:clientData/>
  </xdr:twoCellAnchor>
  <xdr:twoCellAnchor editAs="oneCell">
    <xdr:from>
      <xdr:col>2</xdr:col>
      <xdr:colOff>340670</xdr:colOff>
      <xdr:row>3</xdr:row>
      <xdr:rowOff>17936</xdr:rowOff>
    </xdr:from>
    <xdr:to>
      <xdr:col>4</xdr:col>
      <xdr:colOff>1272996</xdr:colOff>
      <xdr:row>22</xdr:row>
      <xdr:rowOff>124507</xdr:rowOff>
    </xdr:to>
    <xdr:pic>
      <xdr:nvPicPr>
        <xdr:cNvPr id="8" name="Picture 7"/>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187399" y="654430"/>
          <a:ext cx="6902821" cy="3531089"/>
        </a:xfrm>
        <a:prstGeom prst="rect">
          <a:avLst/>
        </a:prstGeom>
        <a:solidFill>
          <a:schemeClr val="bg1"/>
        </a:solidFill>
        <a:ln w="12700">
          <a:solidFill>
            <a:schemeClr val="accent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0272042/AppData/Local/Microsoft/Windows/Temporary%20Internet%20Files/Content.Outlook/BMJWPPLC/TPS2392_93Tool_Rel_1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ComponentCalc"/>
      <sheetName val="RampTim1"/>
    </sheetNames>
    <sheetDataSet>
      <sheetData sheetId="0" refreshError="1"/>
      <sheetData sheetId="1">
        <row r="26">
          <cell r="D26">
            <v>330</v>
          </cell>
        </row>
        <row r="35">
          <cell r="D35">
            <v>499</v>
          </cell>
        </row>
        <row r="39">
          <cell r="D39">
            <v>8.4499999999999993</v>
          </cell>
        </row>
        <row r="40">
          <cell r="D40">
            <v>9.5299999999999994</v>
          </cell>
        </row>
        <row r="54">
          <cell r="D54">
            <v>10</v>
          </cell>
        </row>
        <row r="59">
          <cell r="D59">
            <v>1.2E-2</v>
          </cell>
        </row>
        <row r="64">
          <cell r="D64">
            <v>75</v>
          </cell>
        </row>
        <row r="65">
          <cell r="D65">
            <v>6.0000000000000008E-7</v>
          </cell>
          <cell r="AF65" t="str">
            <v>vL1SS1(tSS1) =</v>
          </cell>
        </row>
        <row r="66">
          <cell r="D66">
            <v>9.9999999999999991E-6</v>
          </cell>
          <cell r="AF66" t="str">
            <v>vL1SS2(tSS2) =</v>
          </cell>
        </row>
        <row r="67">
          <cell r="D67">
            <v>6</v>
          </cell>
          <cell r="AF67" t="str">
            <v>vL1SS3(tSS2) =</v>
          </cell>
        </row>
        <row r="68">
          <cell r="D68">
            <v>0.5</v>
          </cell>
          <cell r="AF68" t="str">
            <v>vL1SS3(tSS2) =</v>
          </cell>
        </row>
        <row r="69">
          <cell r="D69">
            <v>33</v>
          </cell>
        </row>
        <row r="70">
          <cell r="D70">
            <v>0.1</v>
          </cell>
        </row>
        <row r="71">
          <cell r="D71">
            <v>0.25000000000000006</v>
          </cell>
        </row>
        <row r="72">
          <cell r="D72">
            <v>4.166666666666667</v>
          </cell>
        </row>
        <row r="73">
          <cell r="D73">
            <v>3.63E-3</v>
          </cell>
        </row>
        <row r="74">
          <cell r="D74">
            <v>-1</v>
          </cell>
        </row>
        <row r="79">
          <cell r="D79">
            <v>10</v>
          </cell>
        </row>
        <row r="80">
          <cell r="D80">
            <v>14.200000000000001</v>
          </cell>
        </row>
        <row r="81">
          <cell r="D81">
            <v>10.119999999999999</v>
          </cell>
        </row>
        <row r="82">
          <cell r="D82">
            <v>12</v>
          </cell>
        </row>
        <row r="83">
          <cell r="D83">
            <v>10.119999999999999</v>
          </cell>
        </row>
        <row r="91">
          <cell r="E91" t="str">
            <v>N/A</v>
          </cell>
        </row>
        <row r="93">
          <cell r="E93" t="str">
            <v>N/A</v>
          </cell>
        </row>
        <row r="94">
          <cell r="E94" t="str">
            <v>N/A</v>
          </cell>
        </row>
        <row r="98">
          <cell r="E98" t="str">
            <v>N/A</v>
          </cell>
        </row>
        <row r="99">
          <cell r="E99">
            <v>20.348181818181818</v>
          </cell>
        </row>
        <row r="139">
          <cell r="D139">
            <v>4</v>
          </cell>
        </row>
        <row r="145">
          <cell r="D145">
            <v>55</v>
          </cell>
        </row>
        <row r="146">
          <cell r="D146">
            <v>3.84</v>
          </cell>
        </row>
        <row r="150">
          <cell r="D150">
            <v>1.4</v>
          </cell>
        </row>
        <row r="152">
          <cell r="D152">
            <v>8.3000000000000007</v>
          </cell>
        </row>
        <row r="153">
          <cell r="D153">
            <v>10</v>
          </cell>
        </row>
        <row r="156">
          <cell r="D156">
            <v>1.4</v>
          </cell>
        </row>
        <row r="157">
          <cell r="D157">
            <v>1.44</v>
          </cell>
        </row>
        <row r="159">
          <cell r="D159">
            <v>10</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www.ti.com/lit/pdf/slva673"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9"/>
  <sheetViews>
    <sheetView tabSelected="1" workbookViewId="0"/>
  </sheetViews>
  <sheetFormatPr defaultRowHeight="14.4" x14ac:dyDescent="0.3"/>
  <sheetData>
    <row r="1" spans="1:16" x14ac:dyDescent="0.3">
      <c r="A1" s="42"/>
      <c r="B1" s="5"/>
      <c r="C1" s="5"/>
      <c r="D1" s="5"/>
      <c r="E1" s="5"/>
      <c r="F1" s="5"/>
      <c r="G1" s="5"/>
      <c r="H1" s="5"/>
      <c r="I1" s="5"/>
      <c r="J1" s="5"/>
      <c r="K1" s="5"/>
      <c r="L1" s="5"/>
      <c r="M1" s="5"/>
      <c r="N1" s="5"/>
      <c r="O1" s="5"/>
      <c r="P1" s="43"/>
    </row>
    <row r="2" spans="1:16" ht="17.399999999999999" x14ac:dyDescent="0.3">
      <c r="A2" s="42"/>
      <c r="B2" s="44"/>
      <c r="C2" s="5"/>
      <c r="D2" s="5"/>
      <c r="E2" s="5"/>
      <c r="F2" s="5"/>
      <c r="G2" s="5"/>
      <c r="H2" s="5"/>
      <c r="I2" s="45"/>
      <c r="J2" s="5"/>
      <c r="K2" s="5"/>
      <c r="L2" s="5"/>
      <c r="M2" s="5"/>
      <c r="N2" s="5"/>
      <c r="O2" s="5"/>
      <c r="P2" s="43"/>
    </row>
    <row r="3" spans="1:16" ht="17.399999999999999" x14ac:dyDescent="0.3">
      <c r="A3" s="42"/>
      <c r="B3" s="44"/>
      <c r="C3" s="5"/>
      <c r="D3" s="5"/>
      <c r="E3" s="5"/>
      <c r="F3" s="5"/>
      <c r="G3" s="5"/>
      <c r="H3" s="5"/>
      <c r="I3" s="5"/>
      <c r="J3" s="5"/>
      <c r="K3" s="5"/>
      <c r="L3" s="5"/>
      <c r="M3" s="5"/>
      <c r="N3" s="5"/>
      <c r="O3" s="5"/>
      <c r="P3" s="43"/>
    </row>
    <row r="4" spans="1:16" x14ac:dyDescent="0.3">
      <c r="A4" s="42"/>
      <c r="B4" s="5"/>
      <c r="C4" s="5"/>
      <c r="D4" s="5"/>
      <c r="E4" s="5"/>
      <c r="F4" s="5"/>
      <c r="G4" s="5"/>
      <c r="H4" s="5"/>
      <c r="I4" s="5"/>
      <c r="J4" s="5"/>
      <c r="K4" s="5"/>
      <c r="L4" s="5"/>
      <c r="M4" s="5"/>
      <c r="N4" s="5"/>
      <c r="O4" s="5"/>
      <c r="P4" s="43"/>
    </row>
    <row r="5" spans="1:16" x14ac:dyDescent="0.3">
      <c r="A5" s="42"/>
      <c r="B5" s="5"/>
      <c r="C5" s="5"/>
      <c r="D5" s="5"/>
      <c r="E5" s="5"/>
      <c r="F5" s="5"/>
      <c r="G5" s="5"/>
      <c r="H5" s="5"/>
      <c r="I5" s="5"/>
      <c r="J5" s="5"/>
      <c r="K5" s="5"/>
      <c r="L5" s="5"/>
      <c r="M5" s="5"/>
      <c r="N5" s="5"/>
      <c r="O5" s="5"/>
      <c r="P5" s="43"/>
    </row>
    <row r="6" spans="1:16" x14ac:dyDescent="0.3">
      <c r="A6" s="42"/>
      <c r="B6" s="46"/>
      <c r="C6" s="5"/>
      <c r="D6" s="5"/>
      <c r="E6" s="5"/>
      <c r="F6" s="5"/>
      <c r="G6" s="5"/>
      <c r="H6" s="5"/>
      <c r="I6" s="5"/>
      <c r="J6" s="5"/>
      <c r="K6" s="5"/>
      <c r="L6" s="5"/>
      <c r="M6" s="5"/>
      <c r="N6" s="5"/>
      <c r="O6" s="5"/>
      <c r="P6" s="43"/>
    </row>
    <row r="7" spans="1:16" x14ac:dyDescent="0.3">
      <c r="A7" s="42"/>
      <c r="B7" s="5"/>
      <c r="C7" s="5"/>
      <c r="D7" s="5"/>
      <c r="E7" s="5"/>
      <c r="F7" s="5"/>
      <c r="G7" s="5"/>
      <c r="H7" s="5"/>
      <c r="I7" s="5"/>
      <c r="J7" s="5"/>
      <c r="K7" s="5"/>
      <c r="L7" s="5"/>
      <c r="M7" s="5"/>
      <c r="N7" s="5"/>
      <c r="O7" s="5"/>
      <c r="P7" s="43"/>
    </row>
    <row r="8" spans="1:16" x14ac:dyDescent="0.3">
      <c r="A8" s="42" t="s">
        <v>385</v>
      </c>
      <c r="B8" s="5"/>
      <c r="C8" s="5"/>
      <c r="D8" s="5"/>
      <c r="E8" s="5"/>
      <c r="F8" s="5"/>
      <c r="G8" s="5"/>
      <c r="H8" s="5"/>
      <c r="I8" s="5"/>
      <c r="J8" s="5"/>
      <c r="K8" s="5"/>
      <c r="L8" s="5"/>
      <c r="M8" s="5"/>
      <c r="N8" s="5"/>
      <c r="O8" s="5"/>
      <c r="P8" s="43"/>
    </row>
    <row r="9" spans="1:16" x14ac:dyDescent="0.3">
      <c r="A9" s="42"/>
      <c r="B9" s="46"/>
      <c r="C9" s="5"/>
      <c r="D9" s="5"/>
      <c r="E9" s="5"/>
      <c r="F9" s="5"/>
      <c r="G9" s="5"/>
      <c r="H9" s="5"/>
      <c r="I9" s="5"/>
      <c r="J9" s="5"/>
      <c r="K9" s="5"/>
      <c r="L9" s="5"/>
      <c r="M9" s="5"/>
      <c r="N9" s="5"/>
      <c r="O9" s="5"/>
      <c r="P9" s="43"/>
    </row>
    <row r="10" spans="1:16" ht="15.6" x14ac:dyDescent="0.3">
      <c r="A10" s="42"/>
      <c r="B10" s="46"/>
      <c r="C10" s="5"/>
      <c r="D10" s="5"/>
      <c r="E10" s="5"/>
      <c r="F10" s="5"/>
      <c r="G10" s="5"/>
      <c r="H10" s="5"/>
      <c r="I10" s="5"/>
      <c r="J10" s="5"/>
      <c r="K10" s="5"/>
      <c r="L10" s="5"/>
      <c r="M10" s="5"/>
      <c r="N10" s="5"/>
      <c r="O10" s="47" t="s">
        <v>233</v>
      </c>
      <c r="P10" s="43"/>
    </row>
    <row r="11" spans="1:16" ht="30" x14ac:dyDescent="0.5">
      <c r="A11" s="42"/>
      <c r="B11" s="48" t="s">
        <v>386</v>
      </c>
      <c r="C11" s="5"/>
      <c r="D11" s="5"/>
      <c r="E11" s="5"/>
      <c r="F11" s="5"/>
      <c r="G11" s="5"/>
      <c r="H11" s="5"/>
      <c r="I11" s="5"/>
      <c r="J11" s="5"/>
      <c r="K11" s="5"/>
      <c r="L11" s="5"/>
      <c r="M11" s="5"/>
      <c r="N11" s="5"/>
      <c r="O11" s="5"/>
      <c r="P11" s="43"/>
    </row>
    <row r="12" spans="1:16" ht="30" x14ac:dyDescent="0.5">
      <c r="A12" s="42"/>
      <c r="B12" s="5"/>
      <c r="C12" s="5"/>
      <c r="D12" s="5"/>
      <c r="E12" s="5"/>
      <c r="F12" s="5"/>
      <c r="G12" s="48" t="s">
        <v>388</v>
      </c>
      <c r="H12" s="5"/>
      <c r="I12" s="5"/>
      <c r="J12" s="5"/>
      <c r="K12" s="5"/>
      <c r="L12" s="5"/>
      <c r="M12" s="5"/>
      <c r="N12" s="5"/>
      <c r="O12" s="5"/>
      <c r="P12" s="43"/>
    </row>
    <row r="13" spans="1:16" ht="20.399999999999999" x14ac:dyDescent="0.35">
      <c r="A13" s="42"/>
      <c r="B13" s="62" t="s">
        <v>234</v>
      </c>
      <c r="C13" s="5"/>
      <c r="D13" s="5"/>
      <c r="E13" s="5"/>
      <c r="F13" s="5"/>
      <c r="G13" s="5"/>
      <c r="H13" s="5"/>
      <c r="I13" s="5"/>
      <c r="J13" s="5"/>
      <c r="K13" s="5"/>
      <c r="L13" s="5"/>
      <c r="M13" s="5"/>
      <c r="N13" s="5"/>
      <c r="O13" s="5"/>
      <c r="P13" s="43"/>
    </row>
    <row r="14" spans="1:16" ht="20.399999999999999" x14ac:dyDescent="0.35">
      <c r="A14" s="42"/>
      <c r="B14" s="62"/>
      <c r="C14" s="5"/>
      <c r="D14" s="5"/>
      <c r="E14" s="5"/>
      <c r="F14" s="5"/>
      <c r="G14" s="5"/>
      <c r="H14" s="5"/>
      <c r="I14" s="5"/>
      <c r="J14" s="5"/>
      <c r="K14" s="5"/>
      <c r="L14" s="5"/>
      <c r="M14" s="5"/>
      <c r="N14" s="5"/>
      <c r="O14" s="5"/>
      <c r="P14" s="43"/>
    </row>
    <row r="15" spans="1:16" ht="20.399999999999999" x14ac:dyDescent="0.35">
      <c r="A15" s="42"/>
      <c r="B15" s="49" t="s">
        <v>276</v>
      </c>
      <c r="C15" s="50"/>
      <c r="D15" s="50"/>
      <c r="E15" s="50"/>
      <c r="F15" s="51"/>
      <c r="G15" s="51"/>
      <c r="H15" s="51"/>
      <c r="I15" s="51"/>
      <c r="J15" s="51"/>
      <c r="K15" s="51"/>
      <c r="L15" s="51"/>
      <c r="M15" s="51"/>
      <c r="N15" s="5"/>
      <c r="O15" s="5"/>
      <c r="P15" s="43"/>
    </row>
    <row r="16" spans="1:16" ht="39.6" customHeight="1" x14ac:dyDescent="0.3">
      <c r="A16" s="42"/>
      <c r="B16" s="100" t="s">
        <v>387</v>
      </c>
      <c r="C16" s="101"/>
      <c r="D16" s="101"/>
      <c r="E16" s="101"/>
      <c r="F16" s="101"/>
      <c r="G16" s="101"/>
      <c r="H16" s="101"/>
      <c r="I16" s="101"/>
      <c r="J16" s="101"/>
      <c r="K16" s="101"/>
      <c r="L16" s="101"/>
      <c r="M16" s="101"/>
      <c r="N16" s="101"/>
      <c r="O16" s="101"/>
      <c r="P16" s="102"/>
    </row>
    <row r="17" spans="1:16" ht="38.4" customHeight="1" x14ac:dyDescent="0.3">
      <c r="A17" s="42"/>
      <c r="B17" s="100" t="s">
        <v>277</v>
      </c>
      <c r="C17" s="101"/>
      <c r="D17" s="101"/>
      <c r="E17" s="101"/>
      <c r="F17" s="101"/>
      <c r="G17" s="101"/>
      <c r="H17" s="101"/>
      <c r="I17" s="101"/>
      <c r="J17" s="101"/>
      <c r="K17" s="101"/>
      <c r="L17" s="101"/>
      <c r="M17" s="101"/>
      <c r="N17" s="101"/>
      <c r="O17" s="101"/>
      <c r="P17" s="102"/>
    </row>
    <row r="18" spans="1:16" ht="43.2" customHeight="1" x14ac:dyDescent="0.3">
      <c r="A18" s="42"/>
      <c r="B18" s="100" t="s">
        <v>275</v>
      </c>
      <c r="C18" s="101"/>
      <c r="D18" s="101"/>
      <c r="E18" s="101"/>
      <c r="F18" s="101"/>
      <c r="G18" s="101"/>
      <c r="H18" s="101"/>
      <c r="I18" s="101"/>
      <c r="J18" s="101"/>
      <c r="K18" s="101"/>
      <c r="L18" s="101"/>
      <c r="M18" s="101"/>
      <c r="N18" s="101"/>
      <c r="O18" s="101"/>
      <c r="P18" s="102"/>
    </row>
    <row r="19" spans="1:16" x14ac:dyDescent="0.3">
      <c r="A19" s="42"/>
      <c r="B19" s="89" t="s">
        <v>225</v>
      </c>
      <c r="C19" s="89"/>
      <c r="D19" s="89"/>
      <c r="E19" s="50"/>
      <c r="F19" s="51"/>
      <c r="G19" s="51"/>
      <c r="H19" s="51"/>
      <c r="I19" s="51"/>
      <c r="J19" s="51"/>
      <c r="K19" s="51"/>
      <c r="L19" s="51"/>
      <c r="M19" s="51"/>
      <c r="N19" s="5"/>
      <c r="O19" s="5"/>
      <c r="P19" s="43"/>
    </row>
    <row r="20" spans="1:16" x14ac:dyDescent="0.3">
      <c r="A20" s="42"/>
      <c r="B20" s="52"/>
      <c r="C20" s="52"/>
      <c r="D20" s="52"/>
      <c r="E20" s="52"/>
      <c r="F20" s="53"/>
      <c r="G20" s="53"/>
      <c r="H20" s="53"/>
      <c r="I20" s="53"/>
      <c r="J20" s="5"/>
      <c r="K20" s="5"/>
      <c r="L20" s="5"/>
      <c r="M20" s="5"/>
      <c r="N20" s="5"/>
      <c r="O20" s="5"/>
      <c r="P20" s="43"/>
    </row>
    <row r="21" spans="1:16" ht="20.399999999999999" x14ac:dyDescent="0.35">
      <c r="A21" s="42"/>
      <c r="B21" s="49" t="s">
        <v>224</v>
      </c>
      <c r="C21" s="52"/>
      <c r="D21" s="52"/>
      <c r="E21" s="52"/>
      <c r="F21" s="53"/>
      <c r="G21" s="53"/>
      <c r="H21" s="53"/>
      <c r="I21" s="53"/>
      <c r="J21" s="5"/>
      <c r="K21" s="5"/>
      <c r="L21" s="5"/>
      <c r="M21" s="5"/>
      <c r="N21" s="5"/>
      <c r="O21" s="5"/>
      <c r="P21" s="43"/>
    </row>
    <row r="22" spans="1:16" ht="15.6" x14ac:dyDescent="0.3">
      <c r="A22" s="42"/>
      <c r="B22" s="54" t="s">
        <v>269</v>
      </c>
      <c r="C22" s="52"/>
      <c r="D22" s="52"/>
      <c r="E22" s="52"/>
      <c r="F22" s="53"/>
      <c r="G22" s="53"/>
      <c r="H22" s="53"/>
      <c r="I22" s="53"/>
      <c r="J22" s="5"/>
      <c r="K22" s="5"/>
      <c r="L22" s="5"/>
      <c r="M22" s="5"/>
      <c r="N22" s="90"/>
      <c r="O22" s="90"/>
      <c r="P22" s="43"/>
    </row>
    <row r="23" spans="1:16" x14ac:dyDescent="0.3">
      <c r="A23" s="42"/>
      <c r="B23" s="54" t="s">
        <v>226</v>
      </c>
      <c r="C23" s="52"/>
      <c r="D23" s="52"/>
      <c r="E23" s="52"/>
      <c r="F23" s="53"/>
      <c r="G23" s="53"/>
      <c r="H23" s="53"/>
      <c r="I23" s="53"/>
      <c r="J23" s="5"/>
      <c r="K23" s="5"/>
      <c r="L23" s="5"/>
      <c r="M23" s="5"/>
      <c r="N23" s="5"/>
      <c r="O23" s="5"/>
      <c r="P23" s="43"/>
    </row>
    <row r="24" spans="1:16" x14ac:dyDescent="0.3">
      <c r="A24" s="42"/>
      <c r="B24" s="54" t="s">
        <v>270</v>
      </c>
      <c r="C24" s="52"/>
      <c r="D24" s="52"/>
      <c r="E24" s="52"/>
      <c r="F24" s="53"/>
      <c r="G24" s="53"/>
      <c r="H24" s="53"/>
      <c r="I24" s="53"/>
      <c r="J24" s="5"/>
      <c r="K24" s="5"/>
      <c r="L24" s="5"/>
      <c r="M24" s="5"/>
      <c r="N24" s="5"/>
      <c r="O24" s="5"/>
      <c r="P24" s="43"/>
    </row>
    <row r="25" spans="1:16" x14ac:dyDescent="0.3">
      <c r="A25" s="42"/>
      <c r="B25" s="54" t="s">
        <v>271</v>
      </c>
      <c r="C25" s="52"/>
      <c r="D25" s="52"/>
      <c r="E25" s="52"/>
      <c r="F25" s="53"/>
      <c r="G25" s="53"/>
      <c r="H25" s="53"/>
      <c r="I25" s="53"/>
      <c r="J25" s="5"/>
      <c r="K25" s="5"/>
      <c r="L25" s="5"/>
      <c r="M25" s="5"/>
      <c r="N25" s="5"/>
      <c r="O25" s="5"/>
      <c r="P25" s="55"/>
    </row>
    <row r="26" spans="1:16" x14ac:dyDescent="0.3">
      <c r="A26" s="42"/>
      <c r="B26" s="54" t="s">
        <v>272</v>
      </c>
      <c r="C26" s="52"/>
      <c r="D26" s="52"/>
      <c r="E26" s="52"/>
      <c r="F26" s="53"/>
      <c r="G26" s="53"/>
      <c r="H26" s="53"/>
      <c r="I26" s="53"/>
      <c r="J26" s="5"/>
      <c r="K26" s="5"/>
      <c r="L26" s="5"/>
      <c r="M26" s="5"/>
      <c r="N26" s="5"/>
      <c r="O26" s="5"/>
      <c r="P26" s="55"/>
    </row>
    <row r="27" spans="1:16" x14ac:dyDescent="0.3">
      <c r="A27" s="42"/>
      <c r="B27" s="54" t="s">
        <v>273</v>
      </c>
      <c r="C27" s="52"/>
      <c r="D27" s="52"/>
      <c r="E27" s="52"/>
      <c r="F27" s="53"/>
      <c r="G27" s="53"/>
      <c r="H27" s="53"/>
      <c r="I27" s="53"/>
      <c r="J27" s="5"/>
      <c r="K27" s="5"/>
      <c r="L27" s="5"/>
      <c r="M27" s="5"/>
      <c r="N27" s="5"/>
      <c r="O27" s="5"/>
      <c r="P27" s="55"/>
    </row>
    <row r="28" spans="1:16" x14ac:dyDescent="0.3">
      <c r="A28" s="42"/>
      <c r="B28" s="54" t="s">
        <v>274</v>
      </c>
      <c r="C28" s="52"/>
      <c r="D28" s="52"/>
      <c r="E28" s="52"/>
      <c r="F28" s="53"/>
      <c r="G28" s="53"/>
      <c r="H28" s="53"/>
      <c r="I28" s="53"/>
      <c r="J28" s="5"/>
      <c r="K28" s="5"/>
      <c r="L28" s="5"/>
      <c r="M28" s="5"/>
      <c r="N28" s="5"/>
      <c r="O28" s="5"/>
      <c r="P28" s="43"/>
    </row>
    <row r="29" spans="1:16" x14ac:dyDescent="0.3">
      <c r="A29" s="42"/>
      <c r="B29" s="46"/>
      <c r="C29" s="5"/>
      <c r="D29" s="5"/>
      <c r="E29" s="5"/>
      <c r="F29" s="5"/>
      <c r="G29" s="5"/>
      <c r="H29" s="5"/>
      <c r="I29" s="5"/>
      <c r="J29" s="5"/>
      <c r="K29" s="5"/>
      <c r="L29" s="5"/>
      <c r="M29" s="5"/>
      <c r="N29" s="5"/>
      <c r="O29" s="5"/>
      <c r="P29" s="43"/>
    </row>
    <row r="30" spans="1:16" ht="20.399999999999999" x14ac:dyDescent="0.35">
      <c r="A30" s="42"/>
      <c r="B30" s="56" t="s">
        <v>227</v>
      </c>
      <c r="C30" s="53"/>
      <c r="D30" s="53"/>
      <c r="E30" s="53"/>
      <c r="F30" s="53"/>
      <c r="G30" s="53"/>
      <c r="H30" s="53"/>
      <c r="I30" s="53"/>
      <c r="J30" s="53"/>
      <c r="K30" s="53"/>
      <c r="L30" s="53"/>
      <c r="M30" s="53"/>
      <c r="N30" s="5"/>
      <c r="O30" s="5"/>
      <c r="P30" s="43"/>
    </row>
    <row r="31" spans="1:16" x14ac:dyDescent="0.3">
      <c r="A31" s="42"/>
      <c r="B31" s="57" t="s">
        <v>228</v>
      </c>
      <c r="C31" s="53"/>
      <c r="D31" s="53"/>
      <c r="E31" s="53"/>
      <c r="F31" s="53"/>
      <c r="G31" s="53"/>
      <c r="H31" s="53"/>
      <c r="I31" s="53"/>
      <c r="J31" s="53"/>
      <c r="K31" s="53"/>
      <c r="L31" s="53"/>
      <c r="M31" s="53"/>
      <c r="N31" s="5"/>
      <c r="O31" s="5"/>
      <c r="P31" s="43"/>
    </row>
    <row r="32" spans="1:16" x14ac:dyDescent="0.3">
      <c r="A32" s="42"/>
      <c r="B32" s="53" t="s">
        <v>229</v>
      </c>
      <c r="C32" s="53"/>
      <c r="D32" s="53"/>
      <c r="E32" s="53"/>
      <c r="F32" s="53"/>
      <c r="G32" s="53"/>
      <c r="H32" s="53"/>
      <c r="I32" s="53"/>
      <c r="J32" s="53"/>
      <c r="K32" s="53"/>
      <c r="L32" s="53"/>
      <c r="M32" s="53"/>
      <c r="N32" s="5"/>
      <c r="O32" s="5"/>
      <c r="P32" s="43"/>
    </row>
    <row r="33" spans="1:16" x14ac:dyDescent="0.3">
      <c r="A33" s="42"/>
      <c r="B33" s="53"/>
      <c r="C33" s="53"/>
      <c r="D33" s="53"/>
      <c r="E33" s="53"/>
      <c r="F33" s="53"/>
      <c r="G33" s="53"/>
      <c r="H33" s="53"/>
      <c r="I33" s="53"/>
      <c r="J33" s="53"/>
      <c r="K33" s="53"/>
      <c r="L33" s="53"/>
      <c r="M33" s="53"/>
      <c r="N33" s="5"/>
      <c r="O33" s="5"/>
      <c r="P33" s="43"/>
    </row>
    <row r="34" spans="1:16" x14ac:dyDescent="0.3">
      <c r="A34" s="42"/>
      <c r="B34" s="57" t="s">
        <v>230</v>
      </c>
      <c r="C34" s="53"/>
      <c r="D34" s="53"/>
      <c r="E34" s="53"/>
      <c r="F34" s="53"/>
      <c r="G34" s="53"/>
      <c r="H34" s="53"/>
      <c r="I34" s="53"/>
      <c r="J34" s="53"/>
      <c r="K34" s="53"/>
      <c r="L34" s="53"/>
      <c r="M34" s="53"/>
      <c r="N34" s="5"/>
      <c r="O34" s="5"/>
      <c r="P34" s="43"/>
    </row>
    <row r="35" spans="1:16" x14ac:dyDescent="0.3">
      <c r="A35" s="42"/>
      <c r="B35" s="53"/>
      <c r="C35" s="53"/>
      <c r="D35" s="53"/>
      <c r="E35" s="53"/>
      <c r="F35" s="53"/>
      <c r="G35" s="53"/>
      <c r="H35" s="53"/>
      <c r="I35" s="53"/>
      <c r="J35" s="53"/>
      <c r="K35" s="53"/>
      <c r="L35" s="53"/>
      <c r="M35" s="53"/>
      <c r="N35" s="5"/>
      <c r="O35" s="5"/>
      <c r="P35" s="43"/>
    </row>
    <row r="36" spans="1:16" x14ac:dyDescent="0.3">
      <c r="A36" s="42"/>
      <c r="B36" s="53" t="s">
        <v>231</v>
      </c>
      <c r="C36" s="53"/>
      <c r="D36" s="53"/>
      <c r="E36" s="53"/>
      <c r="F36" s="53"/>
      <c r="G36" s="53"/>
      <c r="H36" s="53"/>
      <c r="I36" s="53"/>
      <c r="J36" s="53"/>
      <c r="K36" s="53"/>
      <c r="L36" s="53"/>
      <c r="M36" s="53"/>
      <c r="N36" s="5"/>
      <c r="O36" s="5"/>
      <c r="P36" s="43"/>
    </row>
    <row r="37" spans="1:16" ht="15" thickBot="1" x14ac:dyDescent="0.35">
      <c r="A37" s="42"/>
      <c r="B37" s="46"/>
      <c r="C37" s="5"/>
      <c r="D37" s="5"/>
      <c r="E37" s="5"/>
      <c r="F37" s="5"/>
      <c r="G37" s="5"/>
      <c r="H37" s="5"/>
      <c r="I37" s="5"/>
      <c r="J37" s="5"/>
      <c r="K37" s="5"/>
      <c r="L37" s="5"/>
      <c r="M37" s="5"/>
      <c r="N37" s="5"/>
      <c r="O37" s="5"/>
      <c r="P37" s="43"/>
    </row>
    <row r="38" spans="1:16" x14ac:dyDescent="0.3">
      <c r="A38" s="42"/>
      <c r="B38" s="91" t="s">
        <v>232</v>
      </c>
      <c r="C38" s="92"/>
      <c r="D38" s="92"/>
      <c r="E38" s="92"/>
      <c r="F38" s="92"/>
      <c r="G38" s="92"/>
      <c r="H38" s="92"/>
      <c r="I38" s="92"/>
      <c r="J38" s="92"/>
      <c r="K38" s="92"/>
      <c r="L38" s="92"/>
      <c r="M38" s="93"/>
      <c r="N38" s="5"/>
      <c r="O38" s="5"/>
      <c r="P38" s="43"/>
    </row>
    <row r="39" spans="1:16" x14ac:dyDescent="0.3">
      <c r="A39" s="42"/>
      <c r="B39" s="94"/>
      <c r="C39" s="95"/>
      <c r="D39" s="95"/>
      <c r="E39" s="95"/>
      <c r="F39" s="95"/>
      <c r="G39" s="95"/>
      <c r="H39" s="95"/>
      <c r="I39" s="95"/>
      <c r="J39" s="95"/>
      <c r="K39" s="95"/>
      <c r="L39" s="95"/>
      <c r="M39" s="96"/>
      <c r="N39" s="5"/>
      <c r="O39" s="5"/>
      <c r="P39" s="43"/>
    </row>
    <row r="40" spans="1:16" x14ac:dyDescent="0.3">
      <c r="A40" s="42"/>
      <c r="B40" s="94"/>
      <c r="C40" s="95"/>
      <c r="D40" s="95"/>
      <c r="E40" s="95"/>
      <c r="F40" s="95"/>
      <c r="G40" s="95"/>
      <c r="H40" s="95"/>
      <c r="I40" s="95"/>
      <c r="J40" s="95"/>
      <c r="K40" s="95"/>
      <c r="L40" s="95"/>
      <c r="M40" s="96"/>
      <c r="N40" s="5"/>
      <c r="O40" s="5"/>
      <c r="P40" s="43"/>
    </row>
    <row r="41" spans="1:16" x14ac:dyDescent="0.3">
      <c r="A41" s="42"/>
      <c r="B41" s="94"/>
      <c r="C41" s="95"/>
      <c r="D41" s="95"/>
      <c r="E41" s="95"/>
      <c r="F41" s="95"/>
      <c r="G41" s="95"/>
      <c r="H41" s="95"/>
      <c r="I41" s="95"/>
      <c r="J41" s="95"/>
      <c r="K41" s="95"/>
      <c r="L41" s="95"/>
      <c r="M41" s="96"/>
      <c r="N41" s="5"/>
      <c r="O41" s="5"/>
      <c r="P41" s="43"/>
    </row>
    <row r="42" spans="1:16" x14ac:dyDescent="0.3">
      <c r="A42" s="42"/>
      <c r="B42" s="94"/>
      <c r="C42" s="95"/>
      <c r="D42" s="95"/>
      <c r="E42" s="95"/>
      <c r="F42" s="95"/>
      <c r="G42" s="95"/>
      <c r="H42" s="95"/>
      <c r="I42" s="95"/>
      <c r="J42" s="95"/>
      <c r="K42" s="95"/>
      <c r="L42" s="95"/>
      <c r="M42" s="96"/>
      <c r="N42" s="5"/>
      <c r="O42" s="5"/>
      <c r="P42" s="43"/>
    </row>
    <row r="43" spans="1:16" x14ac:dyDescent="0.3">
      <c r="A43" s="42"/>
      <c r="B43" s="94"/>
      <c r="C43" s="95"/>
      <c r="D43" s="95"/>
      <c r="E43" s="95"/>
      <c r="F43" s="95"/>
      <c r="G43" s="95"/>
      <c r="H43" s="95"/>
      <c r="I43" s="95"/>
      <c r="J43" s="95"/>
      <c r="K43" s="95"/>
      <c r="L43" s="95"/>
      <c r="M43" s="96"/>
      <c r="N43" s="5"/>
      <c r="O43" s="5"/>
      <c r="P43" s="43"/>
    </row>
    <row r="44" spans="1:16" x14ac:dyDescent="0.3">
      <c r="A44" s="42"/>
      <c r="B44" s="94"/>
      <c r="C44" s="95"/>
      <c r="D44" s="95"/>
      <c r="E44" s="95"/>
      <c r="F44" s="95"/>
      <c r="G44" s="95"/>
      <c r="H44" s="95"/>
      <c r="I44" s="95"/>
      <c r="J44" s="95"/>
      <c r="K44" s="95"/>
      <c r="L44" s="95"/>
      <c r="M44" s="96"/>
      <c r="N44" s="5"/>
      <c r="O44" s="5"/>
      <c r="P44" s="43"/>
    </row>
    <row r="45" spans="1:16" x14ac:dyDescent="0.3">
      <c r="A45" s="42"/>
      <c r="B45" s="94"/>
      <c r="C45" s="95"/>
      <c r="D45" s="95"/>
      <c r="E45" s="95"/>
      <c r="F45" s="95"/>
      <c r="G45" s="95"/>
      <c r="H45" s="95"/>
      <c r="I45" s="95"/>
      <c r="J45" s="95"/>
      <c r="K45" s="95"/>
      <c r="L45" s="95"/>
      <c r="M45" s="96"/>
      <c r="N45" s="5"/>
      <c r="O45" s="5"/>
      <c r="P45" s="43"/>
    </row>
    <row r="46" spans="1:16" x14ac:dyDescent="0.3">
      <c r="A46" s="42"/>
      <c r="B46" s="94"/>
      <c r="C46" s="95"/>
      <c r="D46" s="95"/>
      <c r="E46" s="95"/>
      <c r="F46" s="95"/>
      <c r="G46" s="95"/>
      <c r="H46" s="95"/>
      <c r="I46" s="95"/>
      <c r="J46" s="95"/>
      <c r="K46" s="95"/>
      <c r="L46" s="95"/>
      <c r="M46" s="96"/>
      <c r="N46" s="5"/>
      <c r="O46" s="5"/>
      <c r="P46" s="43"/>
    </row>
    <row r="47" spans="1:16" x14ac:dyDescent="0.3">
      <c r="A47" s="42"/>
      <c r="B47" s="94"/>
      <c r="C47" s="95"/>
      <c r="D47" s="95"/>
      <c r="E47" s="95"/>
      <c r="F47" s="95"/>
      <c r="G47" s="95"/>
      <c r="H47" s="95"/>
      <c r="I47" s="95"/>
      <c r="J47" s="95"/>
      <c r="K47" s="95"/>
      <c r="L47" s="95"/>
      <c r="M47" s="96"/>
      <c r="N47" s="5"/>
      <c r="O47" s="5"/>
      <c r="P47" s="43"/>
    </row>
    <row r="48" spans="1:16" x14ac:dyDescent="0.3">
      <c r="A48" s="42"/>
      <c r="B48" s="94"/>
      <c r="C48" s="95"/>
      <c r="D48" s="95"/>
      <c r="E48" s="95"/>
      <c r="F48" s="95"/>
      <c r="G48" s="95"/>
      <c r="H48" s="95"/>
      <c r="I48" s="95"/>
      <c r="J48" s="95"/>
      <c r="K48" s="95"/>
      <c r="L48" s="95"/>
      <c r="M48" s="96"/>
      <c r="N48" s="5"/>
      <c r="O48" s="5"/>
      <c r="P48" s="43"/>
    </row>
    <row r="49" spans="1:16" x14ac:dyDescent="0.3">
      <c r="A49" s="42"/>
      <c r="B49" s="94"/>
      <c r="C49" s="95"/>
      <c r="D49" s="95"/>
      <c r="E49" s="95"/>
      <c r="F49" s="95"/>
      <c r="G49" s="95"/>
      <c r="H49" s="95"/>
      <c r="I49" s="95"/>
      <c r="J49" s="95"/>
      <c r="K49" s="95"/>
      <c r="L49" s="95"/>
      <c r="M49" s="96"/>
      <c r="N49" s="5"/>
      <c r="O49" s="5"/>
      <c r="P49" s="43"/>
    </row>
    <row r="50" spans="1:16" x14ac:dyDescent="0.3">
      <c r="A50" s="42"/>
      <c r="B50" s="94"/>
      <c r="C50" s="95"/>
      <c r="D50" s="95"/>
      <c r="E50" s="95"/>
      <c r="F50" s="95"/>
      <c r="G50" s="95"/>
      <c r="H50" s="95"/>
      <c r="I50" s="95"/>
      <c r="J50" s="95"/>
      <c r="K50" s="95"/>
      <c r="L50" s="95"/>
      <c r="M50" s="96"/>
      <c r="N50" s="5"/>
      <c r="O50" s="5"/>
      <c r="P50" s="43"/>
    </row>
    <row r="51" spans="1:16" x14ac:dyDescent="0.3">
      <c r="A51" s="42"/>
      <c r="B51" s="94"/>
      <c r="C51" s="95"/>
      <c r="D51" s="95"/>
      <c r="E51" s="95"/>
      <c r="F51" s="95"/>
      <c r="G51" s="95"/>
      <c r="H51" s="95"/>
      <c r="I51" s="95"/>
      <c r="J51" s="95"/>
      <c r="K51" s="95"/>
      <c r="L51" s="95"/>
      <c r="M51" s="96"/>
      <c r="N51" s="5"/>
      <c r="O51" s="5"/>
      <c r="P51" s="43"/>
    </row>
    <row r="52" spans="1:16" x14ac:dyDescent="0.3">
      <c r="A52" s="42"/>
      <c r="B52" s="94"/>
      <c r="C52" s="95"/>
      <c r="D52" s="95"/>
      <c r="E52" s="95"/>
      <c r="F52" s="95"/>
      <c r="G52" s="95"/>
      <c r="H52" s="95"/>
      <c r="I52" s="95"/>
      <c r="J52" s="95"/>
      <c r="K52" s="95"/>
      <c r="L52" s="95"/>
      <c r="M52" s="96"/>
      <c r="N52" s="5"/>
      <c r="O52" s="5"/>
      <c r="P52" s="43"/>
    </row>
    <row r="53" spans="1:16" x14ac:dyDescent="0.3">
      <c r="A53" s="42"/>
      <c r="B53" s="94"/>
      <c r="C53" s="95"/>
      <c r="D53" s="95"/>
      <c r="E53" s="95"/>
      <c r="F53" s="95"/>
      <c r="G53" s="95"/>
      <c r="H53" s="95"/>
      <c r="I53" s="95"/>
      <c r="J53" s="95"/>
      <c r="K53" s="95"/>
      <c r="L53" s="95"/>
      <c r="M53" s="96"/>
      <c r="N53" s="5"/>
      <c r="O53" s="5"/>
      <c r="P53" s="43"/>
    </row>
    <row r="54" spans="1:16" x14ac:dyDescent="0.3">
      <c r="A54" s="42"/>
      <c r="B54" s="94"/>
      <c r="C54" s="95"/>
      <c r="D54" s="95"/>
      <c r="E54" s="95"/>
      <c r="F54" s="95"/>
      <c r="G54" s="95"/>
      <c r="H54" s="95"/>
      <c r="I54" s="95"/>
      <c r="J54" s="95"/>
      <c r="K54" s="95"/>
      <c r="L54" s="95"/>
      <c r="M54" s="96"/>
      <c r="N54" s="5"/>
      <c r="O54" s="5"/>
      <c r="P54" s="43"/>
    </row>
    <row r="55" spans="1:16" x14ac:dyDescent="0.3">
      <c r="A55" s="42"/>
      <c r="B55" s="94"/>
      <c r="C55" s="95"/>
      <c r="D55" s="95"/>
      <c r="E55" s="95"/>
      <c r="F55" s="95"/>
      <c r="G55" s="95"/>
      <c r="H55" s="95"/>
      <c r="I55" s="95"/>
      <c r="J55" s="95"/>
      <c r="K55" s="95"/>
      <c r="L55" s="95"/>
      <c r="M55" s="96"/>
      <c r="N55" s="5"/>
      <c r="O55" s="5"/>
      <c r="P55" s="43"/>
    </row>
    <row r="56" spans="1:16" x14ac:dyDescent="0.3">
      <c r="A56" s="42"/>
      <c r="B56" s="94"/>
      <c r="C56" s="95"/>
      <c r="D56" s="95"/>
      <c r="E56" s="95"/>
      <c r="F56" s="95"/>
      <c r="G56" s="95"/>
      <c r="H56" s="95"/>
      <c r="I56" s="95"/>
      <c r="J56" s="95"/>
      <c r="K56" s="95"/>
      <c r="L56" s="95"/>
      <c r="M56" s="96"/>
      <c r="N56" s="5"/>
      <c r="O56" s="5"/>
      <c r="P56" s="43"/>
    </row>
    <row r="57" spans="1:16" x14ac:dyDescent="0.3">
      <c r="A57" s="42"/>
      <c r="B57" s="94"/>
      <c r="C57" s="95"/>
      <c r="D57" s="95"/>
      <c r="E57" s="95"/>
      <c r="F57" s="95"/>
      <c r="G57" s="95"/>
      <c r="H57" s="95"/>
      <c r="I57" s="95"/>
      <c r="J57" s="95"/>
      <c r="K57" s="95"/>
      <c r="L57" s="95"/>
      <c r="M57" s="96"/>
      <c r="N57" s="5"/>
      <c r="O57" s="5"/>
      <c r="P57" s="43"/>
    </row>
    <row r="58" spans="1:16" x14ac:dyDescent="0.3">
      <c r="A58" s="42"/>
      <c r="B58" s="94"/>
      <c r="C58" s="95"/>
      <c r="D58" s="95"/>
      <c r="E58" s="95"/>
      <c r="F58" s="95"/>
      <c r="G58" s="95"/>
      <c r="H58" s="95"/>
      <c r="I58" s="95"/>
      <c r="J58" s="95"/>
      <c r="K58" s="95"/>
      <c r="L58" s="95"/>
      <c r="M58" s="96"/>
      <c r="N58" s="5"/>
      <c r="O58" s="5"/>
      <c r="P58" s="43"/>
    </row>
    <row r="59" spans="1:16" x14ac:dyDescent="0.3">
      <c r="A59" s="42"/>
      <c r="B59" s="94"/>
      <c r="C59" s="95"/>
      <c r="D59" s="95"/>
      <c r="E59" s="95"/>
      <c r="F59" s="95"/>
      <c r="G59" s="95"/>
      <c r="H59" s="95"/>
      <c r="I59" s="95"/>
      <c r="J59" s="95"/>
      <c r="K59" s="95"/>
      <c r="L59" s="95"/>
      <c r="M59" s="96"/>
      <c r="N59" s="5"/>
      <c r="O59" s="5"/>
      <c r="P59" s="43"/>
    </row>
    <row r="60" spans="1:16" x14ac:dyDescent="0.3">
      <c r="A60" s="42"/>
      <c r="B60" s="94"/>
      <c r="C60" s="95"/>
      <c r="D60" s="95"/>
      <c r="E60" s="95"/>
      <c r="F60" s="95"/>
      <c r="G60" s="95"/>
      <c r="H60" s="95"/>
      <c r="I60" s="95"/>
      <c r="J60" s="95"/>
      <c r="K60" s="95"/>
      <c r="L60" s="95"/>
      <c r="M60" s="96"/>
      <c r="N60" s="5"/>
      <c r="O60" s="5"/>
      <c r="P60" s="43"/>
    </row>
    <row r="61" spans="1:16" x14ac:dyDescent="0.3">
      <c r="A61" s="42"/>
      <c r="B61" s="94"/>
      <c r="C61" s="95"/>
      <c r="D61" s="95"/>
      <c r="E61" s="95"/>
      <c r="F61" s="95"/>
      <c r="G61" s="95"/>
      <c r="H61" s="95"/>
      <c r="I61" s="95"/>
      <c r="J61" s="95"/>
      <c r="K61" s="95"/>
      <c r="L61" s="95"/>
      <c r="M61" s="96"/>
      <c r="N61" s="5"/>
      <c r="O61" s="5"/>
      <c r="P61" s="43"/>
    </row>
    <row r="62" spans="1:16" x14ac:dyDescent="0.3">
      <c r="A62" s="42"/>
      <c r="B62" s="94"/>
      <c r="C62" s="95"/>
      <c r="D62" s="95"/>
      <c r="E62" s="95"/>
      <c r="F62" s="95"/>
      <c r="G62" s="95"/>
      <c r="H62" s="95"/>
      <c r="I62" s="95"/>
      <c r="J62" s="95"/>
      <c r="K62" s="95"/>
      <c r="L62" s="95"/>
      <c r="M62" s="96"/>
      <c r="N62" s="5"/>
      <c r="O62" s="5"/>
      <c r="P62" s="43"/>
    </row>
    <row r="63" spans="1:16" x14ac:dyDescent="0.3">
      <c r="A63" s="42"/>
      <c r="B63" s="94"/>
      <c r="C63" s="95"/>
      <c r="D63" s="95"/>
      <c r="E63" s="95"/>
      <c r="F63" s="95"/>
      <c r="G63" s="95"/>
      <c r="H63" s="95"/>
      <c r="I63" s="95"/>
      <c r="J63" s="95"/>
      <c r="K63" s="95"/>
      <c r="L63" s="95"/>
      <c r="M63" s="96"/>
      <c r="N63" s="5"/>
      <c r="O63" s="5"/>
      <c r="P63" s="43"/>
    </row>
    <row r="64" spans="1:16" x14ac:dyDescent="0.3">
      <c r="A64" s="42"/>
      <c r="B64" s="94"/>
      <c r="C64" s="95"/>
      <c r="D64" s="95"/>
      <c r="E64" s="95"/>
      <c r="F64" s="95"/>
      <c r="G64" s="95"/>
      <c r="H64" s="95"/>
      <c r="I64" s="95"/>
      <c r="J64" s="95"/>
      <c r="K64" s="95"/>
      <c r="L64" s="95"/>
      <c r="M64" s="96"/>
      <c r="N64" s="5"/>
      <c r="O64" s="5"/>
      <c r="P64" s="43"/>
    </row>
    <row r="65" spans="1:16" x14ac:dyDescent="0.3">
      <c r="A65" s="42"/>
      <c r="B65" s="94"/>
      <c r="C65" s="95"/>
      <c r="D65" s="95"/>
      <c r="E65" s="95"/>
      <c r="F65" s="95"/>
      <c r="G65" s="95"/>
      <c r="H65" s="95"/>
      <c r="I65" s="95"/>
      <c r="J65" s="95"/>
      <c r="K65" s="95"/>
      <c r="L65" s="95"/>
      <c r="M65" s="96"/>
      <c r="N65" s="5"/>
      <c r="O65" s="5"/>
      <c r="P65" s="43"/>
    </row>
    <row r="66" spans="1:16" x14ac:dyDescent="0.3">
      <c r="A66" s="42"/>
      <c r="B66" s="94"/>
      <c r="C66" s="95"/>
      <c r="D66" s="95"/>
      <c r="E66" s="95"/>
      <c r="F66" s="95"/>
      <c r="G66" s="95"/>
      <c r="H66" s="95"/>
      <c r="I66" s="95"/>
      <c r="J66" s="95"/>
      <c r="K66" s="95"/>
      <c r="L66" s="95"/>
      <c r="M66" s="96"/>
      <c r="N66" s="5"/>
      <c r="O66" s="5"/>
      <c r="P66" s="43"/>
    </row>
    <row r="67" spans="1:16" x14ac:dyDescent="0.3">
      <c r="A67" s="42"/>
      <c r="B67" s="94"/>
      <c r="C67" s="95"/>
      <c r="D67" s="95"/>
      <c r="E67" s="95"/>
      <c r="F67" s="95"/>
      <c r="G67" s="95"/>
      <c r="H67" s="95"/>
      <c r="I67" s="95"/>
      <c r="J67" s="95"/>
      <c r="K67" s="95"/>
      <c r="L67" s="95"/>
      <c r="M67" s="96"/>
      <c r="N67" s="5"/>
      <c r="O67" s="5"/>
      <c r="P67" s="43"/>
    </row>
    <row r="68" spans="1:16" x14ac:dyDescent="0.3">
      <c r="A68" s="42"/>
      <c r="B68" s="94"/>
      <c r="C68" s="95"/>
      <c r="D68" s="95"/>
      <c r="E68" s="95"/>
      <c r="F68" s="95"/>
      <c r="G68" s="95"/>
      <c r="H68" s="95"/>
      <c r="I68" s="95"/>
      <c r="J68" s="95"/>
      <c r="K68" s="95"/>
      <c r="L68" s="95"/>
      <c r="M68" s="96"/>
      <c r="N68" s="5"/>
      <c r="O68" s="5"/>
      <c r="P68" s="43"/>
    </row>
    <row r="69" spans="1:16" x14ac:dyDescent="0.3">
      <c r="A69" s="42"/>
      <c r="B69" s="94"/>
      <c r="C69" s="95"/>
      <c r="D69" s="95"/>
      <c r="E69" s="95"/>
      <c r="F69" s="95"/>
      <c r="G69" s="95"/>
      <c r="H69" s="95"/>
      <c r="I69" s="95"/>
      <c r="J69" s="95"/>
      <c r="K69" s="95"/>
      <c r="L69" s="95"/>
      <c r="M69" s="96"/>
      <c r="N69" s="5"/>
      <c r="O69" s="5"/>
      <c r="P69" s="43"/>
    </row>
    <row r="70" spans="1:16" x14ac:dyDescent="0.3">
      <c r="A70" s="42"/>
      <c r="B70" s="94"/>
      <c r="C70" s="95"/>
      <c r="D70" s="95"/>
      <c r="E70" s="95"/>
      <c r="F70" s="95"/>
      <c r="G70" s="95"/>
      <c r="H70" s="95"/>
      <c r="I70" s="95"/>
      <c r="J70" s="95"/>
      <c r="K70" s="95"/>
      <c r="L70" s="95"/>
      <c r="M70" s="96"/>
      <c r="N70" s="5"/>
      <c r="O70" s="5"/>
      <c r="P70" s="43"/>
    </row>
    <row r="71" spans="1:16" x14ac:dyDescent="0.3">
      <c r="A71" s="42"/>
      <c r="B71" s="94"/>
      <c r="C71" s="95"/>
      <c r="D71" s="95"/>
      <c r="E71" s="95"/>
      <c r="F71" s="95"/>
      <c r="G71" s="95"/>
      <c r="H71" s="95"/>
      <c r="I71" s="95"/>
      <c r="J71" s="95"/>
      <c r="K71" s="95"/>
      <c r="L71" s="95"/>
      <c r="M71" s="96"/>
      <c r="N71" s="5"/>
      <c r="O71" s="5"/>
      <c r="P71" s="43"/>
    </row>
    <row r="72" spans="1:16" x14ac:dyDescent="0.3">
      <c r="A72" s="42"/>
      <c r="B72" s="94"/>
      <c r="C72" s="95"/>
      <c r="D72" s="95"/>
      <c r="E72" s="95"/>
      <c r="F72" s="95"/>
      <c r="G72" s="95"/>
      <c r="H72" s="95"/>
      <c r="I72" s="95"/>
      <c r="J72" s="95"/>
      <c r="K72" s="95"/>
      <c r="L72" s="95"/>
      <c r="M72" s="96"/>
      <c r="N72" s="5"/>
      <c r="O72" s="5"/>
      <c r="P72" s="43"/>
    </row>
    <row r="73" spans="1:16" x14ac:dyDescent="0.3">
      <c r="A73" s="42"/>
      <c r="B73" s="94"/>
      <c r="C73" s="95"/>
      <c r="D73" s="95"/>
      <c r="E73" s="95"/>
      <c r="F73" s="95"/>
      <c r="G73" s="95"/>
      <c r="H73" s="95"/>
      <c r="I73" s="95"/>
      <c r="J73" s="95"/>
      <c r="K73" s="95"/>
      <c r="L73" s="95"/>
      <c r="M73" s="96"/>
      <c r="N73" s="5"/>
      <c r="O73" s="5"/>
      <c r="P73" s="43"/>
    </row>
    <row r="74" spans="1:16" x14ac:dyDescent="0.3">
      <c r="A74" s="42"/>
      <c r="B74" s="94"/>
      <c r="C74" s="95"/>
      <c r="D74" s="95"/>
      <c r="E74" s="95"/>
      <c r="F74" s="95"/>
      <c r="G74" s="95"/>
      <c r="H74" s="95"/>
      <c r="I74" s="95"/>
      <c r="J74" s="95"/>
      <c r="K74" s="95"/>
      <c r="L74" s="95"/>
      <c r="M74" s="96"/>
      <c r="N74" s="5"/>
      <c r="O74" s="5"/>
      <c r="P74" s="43"/>
    </row>
    <row r="75" spans="1:16" x14ac:dyDescent="0.3">
      <c r="A75" s="42"/>
      <c r="B75" s="94"/>
      <c r="C75" s="95"/>
      <c r="D75" s="95"/>
      <c r="E75" s="95"/>
      <c r="F75" s="95"/>
      <c r="G75" s="95"/>
      <c r="H75" s="95"/>
      <c r="I75" s="95"/>
      <c r="J75" s="95"/>
      <c r="K75" s="95"/>
      <c r="L75" s="95"/>
      <c r="M75" s="96"/>
      <c r="N75" s="5"/>
      <c r="O75" s="5"/>
      <c r="P75" s="43"/>
    </row>
    <row r="76" spans="1:16" x14ac:dyDescent="0.3">
      <c r="A76" s="42"/>
      <c r="B76" s="94"/>
      <c r="C76" s="95"/>
      <c r="D76" s="95"/>
      <c r="E76" s="95"/>
      <c r="F76" s="95"/>
      <c r="G76" s="95"/>
      <c r="H76" s="95"/>
      <c r="I76" s="95"/>
      <c r="J76" s="95"/>
      <c r="K76" s="95"/>
      <c r="L76" s="95"/>
      <c r="M76" s="96"/>
      <c r="N76" s="5"/>
      <c r="O76" s="5"/>
      <c r="P76" s="43"/>
    </row>
    <row r="77" spans="1:16" x14ac:dyDescent="0.3">
      <c r="A77" s="42"/>
      <c r="B77" s="94"/>
      <c r="C77" s="95"/>
      <c r="D77" s="95"/>
      <c r="E77" s="95"/>
      <c r="F77" s="95"/>
      <c r="G77" s="95"/>
      <c r="H77" s="95"/>
      <c r="I77" s="95"/>
      <c r="J77" s="95"/>
      <c r="K77" s="95"/>
      <c r="L77" s="95"/>
      <c r="M77" s="96"/>
      <c r="N77" s="5"/>
      <c r="O77" s="5"/>
      <c r="P77" s="43"/>
    </row>
    <row r="78" spans="1:16" x14ac:dyDescent="0.3">
      <c r="A78" s="42"/>
      <c r="B78" s="94"/>
      <c r="C78" s="95"/>
      <c r="D78" s="95"/>
      <c r="E78" s="95"/>
      <c r="F78" s="95"/>
      <c r="G78" s="95"/>
      <c r="H78" s="95"/>
      <c r="I78" s="95"/>
      <c r="J78" s="95"/>
      <c r="K78" s="95"/>
      <c r="L78" s="95"/>
      <c r="M78" s="96"/>
      <c r="N78" s="5"/>
      <c r="O78" s="5"/>
      <c r="P78" s="43"/>
    </row>
    <row r="79" spans="1:16" x14ac:dyDescent="0.3">
      <c r="A79" s="42"/>
      <c r="B79" s="94"/>
      <c r="C79" s="95"/>
      <c r="D79" s="95"/>
      <c r="E79" s="95"/>
      <c r="F79" s="95"/>
      <c r="G79" s="95"/>
      <c r="H79" s="95"/>
      <c r="I79" s="95"/>
      <c r="J79" s="95"/>
      <c r="K79" s="95"/>
      <c r="L79" s="95"/>
      <c r="M79" s="96"/>
      <c r="N79" s="5"/>
      <c r="O79" s="5"/>
      <c r="P79" s="43"/>
    </row>
    <row r="80" spans="1:16" x14ac:dyDescent="0.3">
      <c r="A80" s="42"/>
      <c r="B80" s="94"/>
      <c r="C80" s="95"/>
      <c r="D80" s="95"/>
      <c r="E80" s="95"/>
      <c r="F80" s="95"/>
      <c r="G80" s="95"/>
      <c r="H80" s="95"/>
      <c r="I80" s="95"/>
      <c r="J80" s="95"/>
      <c r="K80" s="95"/>
      <c r="L80" s="95"/>
      <c r="M80" s="96"/>
      <c r="N80" s="5"/>
      <c r="O80" s="5"/>
      <c r="P80" s="43"/>
    </row>
    <row r="81" spans="1:16" x14ac:dyDescent="0.3">
      <c r="A81" s="42"/>
      <c r="B81" s="94"/>
      <c r="C81" s="95"/>
      <c r="D81" s="95"/>
      <c r="E81" s="95"/>
      <c r="F81" s="95"/>
      <c r="G81" s="95"/>
      <c r="H81" s="95"/>
      <c r="I81" s="95"/>
      <c r="J81" s="95"/>
      <c r="K81" s="95"/>
      <c r="L81" s="95"/>
      <c r="M81" s="96"/>
      <c r="N81" s="5"/>
      <c r="O81" s="5"/>
      <c r="P81" s="43"/>
    </row>
    <row r="82" spans="1:16" x14ac:dyDescent="0.3">
      <c r="A82" s="42"/>
      <c r="B82" s="94"/>
      <c r="C82" s="95"/>
      <c r="D82" s="95"/>
      <c r="E82" s="95"/>
      <c r="F82" s="95"/>
      <c r="G82" s="95"/>
      <c r="H82" s="95"/>
      <c r="I82" s="95"/>
      <c r="J82" s="95"/>
      <c r="K82" s="95"/>
      <c r="L82" s="95"/>
      <c r="M82" s="96"/>
      <c r="N82" s="5"/>
      <c r="O82" s="5"/>
      <c r="P82" s="43"/>
    </row>
    <row r="83" spans="1:16" x14ac:dyDescent="0.3">
      <c r="A83" s="42"/>
      <c r="B83" s="94"/>
      <c r="C83" s="95"/>
      <c r="D83" s="95"/>
      <c r="E83" s="95"/>
      <c r="F83" s="95"/>
      <c r="G83" s="95"/>
      <c r="H83" s="95"/>
      <c r="I83" s="95"/>
      <c r="J83" s="95"/>
      <c r="K83" s="95"/>
      <c r="L83" s="95"/>
      <c r="M83" s="96"/>
      <c r="N83" s="5"/>
      <c r="O83" s="5"/>
      <c r="P83" s="43"/>
    </row>
    <row r="84" spans="1:16" x14ac:dyDescent="0.3">
      <c r="A84" s="42"/>
      <c r="B84" s="94"/>
      <c r="C84" s="95"/>
      <c r="D84" s="95"/>
      <c r="E84" s="95"/>
      <c r="F84" s="95"/>
      <c r="G84" s="95"/>
      <c r="H84" s="95"/>
      <c r="I84" s="95"/>
      <c r="J84" s="95"/>
      <c r="K84" s="95"/>
      <c r="L84" s="95"/>
      <c r="M84" s="96"/>
      <c r="N84" s="5"/>
      <c r="O84" s="5"/>
      <c r="P84" s="43"/>
    </row>
    <row r="85" spans="1:16" x14ac:dyDescent="0.3">
      <c r="A85" s="42"/>
      <c r="B85" s="94"/>
      <c r="C85" s="95"/>
      <c r="D85" s="95"/>
      <c r="E85" s="95"/>
      <c r="F85" s="95"/>
      <c r="G85" s="95"/>
      <c r="H85" s="95"/>
      <c r="I85" s="95"/>
      <c r="J85" s="95"/>
      <c r="K85" s="95"/>
      <c r="L85" s="95"/>
      <c r="M85" s="96"/>
      <c r="N85" s="5"/>
      <c r="O85" s="5"/>
      <c r="P85" s="43"/>
    </row>
    <row r="86" spans="1:16" x14ac:dyDescent="0.3">
      <c r="A86" s="42"/>
      <c r="B86" s="94"/>
      <c r="C86" s="95"/>
      <c r="D86" s="95"/>
      <c r="E86" s="95"/>
      <c r="F86" s="95"/>
      <c r="G86" s="95"/>
      <c r="H86" s="95"/>
      <c r="I86" s="95"/>
      <c r="J86" s="95"/>
      <c r="K86" s="95"/>
      <c r="L86" s="95"/>
      <c r="M86" s="96"/>
      <c r="N86" s="5"/>
      <c r="O86" s="5"/>
      <c r="P86" s="43"/>
    </row>
    <row r="87" spans="1:16" x14ac:dyDescent="0.3">
      <c r="A87" s="42"/>
      <c r="B87" s="94"/>
      <c r="C87" s="95"/>
      <c r="D87" s="95"/>
      <c r="E87" s="95"/>
      <c r="F87" s="95"/>
      <c r="G87" s="95"/>
      <c r="H87" s="95"/>
      <c r="I87" s="95"/>
      <c r="J87" s="95"/>
      <c r="K87" s="95"/>
      <c r="L87" s="95"/>
      <c r="M87" s="96"/>
      <c r="N87" s="5"/>
      <c r="O87" s="5"/>
      <c r="P87" s="43"/>
    </row>
    <row r="88" spans="1:16" x14ac:dyDescent="0.3">
      <c r="A88" s="42"/>
      <c r="B88" s="94"/>
      <c r="C88" s="95"/>
      <c r="D88" s="95"/>
      <c r="E88" s="95"/>
      <c r="F88" s="95"/>
      <c r="G88" s="95"/>
      <c r="H88" s="95"/>
      <c r="I88" s="95"/>
      <c r="J88" s="95"/>
      <c r="K88" s="95"/>
      <c r="L88" s="95"/>
      <c r="M88" s="96"/>
      <c r="N88" s="5"/>
      <c r="O88" s="5"/>
      <c r="P88" s="43"/>
    </row>
    <row r="89" spans="1:16" x14ac:dyDescent="0.3">
      <c r="A89" s="42"/>
      <c r="B89" s="94"/>
      <c r="C89" s="95"/>
      <c r="D89" s="95"/>
      <c r="E89" s="95"/>
      <c r="F89" s="95"/>
      <c r="G89" s="95"/>
      <c r="H89" s="95"/>
      <c r="I89" s="95"/>
      <c r="J89" s="95"/>
      <c r="K89" s="95"/>
      <c r="L89" s="95"/>
      <c r="M89" s="96"/>
      <c r="N89" s="5"/>
      <c r="O89" s="5"/>
      <c r="P89" s="43"/>
    </row>
    <row r="90" spans="1:16" x14ac:dyDescent="0.3">
      <c r="A90" s="42"/>
      <c r="B90" s="94"/>
      <c r="C90" s="95"/>
      <c r="D90" s="95"/>
      <c r="E90" s="95"/>
      <c r="F90" s="95"/>
      <c r="G90" s="95"/>
      <c r="H90" s="95"/>
      <c r="I90" s="95"/>
      <c r="J90" s="95"/>
      <c r="K90" s="95"/>
      <c r="L90" s="95"/>
      <c r="M90" s="96"/>
      <c r="N90" s="5"/>
      <c r="O90" s="5"/>
      <c r="P90" s="43"/>
    </row>
    <row r="91" spans="1:16" x14ac:dyDescent="0.3">
      <c r="A91" s="42"/>
      <c r="B91" s="94"/>
      <c r="C91" s="95"/>
      <c r="D91" s="95"/>
      <c r="E91" s="95"/>
      <c r="F91" s="95"/>
      <c r="G91" s="95"/>
      <c r="H91" s="95"/>
      <c r="I91" s="95"/>
      <c r="J91" s="95"/>
      <c r="K91" s="95"/>
      <c r="L91" s="95"/>
      <c r="M91" s="96"/>
      <c r="N91" s="5"/>
      <c r="O91" s="5"/>
      <c r="P91" s="43"/>
    </row>
    <row r="92" spans="1:16" x14ac:dyDescent="0.3">
      <c r="A92" s="42"/>
      <c r="B92" s="94"/>
      <c r="C92" s="95"/>
      <c r="D92" s="95"/>
      <c r="E92" s="95"/>
      <c r="F92" s="95"/>
      <c r="G92" s="95"/>
      <c r="H92" s="95"/>
      <c r="I92" s="95"/>
      <c r="J92" s="95"/>
      <c r="K92" s="95"/>
      <c r="L92" s="95"/>
      <c r="M92" s="96"/>
      <c r="N92" s="5"/>
      <c r="O92" s="5"/>
      <c r="P92" s="43"/>
    </row>
    <row r="93" spans="1:16" x14ac:dyDescent="0.3">
      <c r="A93" s="42"/>
      <c r="B93" s="94"/>
      <c r="C93" s="95"/>
      <c r="D93" s="95"/>
      <c r="E93" s="95"/>
      <c r="F93" s="95"/>
      <c r="G93" s="95"/>
      <c r="H93" s="95"/>
      <c r="I93" s="95"/>
      <c r="J93" s="95"/>
      <c r="K93" s="95"/>
      <c r="L93" s="95"/>
      <c r="M93" s="96"/>
      <c r="N93" s="5"/>
      <c r="O93" s="5"/>
      <c r="P93" s="43"/>
    </row>
    <row r="94" spans="1:16" x14ac:dyDescent="0.3">
      <c r="A94" s="42"/>
      <c r="B94" s="94"/>
      <c r="C94" s="95"/>
      <c r="D94" s="95"/>
      <c r="E94" s="95"/>
      <c r="F94" s="95"/>
      <c r="G94" s="95"/>
      <c r="H94" s="95"/>
      <c r="I94" s="95"/>
      <c r="J94" s="95"/>
      <c r="K94" s="95"/>
      <c r="L94" s="95"/>
      <c r="M94" s="96"/>
      <c r="N94" s="5"/>
      <c r="O94" s="5"/>
      <c r="P94" s="43"/>
    </row>
    <row r="95" spans="1:16" x14ac:dyDescent="0.3">
      <c r="A95" s="42"/>
      <c r="B95" s="94"/>
      <c r="C95" s="95"/>
      <c r="D95" s="95"/>
      <c r="E95" s="95"/>
      <c r="F95" s="95"/>
      <c r="G95" s="95"/>
      <c r="H95" s="95"/>
      <c r="I95" s="95"/>
      <c r="J95" s="95"/>
      <c r="K95" s="95"/>
      <c r="L95" s="95"/>
      <c r="M95" s="96"/>
      <c r="N95" s="5"/>
      <c r="O95" s="5"/>
      <c r="P95" s="43"/>
    </row>
    <row r="96" spans="1:16" x14ac:dyDescent="0.3">
      <c r="A96" s="42"/>
      <c r="B96" s="94"/>
      <c r="C96" s="95"/>
      <c r="D96" s="95"/>
      <c r="E96" s="95"/>
      <c r="F96" s="95"/>
      <c r="G96" s="95"/>
      <c r="H96" s="95"/>
      <c r="I96" s="95"/>
      <c r="J96" s="95"/>
      <c r="K96" s="95"/>
      <c r="L96" s="95"/>
      <c r="M96" s="96"/>
      <c r="N96" s="5"/>
      <c r="O96" s="5"/>
      <c r="P96" s="43"/>
    </row>
    <row r="97" spans="1:16" x14ac:dyDescent="0.3">
      <c r="A97" s="42"/>
      <c r="B97" s="94"/>
      <c r="C97" s="95"/>
      <c r="D97" s="95"/>
      <c r="E97" s="95"/>
      <c r="F97" s="95"/>
      <c r="G97" s="95"/>
      <c r="H97" s="95"/>
      <c r="I97" s="95"/>
      <c r="J97" s="95"/>
      <c r="K97" s="95"/>
      <c r="L97" s="95"/>
      <c r="M97" s="96"/>
      <c r="N97" s="5"/>
      <c r="O97" s="5"/>
      <c r="P97" s="43"/>
    </row>
    <row r="98" spans="1:16" x14ac:dyDescent="0.3">
      <c r="A98" s="42"/>
      <c r="B98" s="94"/>
      <c r="C98" s="95"/>
      <c r="D98" s="95"/>
      <c r="E98" s="95"/>
      <c r="F98" s="95"/>
      <c r="G98" s="95"/>
      <c r="H98" s="95"/>
      <c r="I98" s="95"/>
      <c r="J98" s="95"/>
      <c r="K98" s="95"/>
      <c r="L98" s="95"/>
      <c r="M98" s="96"/>
      <c r="N98" s="5"/>
      <c r="O98" s="5"/>
      <c r="P98" s="43"/>
    </row>
    <row r="99" spans="1:16" x14ac:dyDescent="0.3">
      <c r="A99" s="42"/>
      <c r="B99" s="94"/>
      <c r="C99" s="95"/>
      <c r="D99" s="95"/>
      <c r="E99" s="95"/>
      <c r="F99" s="95"/>
      <c r="G99" s="95"/>
      <c r="H99" s="95"/>
      <c r="I99" s="95"/>
      <c r="J99" s="95"/>
      <c r="K99" s="95"/>
      <c r="L99" s="95"/>
      <c r="M99" s="96"/>
      <c r="N99" s="5"/>
      <c r="O99" s="5"/>
      <c r="P99" s="43"/>
    </row>
    <row r="100" spans="1:16" ht="15" thickBot="1" x14ac:dyDescent="0.35">
      <c r="A100" s="42"/>
      <c r="B100" s="97"/>
      <c r="C100" s="98"/>
      <c r="D100" s="98"/>
      <c r="E100" s="98"/>
      <c r="F100" s="98"/>
      <c r="G100" s="98"/>
      <c r="H100" s="98"/>
      <c r="I100" s="98"/>
      <c r="J100" s="98"/>
      <c r="K100" s="98"/>
      <c r="L100" s="98"/>
      <c r="M100" s="99"/>
      <c r="N100" s="5"/>
      <c r="O100" s="5"/>
      <c r="P100" s="43"/>
    </row>
    <row r="101" spans="1:16" x14ac:dyDescent="0.3">
      <c r="A101" s="42"/>
      <c r="B101" s="53"/>
      <c r="C101" s="53"/>
      <c r="D101" s="53"/>
      <c r="E101" s="53"/>
      <c r="F101" s="53"/>
      <c r="G101" s="53"/>
      <c r="H101" s="53"/>
      <c r="I101" s="53"/>
      <c r="J101" s="53"/>
      <c r="K101" s="5"/>
      <c r="L101" s="5"/>
      <c r="M101" s="5"/>
      <c r="N101" s="5"/>
      <c r="O101" s="5"/>
      <c r="P101" s="43"/>
    </row>
    <row r="102" spans="1:16" x14ac:dyDescent="0.3">
      <c r="A102" s="42"/>
      <c r="B102" s="53"/>
      <c r="C102" s="53"/>
      <c r="D102" s="53"/>
      <c r="E102" s="53"/>
      <c r="F102" s="53"/>
      <c r="G102" s="53"/>
      <c r="H102" s="53"/>
      <c r="I102" s="53"/>
      <c r="J102" s="53"/>
      <c r="K102" s="5"/>
      <c r="L102" s="5"/>
      <c r="M102" s="5"/>
      <c r="N102" s="5"/>
      <c r="O102" s="5"/>
      <c r="P102" s="43"/>
    </row>
    <row r="103" spans="1:16" x14ac:dyDescent="0.3">
      <c r="A103" s="42"/>
      <c r="B103" s="53"/>
      <c r="C103" s="53"/>
      <c r="D103" s="53"/>
      <c r="E103" s="53"/>
      <c r="F103" s="53"/>
      <c r="G103" s="53"/>
      <c r="H103" s="53"/>
      <c r="I103" s="53"/>
      <c r="J103" s="53"/>
      <c r="K103" s="5"/>
      <c r="L103" s="5"/>
      <c r="M103" s="5"/>
      <c r="N103" s="5"/>
      <c r="O103" s="5"/>
      <c r="P103" s="43"/>
    </row>
    <row r="104" spans="1:16" x14ac:dyDescent="0.3">
      <c r="A104" s="42"/>
      <c r="B104" s="53"/>
      <c r="C104" s="53"/>
      <c r="D104" s="53"/>
      <c r="E104" s="53"/>
      <c r="F104" s="53"/>
      <c r="G104" s="53"/>
      <c r="H104" s="53"/>
      <c r="I104" s="53"/>
      <c r="J104" s="53"/>
      <c r="K104" s="5"/>
      <c r="L104" s="5"/>
      <c r="M104" s="5"/>
      <c r="N104" s="5"/>
      <c r="O104" s="5"/>
      <c r="P104" s="43"/>
    </row>
    <row r="105" spans="1:16" x14ac:dyDescent="0.3">
      <c r="A105" s="42"/>
      <c r="B105" s="53"/>
      <c r="C105" s="53"/>
      <c r="D105" s="53"/>
      <c r="E105" s="53"/>
      <c r="F105" s="53"/>
      <c r="G105" s="53"/>
      <c r="H105" s="53"/>
      <c r="I105" s="53"/>
      <c r="J105" s="53"/>
      <c r="K105" s="5"/>
      <c r="L105" s="5"/>
      <c r="M105" s="5"/>
      <c r="N105" s="5"/>
      <c r="O105" s="5"/>
      <c r="P105" s="43"/>
    </row>
    <row r="106" spans="1:16" x14ac:dyDescent="0.3">
      <c r="A106" s="42"/>
      <c r="B106" s="46"/>
      <c r="C106" s="5"/>
      <c r="D106" s="5"/>
      <c r="E106" s="5"/>
      <c r="F106" s="5"/>
      <c r="G106" s="5"/>
      <c r="H106" s="5"/>
      <c r="I106" s="5"/>
      <c r="J106" s="5"/>
      <c r="K106" s="5"/>
      <c r="L106" s="5"/>
      <c r="M106" s="5"/>
      <c r="N106" s="5"/>
      <c r="O106" s="5"/>
      <c r="P106" s="43"/>
    </row>
    <row r="107" spans="1:16" x14ac:dyDescent="0.3">
      <c r="A107" s="42"/>
      <c r="B107" s="46"/>
      <c r="C107" s="5"/>
      <c r="D107" s="5"/>
      <c r="E107" s="5"/>
      <c r="F107" s="5"/>
      <c r="G107" s="5"/>
      <c r="H107" s="5"/>
      <c r="I107" s="5"/>
      <c r="J107" s="5"/>
      <c r="K107" s="5"/>
      <c r="L107" s="5"/>
      <c r="M107" s="5"/>
      <c r="N107" s="5"/>
      <c r="O107" s="5"/>
      <c r="P107" s="43"/>
    </row>
    <row r="108" spans="1:16" x14ac:dyDescent="0.3">
      <c r="A108" s="42"/>
      <c r="B108" s="46"/>
      <c r="C108" s="5"/>
      <c r="D108" s="5"/>
      <c r="E108" s="5"/>
      <c r="F108" s="5"/>
      <c r="G108" s="5"/>
      <c r="H108" s="5"/>
      <c r="I108" s="5"/>
      <c r="J108" s="5"/>
      <c r="K108" s="5"/>
      <c r="L108" s="5"/>
      <c r="M108" s="5"/>
      <c r="N108" s="5"/>
      <c r="O108" s="5"/>
      <c r="P108" s="43"/>
    </row>
    <row r="109" spans="1:16" ht="15" thickBot="1" x14ac:dyDescent="0.35">
      <c r="A109" s="58"/>
      <c r="B109" s="59"/>
      <c r="C109" s="60"/>
      <c r="D109" s="60"/>
      <c r="E109" s="60"/>
      <c r="F109" s="60"/>
      <c r="G109" s="60"/>
      <c r="H109" s="60"/>
      <c r="I109" s="60"/>
      <c r="J109" s="60"/>
      <c r="K109" s="60"/>
      <c r="L109" s="60"/>
      <c r="M109" s="60"/>
      <c r="N109" s="60"/>
      <c r="O109" s="60"/>
      <c r="P109" s="61"/>
    </row>
  </sheetData>
  <sheetProtection password="DA3C" sheet="1" objects="1" scenarios="1"/>
  <mergeCells count="6">
    <mergeCell ref="B19:D19"/>
    <mergeCell ref="N22:O22"/>
    <mergeCell ref="B38:M100"/>
    <mergeCell ref="B16:P16"/>
    <mergeCell ref="B18:P18"/>
    <mergeCell ref="B17:P17"/>
  </mergeCells>
  <hyperlinks>
    <hyperlink ref="B19"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41"/>
  <sheetViews>
    <sheetView zoomScale="85" zoomScaleNormal="85" workbookViewId="0"/>
  </sheetViews>
  <sheetFormatPr defaultRowHeight="14.4" x14ac:dyDescent="0.3"/>
  <cols>
    <col min="1" max="1" width="8.88671875" style="7"/>
    <col min="2" max="2" width="18" style="7" customWidth="1"/>
    <col min="3" max="3" width="22.6640625" style="7" customWidth="1"/>
    <col min="4" max="4" width="64.44140625" style="7" customWidth="1"/>
    <col min="5" max="5" width="19" style="7" customWidth="1"/>
    <col min="6" max="6" width="11.109375" style="7" customWidth="1"/>
    <col min="7" max="7" width="11.6640625" style="7" customWidth="1"/>
    <col min="8" max="16384" width="8.88671875" style="7"/>
  </cols>
  <sheetData>
    <row r="1" spans="1:5" ht="21" x14ac:dyDescent="0.4">
      <c r="A1" s="6" t="s">
        <v>389</v>
      </c>
    </row>
    <row r="2" spans="1:5" ht="15" thickBot="1" x14ac:dyDescent="0.35">
      <c r="A2" s="8"/>
      <c r="B2" s="3"/>
    </row>
    <row r="3" spans="1:5" ht="14.4" customHeight="1" x14ac:dyDescent="0.3">
      <c r="B3" s="2" t="s">
        <v>92</v>
      </c>
      <c r="C3" s="103" t="s">
        <v>390</v>
      </c>
      <c r="D3" s="104"/>
      <c r="E3" s="104"/>
    </row>
    <row r="4" spans="1:5" ht="13.8" customHeight="1" x14ac:dyDescent="0.3">
      <c r="B4" s="4" t="s">
        <v>1</v>
      </c>
      <c r="C4" s="105"/>
      <c r="D4" s="104"/>
      <c r="E4" s="104"/>
    </row>
    <row r="5" spans="1:5" ht="15" thickBot="1" x14ac:dyDescent="0.35">
      <c r="B5" s="1" t="s">
        <v>0</v>
      </c>
      <c r="C5" s="105"/>
      <c r="D5" s="104"/>
      <c r="E5" s="104"/>
    </row>
    <row r="6" spans="1:5" ht="15" thickTop="1" x14ac:dyDescent="0.3"/>
    <row r="26" spans="3:6" ht="15" thickBot="1" x14ac:dyDescent="0.35"/>
    <row r="27" spans="3:6" ht="29.4" thickBot="1" x14ac:dyDescent="0.35">
      <c r="D27" s="63" t="s">
        <v>235</v>
      </c>
    </row>
    <row r="28" spans="3:6" ht="15" thickBot="1" x14ac:dyDescent="0.35">
      <c r="C28" s="78" t="s">
        <v>152</v>
      </c>
      <c r="D28" s="79" t="s">
        <v>267</v>
      </c>
      <c r="E28" s="9"/>
      <c r="F28" s="9"/>
    </row>
    <row r="29" spans="3:6" x14ac:dyDescent="0.3">
      <c r="C29" s="64" t="s">
        <v>2</v>
      </c>
      <c r="D29" s="64" t="s">
        <v>3</v>
      </c>
      <c r="E29" s="10" t="s">
        <v>4</v>
      </c>
      <c r="F29" s="10" t="s">
        <v>5</v>
      </c>
    </row>
    <row r="30" spans="3:6" x14ac:dyDescent="0.3">
      <c r="C30" s="34" t="s">
        <v>287</v>
      </c>
      <c r="D30" s="40" t="s">
        <v>83</v>
      </c>
      <c r="E30" s="25">
        <v>265</v>
      </c>
      <c r="F30" s="12" t="s">
        <v>6</v>
      </c>
    </row>
    <row r="31" spans="3:6" x14ac:dyDescent="0.3">
      <c r="C31" s="34" t="s">
        <v>288</v>
      </c>
      <c r="D31" s="40" t="s">
        <v>84</v>
      </c>
      <c r="E31" s="25">
        <v>48</v>
      </c>
      <c r="F31" s="12" t="s">
        <v>7</v>
      </c>
    </row>
    <row r="32" spans="3:6" x14ac:dyDescent="0.3">
      <c r="C32" s="34" t="s">
        <v>8</v>
      </c>
      <c r="D32" s="40" t="s">
        <v>85</v>
      </c>
      <c r="E32" s="25">
        <v>48</v>
      </c>
      <c r="F32" s="12" t="s">
        <v>7</v>
      </c>
    </row>
    <row r="33" spans="3:6" x14ac:dyDescent="0.3">
      <c r="C33" s="34" t="s">
        <v>289</v>
      </c>
      <c r="D33" s="40" t="s">
        <v>86</v>
      </c>
      <c r="E33" s="25">
        <v>38</v>
      </c>
      <c r="F33" s="12" t="s">
        <v>7</v>
      </c>
    </row>
    <row r="34" spans="3:6" x14ac:dyDescent="0.3">
      <c r="C34" s="34" t="s">
        <v>290</v>
      </c>
      <c r="D34" s="40" t="s">
        <v>87</v>
      </c>
      <c r="E34" s="25">
        <v>74.599999999999994</v>
      </c>
      <c r="F34" s="12" t="s">
        <v>7</v>
      </c>
    </row>
    <row r="35" spans="3:6" x14ac:dyDescent="0.3">
      <c r="C35" s="34" t="s">
        <v>291</v>
      </c>
      <c r="D35" s="40" t="s">
        <v>88</v>
      </c>
      <c r="E35" s="25">
        <v>150</v>
      </c>
      <c r="F35" s="12" t="s">
        <v>9</v>
      </c>
    </row>
    <row r="36" spans="3:6" x14ac:dyDescent="0.3">
      <c r="C36" s="34" t="s">
        <v>292</v>
      </c>
      <c r="D36" s="40" t="s">
        <v>89</v>
      </c>
      <c r="E36" s="25">
        <v>0.2</v>
      </c>
      <c r="F36" s="12"/>
    </row>
    <row r="37" spans="3:6" x14ac:dyDescent="0.3">
      <c r="C37" s="34" t="s">
        <v>90</v>
      </c>
      <c r="D37" s="40" t="s">
        <v>24</v>
      </c>
      <c r="E37" s="13">
        <f>Calculations!E35</f>
        <v>5.520833333333333</v>
      </c>
      <c r="F37" s="12" t="s">
        <v>10</v>
      </c>
    </row>
    <row r="38" spans="3:6" x14ac:dyDescent="0.3">
      <c r="C38" s="34" t="s">
        <v>91</v>
      </c>
      <c r="D38" s="40" t="s">
        <v>25</v>
      </c>
      <c r="E38" s="13">
        <f>Calculations!E36</f>
        <v>6.9736842105263159</v>
      </c>
      <c r="F38" s="12" t="s">
        <v>10</v>
      </c>
    </row>
    <row r="39" spans="3:6" ht="15" thickBot="1" x14ac:dyDescent="0.35">
      <c r="C39" s="35"/>
      <c r="D39" s="35"/>
    </row>
    <row r="40" spans="3:6" ht="15" thickBot="1" x14ac:dyDescent="0.35">
      <c r="C40" s="80" t="s">
        <v>293</v>
      </c>
      <c r="D40" s="81" t="s">
        <v>268</v>
      </c>
    </row>
    <row r="41" spans="3:6" x14ac:dyDescent="0.3">
      <c r="C41" s="64" t="s">
        <v>2</v>
      </c>
      <c r="D41" s="64" t="s">
        <v>3</v>
      </c>
      <c r="E41" s="10" t="s">
        <v>4</v>
      </c>
      <c r="F41" s="10" t="s">
        <v>5</v>
      </c>
    </row>
    <row r="42" spans="3:6" x14ac:dyDescent="0.3">
      <c r="C42" s="34" t="s">
        <v>294</v>
      </c>
      <c r="D42" s="40" t="s">
        <v>295</v>
      </c>
      <c r="E42" s="13">
        <f>Calculations!E51</f>
        <v>4.7320754716981135</v>
      </c>
      <c r="F42" s="15" t="s">
        <v>143</v>
      </c>
    </row>
    <row r="43" spans="3:6" x14ac:dyDescent="0.3">
      <c r="C43" s="34" t="s">
        <v>296</v>
      </c>
      <c r="D43" s="40" t="s">
        <v>297</v>
      </c>
      <c r="E43" s="25">
        <v>4</v>
      </c>
      <c r="F43" s="15" t="s">
        <v>143</v>
      </c>
    </row>
    <row r="44" spans="3:6" x14ac:dyDescent="0.3">
      <c r="C44" s="34" t="s">
        <v>298</v>
      </c>
      <c r="D44" s="40" t="s">
        <v>299</v>
      </c>
      <c r="E44" s="13">
        <f>Calculations!E53</f>
        <v>0.52899999999999991</v>
      </c>
      <c r="F44" s="15" t="s">
        <v>6</v>
      </c>
    </row>
    <row r="45" spans="3:6" ht="28.8" x14ac:dyDescent="0.3">
      <c r="C45" s="35" t="s">
        <v>300</v>
      </c>
      <c r="D45" s="41" t="s">
        <v>301</v>
      </c>
      <c r="E45" s="13">
        <f>Calculations!E54</f>
        <v>8.25</v>
      </c>
      <c r="F45" s="7" t="s">
        <v>10</v>
      </c>
    </row>
    <row r="46" spans="3:6" x14ac:dyDescent="0.3">
      <c r="C46" s="35" t="s">
        <v>302</v>
      </c>
      <c r="D46" s="41" t="s">
        <v>303</v>
      </c>
      <c r="E46" s="13">
        <f>Calculations!E55</f>
        <v>10</v>
      </c>
      <c r="F46" s="7" t="s">
        <v>10</v>
      </c>
    </row>
    <row r="47" spans="3:6" ht="28.8" x14ac:dyDescent="0.3">
      <c r="C47" s="35" t="s">
        <v>304</v>
      </c>
      <c r="D47" s="41" t="s">
        <v>305</v>
      </c>
      <c r="E47" s="13">
        <f>Calculations!E56</f>
        <v>11.5</v>
      </c>
      <c r="F47" s="7" t="s">
        <v>10</v>
      </c>
    </row>
    <row r="48" spans="3:6" ht="15" thickBot="1" x14ac:dyDescent="0.35">
      <c r="C48" s="35"/>
      <c r="D48" s="76"/>
    </row>
    <row r="49" spans="3:6" ht="29.4" thickBot="1" x14ac:dyDescent="0.35">
      <c r="C49" s="80" t="s">
        <v>26</v>
      </c>
      <c r="D49" s="81" t="s">
        <v>256</v>
      </c>
    </row>
    <row r="50" spans="3:6" x14ac:dyDescent="0.3">
      <c r="C50" s="64" t="s">
        <v>2</v>
      </c>
      <c r="D50" s="64" t="s">
        <v>3</v>
      </c>
      <c r="E50" s="10" t="s">
        <v>4</v>
      </c>
      <c r="F50" s="10" t="s">
        <v>5</v>
      </c>
    </row>
    <row r="51" spans="3:6" x14ac:dyDescent="0.3">
      <c r="C51" s="35" t="s">
        <v>306</v>
      </c>
      <c r="D51" s="35" t="s">
        <v>27</v>
      </c>
      <c r="E51" s="26">
        <v>175</v>
      </c>
      <c r="F51" s="7" t="s">
        <v>28</v>
      </c>
    </row>
    <row r="52" spans="3:6" x14ac:dyDescent="0.3">
      <c r="C52" s="35" t="s">
        <v>307</v>
      </c>
      <c r="D52" s="35" t="s">
        <v>247</v>
      </c>
      <c r="E52" s="26">
        <v>70</v>
      </c>
      <c r="F52" s="7" t="s">
        <v>28</v>
      </c>
    </row>
    <row r="53" spans="3:6" ht="28.8" x14ac:dyDescent="0.3">
      <c r="C53" s="35" t="s">
        <v>308</v>
      </c>
      <c r="D53" s="35" t="s">
        <v>96</v>
      </c>
      <c r="E53" s="27">
        <v>35</v>
      </c>
      <c r="F53" s="18" t="s">
        <v>29</v>
      </c>
    </row>
    <row r="54" spans="3:6" ht="43.2" x14ac:dyDescent="0.3">
      <c r="C54" s="35" t="s">
        <v>309</v>
      </c>
      <c r="D54" s="35" t="s">
        <v>310</v>
      </c>
      <c r="E54" s="19">
        <f>Calculations!E63</f>
        <v>2.3088023088023088E-2</v>
      </c>
      <c r="F54" s="15" t="s">
        <v>19</v>
      </c>
    </row>
    <row r="55" spans="3:6" x14ac:dyDescent="0.3">
      <c r="C55" s="36" t="s">
        <v>138</v>
      </c>
      <c r="D55" s="35" t="s">
        <v>311</v>
      </c>
      <c r="E55" s="29" t="s">
        <v>139</v>
      </c>
      <c r="F55" s="15"/>
    </row>
    <row r="56" spans="3:6" x14ac:dyDescent="0.3">
      <c r="C56" s="35" t="s">
        <v>312</v>
      </c>
      <c r="D56" s="35" t="s">
        <v>313</v>
      </c>
      <c r="E56" s="26">
        <v>1.0500000000000001E-2</v>
      </c>
      <c r="F56" s="15" t="s">
        <v>19</v>
      </c>
    </row>
    <row r="57" spans="3:6" x14ac:dyDescent="0.3">
      <c r="C57" s="35" t="s">
        <v>314</v>
      </c>
      <c r="D57" s="35" t="s">
        <v>97</v>
      </c>
      <c r="E57" s="26">
        <v>1</v>
      </c>
    </row>
    <row r="58" spans="3:6" x14ac:dyDescent="0.3">
      <c r="C58" s="35" t="s">
        <v>315</v>
      </c>
      <c r="D58" s="35" t="s">
        <v>316</v>
      </c>
      <c r="E58" s="26">
        <v>5.2</v>
      </c>
      <c r="F58" s="7" t="s">
        <v>30</v>
      </c>
    </row>
    <row r="59" spans="3:6" x14ac:dyDescent="0.3">
      <c r="C59" s="35" t="s">
        <v>317</v>
      </c>
      <c r="D59" s="35" t="s">
        <v>251</v>
      </c>
      <c r="E59" s="26">
        <v>1</v>
      </c>
    </row>
    <row r="60" spans="3:6" x14ac:dyDescent="0.3">
      <c r="C60" s="35" t="s">
        <v>318</v>
      </c>
      <c r="D60" s="35" t="s">
        <v>319</v>
      </c>
      <c r="E60" s="26">
        <v>1.9</v>
      </c>
    </row>
    <row r="61" spans="3:6" x14ac:dyDescent="0.3">
      <c r="C61" s="35" t="s">
        <v>320</v>
      </c>
      <c r="D61" s="35" t="s">
        <v>321</v>
      </c>
      <c r="E61" s="20">
        <f>Calculations!E70</f>
        <v>103.95748355263159</v>
      </c>
      <c r="F61" s="7" t="s">
        <v>28</v>
      </c>
    </row>
    <row r="62" spans="3:6" x14ac:dyDescent="0.3">
      <c r="C62" s="35" t="s">
        <v>322</v>
      </c>
      <c r="D62" s="35" t="s">
        <v>323</v>
      </c>
      <c r="E62" s="20">
        <f>Calculations!E71</f>
        <v>1.7961482195723685E-2</v>
      </c>
      <c r="F62" s="15" t="s">
        <v>19</v>
      </c>
    </row>
    <row r="63" spans="3:6" x14ac:dyDescent="0.3">
      <c r="C63" s="35" t="s">
        <v>31</v>
      </c>
      <c r="D63" s="35" t="s">
        <v>324</v>
      </c>
      <c r="E63" s="20">
        <f>Calculations!E72</f>
        <v>100.57276873394346</v>
      </c>
      <c r="F63" s="7" t="s">
        <v>28</v>
      </c>
    </row>
    <row r="64" spans="3:6" ht="15" thickBot="1" x14ac:dyDescent="0.35">
      <c r="C64" s="35"/>
      <c r="D64" s="35"/>
    </row>
    <row r="65" spans="3:6" ht="58.2" thickBot="1" x14ac:dyDescent="0.35">
      <c r="C65" s="80" t="s">
        <v>212</v>
      </c>
      <c r="D65" s="81" t="s">
        <v>257</v>
      </c>
    </row>
    <row r="66" spans="3:6" x14ac:dyDescent="0.3">
      <c r="C66" s="64" t="s">
        <v>2</v>
      </c>
      <c r="D66" s="64" t="s">
        <v>3</v>
      </c>
      <c r="E66" s="10" t="s">
        <v>4</v>
      </c>
      <c r="F66" s="10" t="s">
        <v>5</v>
      </c>
    </row>
    <row r="67" spans="3:6" ht="28.8" x14ac:dyDescent="0.3">
      <c r="C67" s="35" t="s">
        <v>375</v>
      </c>
      <c r="D67" s="35" t="s">
        <v>372</v>
      </c>
      <c r="E67" s="20">
        <f>Calculations!E76</f>
        <v>2.015391375554358</v>
      </c>
    </row>
    <row r="68" spans="3:6" x14ac:dyDescent="0.3">
      <c r="C68" s="35"/>
      <c r="D68" s="35"/>
      <c r="E68" s="22"/>
    </row>
    <row r="69" spans="3:6" x14ac:dyDescent="0.3">
      <c r="C69" s="37" t="s">
        <v>101</v>
      </c>
      <c r="D69" s="35" t="s">
        <v>325</v>
      </c>
      <c r="E69" s="22"/>
    </row>
    <row r="70" spans="3:6" x14ac:dyDescent="0.3">
      <c r="C70" s="35" t="s">
        <v>326</v>
      </c>
      <c r="D70" s="35" t="s">
        <v>213</v>
      </c>
      <c r="E70" s="20">
        <f>Calculations!E79</f>
        <v>1729.0042610880837</v>
      </c>
      <c r="F70" s="7" t="s">
        <v>6</v>
      </c>
    </row>
    <row r="71" spans="3:6" x14ac:dyDescent="0.3">
      <c r="C71" s="35" t="s">
        <v>327</v>
      </c>
      <c r="D71" s="35" t="s">
        <v>214</v>
      </c>
      <c r="E71" s="20">
        <f>Calculations!E80</f>
        <v>23.177000818875118</v>
      </c>
      <c r="F71" s="7" t="s">
        <v>10</v>
      </c>
    </row>
    <row r="72" spans="3:6" x14ac:dyDescent="0.3">
      <c r="C72" s="35" t="s">
        <v>328</v>
      </c>
      <c r="D72" s="35" t="s">
        <v>286</v>
      </c>
      <c r="E72" s="26">
        <v>1</v>
      </c>
      <c r="F72" s="7" t="s">
        <v>33</v>
      </c>
    </row>
    <row r="73" spans="3:6" ht="28.8" customHeight="1" x14ac:dyDescent="0.3">
      <c r="C73" s="37" t="s">
        <v>99</v>
      </c>
      <c r="D73" s="35" t="s">
        <v>219</v>
      </c>
    </row>
    <row r="74" spans="3:6" x14ac:dyDescent="0.3">
      <c r="C74" s="35" t="s">
        <v>326</v>
      </c>
      <c r="D74" s="35" t="s">
        <v>215</v>
      </c>
      <c r="E74" s="20">
        <f>Calculations!E83</f>
        <v>967.38786026609182</v>
      </c>
      <c r="F74" s="7" t="s">
        <v>6</v>
      </c>
    </row>
    <row r="75" spans="3:6" x14ac:dyDescent="0.3">
      <c r="C75" s="35" t="s">
        <v>327</v>
      </c>
      <c r="D75" s="35" t="s">
        <v>216</v>
      </c>
      <c r="E75" s="20">
        <f>Calculations!E84</f>
        <v>20.153913755543581</v>
      </c>
      <c r="F75" s="7" t="s">
        <v>10</v>
      </c>
    </row>
    <row r="76" spans="3:6" x14ac:dyDescent="0.3">
      <c r="C76" s="35" t="s">
        <v>329</v>
      </c>
      <c r="D76" s="35" t="s">
        <v>148</v>
      </c>
      <c r="E76" s="26">
        <v>3.5</v>
      </c>
      <c r="F76" s="7" t="s">
        <v>33</v>
      </c>
    </row>
    <row r="77" spans="3:6" x14ac:dyDescent="0.3">
      <c r="C77" s="37" t="s">
        <v>100</v>
      </c>
      <c r="D77" s="35" t="s">
        <v>221</v>
      </c>
    </row>
    <row r="78" spans="3:6" x14ac:dyDescent="0.3">
      <c r="C78" s="35" t="s">
        <v>326</v>
      </c>
      <c r="D78" s="35" t="s">
        <v>217</v>
      </c>
      <c r="E78" s="20">
        <f>Calculations!E87</f>
        <v>685.71428571428578</v>
      </c>
      <c r="F78" s="7" t="s">
        <v>6</v>
      </c>
    </row>
    <row r="79" spans="3:6" x14ac:dyDescent="0.3">
      <c r="C79" s="35" t="s">
        <v>327</v>
      </c>
      <c r="D79" s="35" t="s">
        <v>218</v>
      </c>
      <c r="E79" s="20">
        <f>Calculations!E88</f>
        <v>14.285714285714286</v>
      </c>
      <c r="F79" s="7" t="s">
        <v>10</v>
      </c>
    </row>
    <row r="80" spans="3:6" x14ac:dyDescent="0.3">
      <c r="C80" s="35" t="s">
        <v>330</v>
      </c>
      <c r="D80" s="35" t="s">
        <v>149</v>
      </c>
      <c r="E80" s="26">
        <v>6</v>
      </c>
      <c r="F80" s="7" t="s">
        <v>33</v>
      </c>
    </row>
    <row r="81" spans="3:10" ht="15" thickBot="1" x14ac:dyDescent="0.35">
      <c r="C81" s="35"/>
      <c r="D81" s="35"/>
    </row>
    <row r="82" spans="3:10" ht="29.4" thickBot="1" x14ac:dyDescent="0.35">
      <c r="C82" s="82" t="s">
        <v>110</v>
      </c>
      <c r="D82" s="81" t="s">
        <v>258</v>
      </c>
    </row>
    <row r="83" spans="3:10" x14ac:dyDescent="0.3">
      <c r="C83" s="64" t="s">
        <v>2</v>
      </c>
      <c r="D83" s="64" t="s">
        <v>3</v>
      </c>
      <c r="E83" s="10" t="s">
        <v>4</v>
      </c>
      <c r="F83" s="10" t="s">
        <v>5</v>
      </c>
    </row>
    <row r="84" spans="3:10" x14ac:dyDescent="0.3">
      <c r="C84" s="35" t="s">
        <v>331</v>
      </c>
      <c r="D84" s="35" t="s">
        <v>150</v>
      </c>
      <c r="E84" s="26">
        <v>3.5</v>
      </c>
      <c r="F84" s="7" t="s">
        <v>33</v>
      </c>
    </row>
    <row r="85" spans="3:10" x14ac:dyDescent="0.3">
      <c r="C85" s="35" t="s">
        <v>332</v>
      </c>
      <c r="D85" s="35" t="s">
        <v>102</v>
      </c>
      <c r="E85" s="26">
        <v>0.1</v>
      </c>
    </row>
    <row r="86" spans="3:10" x14ac:dyDescent="0.3">
      <c r="C86" s="35" t="s">
        <v>333</v>
      </c>
      <c r="D86" s="35" t="s">
        <v>111</v>
      </c>
      <c r="E86" s="20">
        <f>Calculations!E101</f>
        <v>33.689839572192504</v>
      </c>
      <c r="F86" s="7" t="s">
        <v>30</v>
      </c>
    </row>
    <row r="87" spans="3:10" x14ac:dyDescent="0.3">
      <c r="C87" s="35" t="s">
        <v>334</v>
      </c>
      <c r="D87" s="35" t="s">
        <v>335</v>
      </c>
      <c r="E87" s="28">
        <v>33</v>
      </c>
      <c r="F87" s="7" t="s">
        <v>30</v>
      </c>
    </row>
    <row r="88" spans="3:10" x14ac:dyDescent="0.3">
      <c r="C88" s="35" t="s">
        <v>336</v>
      </c>
      <c r="D88" s="35" t="s">
        <v>39</v>
      </c>
      <c r="E88" s="20">
        <f>Calculations!E103</f>
        <v>2.64</v>
      </c>
      <c r="F88" s="7" t="s">
        <v>33</v>
      </c>
    </row>
    <row r="89" spans="3:10" x14ac:dyDescent="0.3">
      <c r="C89" s="35" t="s">
        <v>337</v>
      </c>
      <c r="D89" s="35" t="s">
        <v>40</v>
      </c>
      <c r="E89" s="20">
        <f>Calculations!E104</f>
        <v>2.0249999999999999</v>
      </c>
      <c r="F89" s="7" t="s">
        <v>33</v>
      </c>
    </row>
    <row r="90" spans="3:10" x14ac:dyDescent="0.3">
      <c r="C90" s="35" t="s">
        <v>338</v>
      </c>
      <c r="D90" s="35" t="s">
        <v>339</v>
      </c>
      <c r="E90" s="20">
        <f>Calculations!E105</f>
        <v>3.4283333333333337</v>
      </c>
      <c r="F90" s="7" t="s">
        <v>33</v>
      </c>
    </row>
    <row r="91" spans="3:10" ht="15" thickBot="1" x14ac:dyDescent="0.35">
      <c r="C91" s="35"/>
      <c r="D91" s="35"/>
    </row>
    <row r="92" spans="3:10" ht="87" thickBot="1" x14ac:dyDescent="0.35">
      <c r="C92" s="82" t="s">
        <v>261</v>
      </c>
      <c r="D92" s="81" t="s">
        <v>376</v>
      </c>
    </row>
    <row r="93" spans="3:10" x14ac:dyDescent="0.3">
      <c r="C93" s="64" t="s">
        <v>2</v>
      </c>
      <c r="D93" s="64" t="s">
        <v>3</v>
      </c>
      <c r="E93" s="10" t="s">
        <v>4</v>
      </c>
      <c r="F93" s="10" t="s">
        <v>5</v>
      </c>
    </row>
    <row r="94" spans="3:10" ht="43.2" x14ac:dyDescent="0.3">
      <c r="C94" s="38" t="s">
        <v>340</v>
      </c>
      <c r="D94" s="35" t="s">
        <v>384</v>
      </c>
      <c r="E94" s="20">
        <f>Calculations!E123</f>
        <v>0.79472727272727317</v>
      </c>
      <c r="F94" s="7" t="s">
        <v>33</v>
      </c>
      <c r="I94" s="77"/>
    </row>
    <row r="95" spans="3:10" x14ac:dyDescent="0.3">
      <c r="C95" s="35" t="s">
        <v>341</v>
      </c>
      <c r="D95" s="35" t="s">
        <v>373</v>
      </c>
      <c r="E95" s="13">
        <f>Calculations!E125</f>
        <v>3.0566433566433582</v>
      </c>
      <c r="F95" s="7" t="s">
        <v>30</v>
      </c>
      <c r="I95" s="77"/>
      <c r="J95" s="77"/>
    </row>
    <row r="96" spans="3:10" x14ac:dyDescent="0.3">
      <c r="C96" s="35" t="s">
        <v>342</v>
      </c>
      <c r="D96" s="35" t="s">
        <v>343</v>
      </c>
      <c r="E96" s="28">
        <v>2.7</v>
      </c>
      <c r="F96" s="7" t="s">
        <v>30</v>
      </c>
      <c r="I96" s="77"/>
    </row>
    <row r="97" spans="3:17" x14ac:dyDescent="0.3">
      <c r="C97" s="35" t="s">
        <v>119</v>
      </c>
      <c r="D97" s="35" t="s">
        <v>344</v>
      </c>
      <c r="E97" s="20">
        <f>Calculations!E127</f>
        <v>2.2500000000000004</v>
      </c>
      <c r="F97" s="7" t="s">
        <v>33</v>
      </c>
    </row>
    <row r="98" spans="3:17" x14ac:dyDescent="0.3">
      <c r="C98" s="35" t="s">
        <v>118</v>
      </c>
      <c r="D98" s="35" t="s">
        <v>345</v>
      </c>
      <c r="E98" s="20">
        <f>Calculations!E128</f>
        <v>0.94500000000000006</v>
      </c>
      <c r="F98" s="7" t="s">
        <v>33</v>
      </c>
    </row>
    <row r="99" spans="3:17" x14ac:dyDescent="0.3">
      <c r="C99" s="35" t="s">
        <v>346</v>
      </c>
      <c r="D99" s="35" t="s">
        <v>347</v>
      </c>
      <c r="E99" s="20">
        <f>Calculations!E129</f>
        <v>0.70200000000000007</v>
      </c>
      <c r="F99" s="7" t="s">
        <v>33</v>
      </c>
    </row>
    <row r="100" spans="3:17" ht="15" thickBot="1" x14ac:dyDescent="0.35">
      <c r="C100" s="35"/>
      <c r="D100" s="35"/>
    </row>
    <row r="101" spans="3:17" ht="43.8" thickBot="1" x14ac:dyDescent="0.35">
      <c r="C101" s="82" t="s">
        <v>209</v>
      </c>
      <c r="D101" s="81" t="s">
        <v>348</v>
      </c>
    </row>
    <row r="102" spans="3:17" x14ac:dyDescent="0.3">
      <c r="C102" s="64" t="s">
        <v>2</v>
      </c>
      <c r="D102" s="64" t="s">
        <v>3</v>
      </c>
      <c r="E102" s="10" t="s">
        <v>4</v>
      </c>
      <c r="F102" s="10" t="s">
        <v>5</v>
      </c>
      <c r="O102" s="30"/>
      <c r="P102" s="30"/>
      <c r="Q102" s="30"/>
    </row>
    <row r="103" spans="3:17" x14ac:dyDescent="0.3">
      <c r="C103" s="39" t="s">
        <v>120</v>
      </c>
      <c r="D103" s="39" t="s">
        <v>185</v>
      </c>
      <c r="E103" s="20">
        <f>Calculations!E133</f>
        <v>555.55555555555554</v>
      </c>
      <c r="F103" s="24" t="s">
        <v>122</v>
      </c>
      <c r="O103" s="11"/>
      <c r="P103" s="11"/>
      <c r="Q103" s="11"/>
    </row>
    <row r="104" spans="3:17" x14ac:dyDescent="0.3">
      <c r="C104" s="35" t="s">
        <v>197</v>
      </c>
      <c r="D104" s="35" t="s">
        <v>187</v>
      </c>
      <c r="E104" s="20">
        <f>Calculations!E134</f>
        <v>9.3750000000000036</v>
      </c>
      <c r="F104" s="7" t="s">
        <v>7</v>
      </c>
      <c r="O104" s="31"/>
      <c r="P104" s="31"/>
      <c r="Q104" s="31"/>
    </row>
    <row r="105" spans="3:17" x14ac:dyDescent="0.3">
      <c r="C105" s="35" t="s">
        <v>173</v>
      </c>
      <c r="D105" s="35" t="s">
        <v>349</v>
      </c>
      <c r="E105" s="20">
        <f>Calculations!E135</f>
        <v>2.2500000000000004</v>
      </c>
      <c r="F105" s="7" t="s">
        <v>33</v>
      </c>
      <c r="O105" s="31"/>
      <c r="P105" s="31"/>
      <c r="Q105" s="31"/>
    </row>
    <row r="106" spans="3:17" x14ac:dyDescent="0.3">
      <c r="C106" s="35" t="s">
        <v>176</v>
      </c>
      <c r="D106" s="35" t="s">
        <v>191</v>
      </c>
      <c r="E106" s="20">
        <f>Calculations!E136</f>
        <v>1.2500000000000002</v>
      </c>
      <c r="F106" s="7" t="s">
        <v>10</v>
      </c>
      <c r="O106" s="31"/>
      <c r="P106" s="31"/>
      <c r="Q106" s="31"/>
    </row>
    <row r="107" spans="3:17" x14ac:dyDescent="0.3">
      <c r="C107" s="39" t="s">
        <v>121</v>
      </c>
      <c r="D107" s="39" t="s">
        <v>186</v>
      </c>
      <c r="E107" s="20">
        <f>Calculations!E137</f>
        <v>9259.2592592592591</v>
      </c>
      <c r="F107" s="24" t="s">
        <v>122</v>
      </c>
      <c r="O107" s="31"/>
      <c r="P107" s="31"/>
      <c r="Q107" s="31"/>
    </row>
    <row r="108" spans="3:17" x14ac:dyDescent="0.3">
      <c r="C108" s="35" t="s">
        <v>195</v>
      </c>
      <c r="D108" s="35" t="s">
        <v>350</v>
      </c>
      <c r="E108" s="20">
        <f>Calculations!E138</f>
        <v>27.5625</v>
      </c>
      <c r="F108" s="7" t="s">
        <v>7</v>
      </c>
      <c r="O108" s="31"/>
      <c r="P108" s="31"/>
      <c r="Q108" s="31"/>
    </row>
    <row r="109" spans="3:17" x14ac:dyDescent="0.3">
      <c r="C109" s="35" t="s">
        <v>174</v>
      </c>
      <c r="D109" s="35" t="s">
        <v>351</v>
      </c>
      <c r="E109" s="20">
        <f>Calculations!E139</f>
        <v>0.94499999999999995</v>
      </c>
      <c r="F109" s="7" t="s">
        <v>33</v>
      </c>
      <c r="O109" s="32"/>
      <c r="P109" s="32"/>
      <c r="Q109" s="32"/>
    </row>
    <row r="110" spans="3:17" x14ac:dyDescent="0.3">
      <c r="C110" s="35" t="s">
        <v>175</v>
      </c>
      <c r="D110" s="35" t="s">
        <v>192</v>
      </c>
      <c r="E110" s="20">
        <f>Calculations!E140</f>
        <v>10</v>
      </c>
      <c r="F110" s="7" t="s">
        <v>10</v>
      </c>
    </row>
    <row r="111" spans="3:17" ht="28.8" x14ac:dyDescent="0.3">
      <c r="C111" s="35" t="s">
        <v>196</v>
      </c>
      <c r="D111" s="35" t="s">
        <v>352</v>
      </c>
      <c r="E111" s="20">
        <f>Calculations!E141</f>
        <v>11.062499999999996</v>
      </c>
      <c r="F111" s="7" t="s">
        <v>7</v>
      </c>
    </row>
    <row r="112" spans="3:17" x14ac:dyDescent="0.3">
      <c r="C112" s="35" t="s">
        <v>117</v>
      </c>
      <c r="D112" s="35" t="s">
        <v>353</v>
      </c>
      <c r="E112" s="20">
        <f>Calculations!E142</f>
        <v>0.16593749999999993</v>
      </c>
      <c r="F112" s="7" t="s">
        <v>33</v>
      </c>
    </row>
    <row r="113" spans="3:6" x14ac:dyDescent="0.3">
      <c r="C113" s="35" t="s">
        <v>354</v>
      </c>
      <c r="D113" s="35" t="s">
        <v>355</v>
      </c>
      <c r="E113" s="20">
        <f>Calculations!E143</f>
        <v>3.3609375000000004</v>
      </c>
      <c r="F113" s="7" t="s">
        <v>33</v>
      </c>
    </row>
    <row r="114" spans="3:6" x14ac:dyDescent="0.3">
      <c r="C114" s="35" t="s">
        <v>356</v>
      </c>
      <c r="D114" s="35" t="s">
        <v>357</v>
      </c>
      <c r="E114" s="20">
        <f>Calculations!E144</f>
        <v>1.1109374999999999</v>
      </c>
      <c r="F114" s="7" t="s">
        <v>33</v>
      </c>
    </row>
    <row r="115" spans="3:6" ht="15" thickBot="1" x14ac:dyDescent="0.35">
      <c r="C115" s="35"/>
      <c r="D115" s="35"/>
    </row>
    <row r="116" spans="3:6" ht="58.2" thickBot="1" x14ac:dyDescent="0.35">
      <c r="C116" s="82" t="s">
        <v>210</v>
      </c>
      <c r="D116" s="81" t="s">
        <v>382</v>
      </c>
    </row>
    <row r="117" spans="3:6" x14ac:dyDescent="0.3">
      <c r="C117" s="64" t="s">
        <v>2</v>
      </c>
      <c r="D117" s="64" t="s">
        <v>3</v>
      </c>
      <c r="E117" s="10" t="s">
        <v>4</v>
      </c>
      <c r="F117" s="10" t="s">
        <v>5</v>
      </c>
    </row>
    <row r="118" spans="3:6" x14ac:dyDescent="0.3">
      <c r="C118" s="35" t="s">
        <v>358</v>
      </c>
      <c r="D118" s="35" t="s">
        <v>359</v>
      </c>
      <c r="E118" s="25">
        <v>74.599999999999994</v>
      </c>
      <c r="F118" s="12" t="s">
        <v>7</v>
      </c>
    </row>
    <row r="119" spans="3:6" x14ac:dyDescent="0.3">
      <c r="C119" s="35" t="s">
        <v>356</v>
      </c>
      <c r="D119" s="35" t="s">
        <v>357</v>
      </c>
      <c r="E119" s="20">
        <f>Calculations!E154</f>
        <v>1.7818181818181817</v>
      </c>
      <c r="F119" s="7" t="s">
        <v>33</v>
      </c>
    </row>
    <row r="120" spans="3:6" ht="15" thickBot="1" x14ac:dyDescent="0.35"/>
    <row r="121" spans="3:6" ht="58.2" thickBot="1" x14ac:dyDescent="0.35">
      <c r="C121" s="82" t="s">
        <v>211</v>
      </c>
      <c r="D121" s="81" t="s">
        <v>383</v>
      </c>
    </row>
    <row r="122" spans="3:6" x14ac:dyDescent="0.3">
      <c r="C122" s="64" t="s">
        <v>2</v>
      </c>
      <c r="D122" s="64" t="s">
        <v>3</v>
      </c>
      <c r="E122" s="10" t="s">
        <v>4</v>
      </c>
      <c r="F122" s="10" t="s">
        <v>5</v>
      </c>
    </row>
    <row r="123" spans="3:6" x14ac:dyDescent="0.3">
      <c r="C123" s="35" t="s">
        <v>377</v>
      </c>
      <c r="D123" s="35" t="s">
        <v>374</v>
      </c>
      <c r="E123" s="25">
        <v>48</v>
      </c>
      <c r="F123" s="12" t="s">
        <v>7</v>
      </c>
    </row>
    <row r="124" spans="3:6" x14ac:dyDescent="0.3">
      <c r="C124" s="35" t="s">
        <v>356</v>
      </c>
      <c r="D124" s="35" t="s">
        <v>357</v>
      </c>
      <c r="E124" s="20">
        <f>Calculations!E163</f>
        <v>1.2981818181818183</v>
      </c>
      <c r="F124" s="7" t="s">
        <v>33</v>
      </c>
    </row>
    <row r="125" spans="3:6" ht="15" thickBot="1" x14ac:dyDescent="0.35"/>
    <row r="126" spans="3:6" ht="15" thickBot="1" x14ac:dyDescent="0.35">
      <c r="C126" s="83" t="s">
        <v>266</v>
      </c>
      <c r="D126" s="81" t="s">
        <v>391</v>
      </c>
    </row>
    <row r="127" spans="3:6" x14ac:dyDescent="0.3">
      <c r="C127" s="67" t="s">
        <v>2</v>
      </c>
      <c r="D127" s="67" t="s">
        <v>3</v>
      </c>
      <c r="E127" s="10" t="s">
        <v>4</v>
      </c>
      <c r="F127" s="10" t="s">
        <v>5</v>
      </c>
    </row>
    <row r="128" spans="3:6" x14ac:dyDescent="0.3">
      <c r="C128" s="7" t="s">
        <v>360</v>
      </c>
      <c r="D128" s="17" t="s">
        <v>129</v>
      </c>
      <c r="E128" s="23">
        <v>-36</v>
      </c>
      <c r="F128" s="7" t="s">
        <v>7</v>
      </c>
    </row>
    <row r="129" spans="3:6" x14ac:dyDescent="0.3">
      <c r="C129" s="7" t="s">
        <v>361</v>
      </c>
      <c r="D129" s="17" t="s">
        <v>130</v>
      </c>
      <c r="E129" s="23">
        <v>-30</v>
      </c>
      <c r="F129" s="7" t="s">
        <v>7</v>
      </c>
    </row>
    <row r="130" spans="3:6" x14ac:dyDescent="0.3">
      <c r="C130" s="7" t="s">
        <v>362</v>
      </c>
      <c r="D130" s="17" t="s">
        <v>131</v>
      </c>
      <c r="E130" s="23">
        <v>-25</v>
      </c>
      <c r="F130" s="7" t="s">
        <v>7</v>
      </c>
    </row>
    <row r="131" spans="3:6" x14ac:dyDescent="0.3">
      <c r="C131" s="7" t="s">
        <v>363</v>
      </c>
      <c r="D131" s="17" t="s">
        <v>134</v>
      </c>
      <c r="E131" s="23">
        <v>1.8</v>
      </c>
      <c r="F131" s="7" t="s">
        <v>7</v>
      </c>
    </row>
    <row r="132" spans="3:6" x14ac:dyDescent="0.3">
      <c r="C132" s="7" t="s">
        <v>364</v>
      </c>
      <c r="D132" s="17" t="s">
        <v>136</v>
      </c>
      <c r="E132" s="23">
        <v>2.2999999999999998</v>
      </c>
      <c r="F132" s="7" t="s">
        <v>7</v>
      </c>
    </row>
    <row r="133" spans="3:6" x14ac:dyDescent="0.3">
      <c r="C133" s="7" t="s">
        <v>365</v>
      </c>
      <c r="D133" s="17" t="s">
        <v>137</v>
      </c>
      <c r="E133" s="23">
        <v>3</v>
      </c>
      <c r="F133" s="7" t="s">
        <v>7</v>
      </c>
    </row>
    <row r="134" spans="3:6" ht="15" thickBot="1" x14ac:dyDescent="0.35"/>
    <row r="135" spans="3:6" ht="15" thickBot="1" x14ac:dyDescent="0.35">
      <c r="C135" s="84" t="s">
        <v>35</v>
      </c>
      <c r="D135" s="85" t="s">
        <v>265</v>
      </c>
    </row>
    <row r="136" spans="3:6" x14ac:dyDescent="0.3">
      <c r="C136" s="67" t="s">
        <v>2</v>
      </c>
      <c r="D136" s="67" t="s">
        <v>3</v>
      </c>
      <c r="E136" s="10" t="s">
        <v>4</v>
      </c>
      <c r="F136" s="10" t="s">
        <v>5</v>
      </c>
    </row>
    <row r="137" spans="3:6" x14ac:dyDescent="0.3">
      <c r="C137" s="7" t="s">
        <v>366</v>
      </c>
      <c r="D137" s="17" t="s">
        <v>367</v>
      </c>
      <c r="E137" s="20">
        <f>Calculations!E176</f>
        <v>0.20655704525082239</v>
      </c>
      <c r="F137" s="7" t="s">
        <v>7</v>
      </c>
    </row>
    <row r="138" spans="3:6" x14ac:dyDescent="0.3">
      <c r="C138" s="7" t="s">
        <v>368</v>
      </c>
      <c r="D138" s="17" t="s">
        <v>369</v>
      </c>
      <c r="E138" s="20">
        <f>Calculations!E177</f>
        <v>1.4404636050386299</v>
      </c>
      <c r="F138" s="7" t="s">
        <v>6</v>
      </c>
    </row>
    <row r="139" spans="3:6" x14ac:dyDescent="0.3">
      <c r="C139" s="7" t="s">
        <v>370</v>
      </c>
      <c r="D139" s="17" t="s">
        <v>371</v>
      </c>
      <c r="E139" s="20">
        <f>Calculations!E178</f>
        <v>0.1945290858725762</v>
      </c>
      <c r="F139" s="7" t="s">
        <v>6</v>
      </c>
    </row>
    <row r="140" spans="3:6" x14ac:dyDescent="0.3">
      <c r="C140" s="7" t="s">
        <v>36</v>
      </c>
      <c r="D140" s="17" t="s">
        <v>81</v>
      </c>
      <c r="E140" s="20">
        <f>Calculations!E179</f>
        <v>266.63499269091125</v>
      </c>
      <c r="F140" s="7" t="s">
        <v>6</v>
      </c>
    </row>
    <row r="141" spans="3:6" x14ac:dyDescent="0.3">
      <c r="C141" s="18" t="s">
        <v>37</v>
      </c>
      <c r="D141" s="17" t="s">
        <v>82</v>
      </c>
      <c r="E141" s="20">
        <f>Calculations!E180</f>
        <v>99.386804907183887</v>
      </c>
      <c r="F141" s="7" t="s">
        <v>38</v>
      </c>
    </row>
  </sheetData>
  <sheetProtection password="DA3C" sheet="1" objects="1" scenarios="1"/>
  <mergeCells count="1">
    <mergeCell ref="C3:E5"/>
  </mergeCells>
  <conditionalFormatting sqref="E58">
    <cfRule type="expression" dxfId="7" priority="14">
      <formula>$E$57*$E$58&gt;10</formula>
    </cfRule>
  </conditionalFormatting>
  <conditionalFormatting sqref="E96">
    <cfRule type="expression" dxfId="6" priority="7">
      <formula>$E$96&lt;1</formula>
    </cfRule>
  </conditionalFormatting>
  <conditionalFormatting sqref="E94:E95">
    <cfRule type="expression" dxfId="5" priority="6">
      <formula>$E$94&lt;0</formula>
    </cfRule>
  </conditionalFormatting>
  <conditionalFormatting sqref="E114">
    <cfRule type="expression" dxfId="4" priority="5">
      <formula>$E$114&gt;$E$89</formula>
    </cfRule>
  </conditionalFormatting>
  <conditionalFormatting sqref="E119">
    <cfRule type="cellIs" dxfId="3" priority="3" operator="greaterThan">
      <formula>$E$89</formula>
    </cfRule>
    <cfRule type="expression" dxfId="2" priority="4">
      <formula>$E$114&gt;$E$89</formula>
    </cfRule>
  </conditionalFormatting>
  <conditionalFormatting sqref="E124">
    <cfRule type="cellIs" dxfId="1" priority="2" operator="greaterThan">
      <formula>$E$89</formula>
    </cfRule>
  </conditionalFormatting>
  <conditionalFormatting sqref="E90">
    <cfRule type="expression" dxfId="0" priority="1">
      <formula>$E$90&gt;$E$84</formula>
    </cfRule>
  </conditionalFormatting>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0"/>
  <sheetViews>
    <sheetView zoomScale="85" zoomScaleNormal="85" workbookViewId="0">
      <selection activeCell="D26" sqref="D26"/>
    </sheetView>
  </sheetViews>
  <sheetFormatPr defaultRowHeight="14.4" x14ac:dyDescent="0.3"/>
  <cols>
    <col min="1" max="1" width="8.88671875" style="7"/>
    <col min="2" max="2" width="18" style="7" customWidth="1"/>
    <col min="3" max="3" width="22.6640625" style="7" customWidth="1"/>
    <col min="4" max="4" width="64.44140625" style="7" customWidth="1"/>
    <col min="5" max="5" width="19" style="7" customWidth="1"/>
    <col min="6" max="6" width="11.109375" style="7" customWidth="1"/>
    <col min="7" max="7" width="11.6640625" style="7" customWidth="1"/>
    <col min="8" max="16384" width="8.88671875" style="7"/>
  </cols>
  <sheetData>
    <row r="1" spans="1:2" ht="21" x14ac:dyDescent="0.4">
      <c r="A1" s="6" t="s">
        <v>389</v>
      </c>
    </row>
    <row r="2" spans="1:2" ht="15" thickBot="1" x14ac:dyDescent="0.35">
      <c r="A2" s="8"/>
      <c r="B2" s="3"/>
    </row>
    <row r="3" spans="1:2" x14ac:dyDescent="0.3">
      <c r="B3" s="2" t="s">
        <v>92</v>
      </c>
    </row>
    <row r="4" spans="1:2" x14ac:dyDescent="0.3">
      <c r="B4" s="4" t="s">
        <v>1</v>
      </c>
    </row>
    <row r="5" spans="1:2" ht="15" thickBot="1" x14ac:dyDescent="0.35">
      <c r="B5" s="1" t="s">
        <v>0</v>
      </c>
    </row>
    <row r="6" spans="1:2" ht="15" thickTop="1" x14ac:dyDescent="0.3"/>
    <row r="24" spans="3:6" ht="15" thickBot="1" x14ac:dyDescent="0.35"/>
    <row r="25" spans="3:6" ht="29.4" thickBot="1" x14ac:dyDescent="0.35">
      <c r="D25" s="63" t="s">
        <v>235</v>
      </c>
    </row>
    <row r="26" spans="3:6" ht="15" thickBot="1" x14ac:dyDescent="0.35">
      <c r="C26" s="73" t="s">
        <v>152</v>
      </c>
      <c r="D26" s="74" t="s">
        <v>267</v>
      </c>
      <c r="E26" s="9"/>
      <c r="F26" s="9"/>
    </row>
    <row r="27" spans="3:6" x14ac:dyDescent="0.3">
      <c r="C27" s="64" t="s">
        <v>2</v>
      </c>
      <c r="D27" s="64" t="s">
        <v>3</v>
      </c>
      <c r="E27" s="10" t="s">
        <v>4</v>
      </c>
      <c r="F27" s="10" t="s">
        <v>5</v>
      </c>
    </row>
    <row r="28" spans="3:6" x14ac:dyDescent="0.3">
      <c r="C28" s="34" t="s">
        <v>259</v>
      </c>
      <c r="D28" s="40" t="s">
        <v>83</v>
      </c>
      <c r="E28" s="86">
        <f>Cover!E30</f>
        <v>265</v>
      </c>
      <c r="F28" s="12" t="s">
        <v>6</v>
      </c>
    </row>
    <row r="29" spans="3:6" x14ac:dyDescent="0.3">
      <c r="C29" s="34" t="s">
        <v>260</v>
      </c>
      <c r="D29" s="40" t="s">
        <v>84</v>
      </c>
      <c r="E29" s="86">
        <f>Cover!E31</f>
        <v>48</v>
      </c>
      <c r="F29" s="12" t="s">
        <v>7</v>
      </c>
    </row>
    <row r="30" spans="3:6" x14ac:dyDescent="0.3">
      <c r="C30" s="34" t="s">
        <v>8</v>
      </c>
      <c r="D30" s="40" t="s">
        <v>85</v>
      </c>
      <c r="E30" s="86">
        <f>Cover!E32</f>
        <v>48</v>
      </c>
      <c r="F30" s="12" t="s">
        <v>7</v>
      </c>
    </row>
    <row r="31" spans="3:6" x14ac:dyDescent="0.3">
      <c r="C31" s="34" t="s">
        <v>154</v>
      </c>
      <c r="D31" s="40" t="s">
        <v>86</v>
      </c>
      <c r="E31" s="86">
        <f>Cover!E33</f>
        <v>38</v>
      </c>
      <c r="F31" s="12" t="s">
        <v>7</v>
      </c>
    </row>
    <row r="32" spans="3:6" x14ac:dyDescent="0.3">
      <c r="C32" s="34" t="s">
        <v>155</v>
      </c>
      <c r="D32" s="40" t="s">
        <v>87</v>
      </c>
      <c r="E32" s="86">
        <f>Cover!E34</f>
        <v>74.599999999999994</v>
      </c>
      <c r="F32" s="12" t="s">
        <v>7</v>
      </c>
    </row>
    <row r="33" spans="3:6" x14ac:dyDescent="0.3">
      <c r="C33" s="34" t="s">
        <v>41</v>
      </c>
      <c r="D33" s="40" t="s">
        <v>88</v>
      </c>
      <c r="E33" s="86">
        <f>Cover!E35</f>
        <v>150</v>
      </c>
      <c r="F33" s="12" t="s">
        <v>9</v>
      </c>
    </row>
    <row r="34" spans="3:6" x14ac:dyDescent="0.3">
      <c r="C34" s="34" t="s">
        <v>42</v>
      </c>
      <c r="D34" s="40" t="s">
        <v>89</v>
      </c>
      <c r="E34" s="86">
        <f>Cover!E36</f>
        <v>0.2</v>
      </c>
      <c r="F34" s="12"/>
    </row>
    <row r="35" spans="3:6" x14ac:dyDescent="0.3">
      <c r="C35" s="34" t="s">
        <v>90</v>
      </c>
      <c r="D35" s="40" t="s">
        <v>24</v>
      </c>
      <c r="E35" s="13">
        <f>(E28/E29)</f>
        <v>5.520833333333333</v>
      </c>
      <c r="F35" s="12" t="s">
        <v>10</v>
      </c>
    </row>
    <row r="36" spans="3:6" x14ac:dyDescent="0.3">
      <c r="C36" s="34" t="s">
        <v>91</v>
      </c>
      <c r="D36" s="40" t="s">
        <v>25</v>
      </c>
      <c r="E36" s="13">
        <f>E28/E31</f>
        <v>6.9736842105263159</v>
      </c>
      <c r="F36" s="12" t="s">
        <v>10</v>
      </c>
    </row>
    <row r="37" spans="3:6" ht="15" thickBot="1" x14ac:dyDescent="0.35">
      <c r="C37" s="34"/>
      <c r="D37" s="75"/>
      <c r="E37" s="11"/>
      <c r="F37" s="11"/>
    </row>
    <row r="38" spans="3:6" ht="15" thickBot="1" x14ac:dyDescent="0.35">
      <c r="C38" s="72" t="s">
        <v>125</v>
      </c>
      <c r="D38" s="65" t="s">
        <v>241</v>
      </c>
    </row>
    <row r="39" spans="3:6" x14ac:dyDescent="0.3">
      <c r="C39" s="64" t="s">
        <v>2</v>
      </c>
      <c r="D39" s="64" t="s">
        <v>3</v>
      </c>
      <c r="E39" s="10" t="s">
        <v>4</v>
      </c>
      <c r="F39" s="10" t="s">
        <v>5</v>
      </c>
    </row>
    <row r="40" spans="3:6" x14ac:dyDescent="0.3">
      <c r="C40" s="34" t="s">
        <v>11</v>
      </c>
      <c r="D40" s="40" t="s">
        <v>93</v>
      </c>
      <c r="E40" s="14">
        <v>33</v>
      </c>
      <c r="F40" s="12" t="s">
        <v>12</v>
      </c>
    </row>
    <row r="41" spans="3:6" x14ac:dyDescent="0.3">
      <c r="C41" s="34" t="s">
        <v>13</v>
      </c>
      <c r="D41" s="40" t="s">
        <v>94</v>
      </c>
      <c r="E41" s="14">
        <v>40</v>
      </c>
      <c r="F41" s="12" t="s">
        <v>12</v>
      </c>
    </row>
    <row r="42" spans="3:6" x14ac:dyDescent="0.3">
      <c r="C42" s="34" t="s">
        <v>14</v>
      </c>
      <c r="D42" s="40" t="s">
        <v>95</v>
      </c>
      <c r="E42" s="14">
        <v>46</v>
      </c>
      <c r="F42" s="12" t="s">
        <v>12</v>
      </c>
    </row>
    <row r="43" spans="3:6" ht="15" thickBot="1" x14ac:dyDescent="0.35">
      <c r="C43" s="35"/>
      <c r="D43" s="35"/>
    </row>
    <row r="44" spans="3:6" ht="15" thickBot="1" x14ac:dyDescent="0.35">
      <c r="C44" s="72" t="s">
        <v>15</v>
      </c>
      <c r="D44" s="65" t="s">
        <v>242</v>
      </c>
    </row>
    <row r="45" spans="3:6" x14ac:dyDescent="0.3">
      <c r="C45" s="64" t="s">
        <v>2</v>
      </c>
      <c r="D45" s="64" t="s">
        <v>3</v>
      </c>
      <c r="E45" s="10" t="s">
        <v>4</v>
      </c>
      <c r="F45" s="10" t="s">
        <v>5</v>
      </c>
    </row>
    <row r="46" spans="3:6" x14ac:dyDescent="0.3">
      <c r="C46" s="34" t="s">
        <v>43</v>
      </c>
      <c r="D46" s="40" t="s">
        <v>239</v>
      </c>
      <c r="E46" s="14">
        <v>-7</v>
      </c>
      <c r="F46" s="12" t="s">
        <v>12</v>
      </c>
    </row>
    <row r="47" spans="3:6" x14ac:dyDescent="0.3">
      <c r="C47" s="34" t="s">
        <v>44</v>
      </c>
      <c r="D47" s="40" t="s">
        <v>240</v>
      </c>
      <c r="E47" s="14">
        <v>6</v>
      </c>
      <c r="F47" s="12" t="s">
        <v>12</v>
      </c>
    </row>
    <row r="48" spans="3:6" ht="15" thickBot="1" x14ac:dyDescent="0.35">
      <c r="C48" s="35"/>
      <c r="D48" s="35"/>
    </row>
    <row r="49" spans="3:6" ht="15" thickBot="1" x14ac:dyDescent="0.35">
      <c r="C49" s="72" t="s">
        <v>237</v>
      </c>
      <c r="D49" s="65" t="s">
        <v>268</v>
      </c>
    </row>
    <row r="50" spans="3:6" x14ac:dyDescent="0.3">
      <c r="C50" s="64" t="s">
        <v>2</v>
      </c>
      <c r="D50" s="64" t="s">
        <v>3</v>
      </c>
      <c r="E50" s="10" t="s">
        <v>4</v>
      </c>
      <c r="F50" s="10" t="s">
        <v>5</v>
      </c>
    </row>
    <row r="51" spans="3:6" x14ac:dyDescent="0.3">
      <c r="C51" s="34" t="s">
        <v>16</v>
      </c>
      <c r="D51" s="40" t="s">
        <v>236</v>
      </c>
      <c r="E51" s="13">
        <f>E40/E36</f>
        <v>4.7320754716981135</v>
      </c>
      <c r="F51" s="15" t="s">
        <v>143</v>
      </c>
    </row>
    <row r="52" spans="3:6" x14ac:dyDescent="0.3">
      <c r="C52" s="34" t="s">
        <v>18</v>
      </c>
      <c r="D52" s="40" t="s">
        <v>238</v>
      </c>
      <c r="E52" s="86">
        <f>Cover!E43/1000</f>
        <v>4.0000000000000001E-3</v>
      </c>
      <c r="F52" s="15" t="s">
        <v>143</v>
      </c>
    </row>
    <row r="53" spans="3:6" x14ac:dyDescent="0.3">
      <c r="C53" s="34" t="s">
        <v>20</v>
      </c>
      <c r="D53" s="40" t="s">
        <v>246</v>
      </c>
      <c r="E53" s="13">
        <f>E42*E42*0.000001/E52</f>
        <v>0.52899999999999991</v>
      </c>
      <c r="F53" s="15" t="s">
        <v>6</v>
      </c>
    </row>
    <row r="54" spans="3:6" x14ac:dyDescent="0.3">
      <c r="C54" s="35" t="s">
        <v>21</v>
      </c>
      <c r="D54" s="41" t="s">
        <v>245</v>
      </c>
      <c r="E54" s="16">
        <f>E40*0.001/E52</f>
        <v>8.25</v>
      </c>
      <c r="F54" s="7" t="s">
        <v>10</v>
      </c>
    </row>
    <row r="55" spans="3:6" x14ac:dyDescent="0.3">
      <c r="C55" s="35" t="s">
        <v>22</v>
      </c>
      <c r="D55" s="41" t="s">
        <v>244</v>
      </c>
      <c r="E55" s="16">
        <f>E41*0.001/E52</f>
        <v>10</v>
      </c>
      <c r="F55" s="7" t="s">
        <v>10</v>
      </c>
    </row>
    <row r="56" spans="3:6" x14ac:dyDescent="0.3">
      <c r="C56" s="35" t="s">
        <v>23</v>
      </c>
      <c r="D56" s="41" t="s">
        <v>243</v>
      </c>
      <c r="E56" s="16">
        <f>E42*0.001/E52</f>
        <v>11.5</v>
      </c>
      <c r="F56" s="7" t="s">
        <v>10</v>
      </c>
    </row>
    <row r="57" spans="3:6" ht="15" thickBot="1" x14ac:dyDescent="0.35">
      <c r="C57" s="35"/>
      <c r="D57" s="76"/>
    </row>
    <row r="58" spans="3:6" ht="29.4" thickBot="1" x14ac:dyDescent="0.35">
      <c r="C58" s="72" t="s">
        <v>26</v>
      </c>
      <c r="D58" s="65" t="s">
        <v>256</v>
      </c>
    </row>
    <row r="59" spans="3:6" x14ac:dyDescent="0.3">
      <c r="C59" s="64" t="s">
        <v>2</v>
      </c>
      <c r="D59" s="64" t="s">
        <v>3</v>
      </c>
      <c r="E59" s="10" t="s">
        <v>4</v>
      </c>
      <c r="F59" s="10" t="s">
        <v>5</v>
      </c>
    </row>
    <row r="60" spans="3:6" x14ac:dyDescent="0.3">
      <c r="C60" s="35" t="s">
        <v>45</v>
      </c>
      <c r="D60" s="35" t="s">
        <v>27</v>
      </c>
      <c r="E60" s="87">
        <f>Cover!E51</f>
        <v>175</v>
      </c>
      <c r="F60" s="7" t="s">
        <v>28</v>
      </c>
    </row>
    <row r="61" spans="3:6" x14ac:dyDescent="0.3">
      <c r="C61" s="35" t="s">
        <v>46</v>
      </c>
      <c r="D61" s="35" t="s">
        <v>247</v>
      </c>
      <c r="E61" s="87">
        <f>Cover!E52</f>
        <v>70</v>
      </c>
      <c r="F61" s="7" t="s">
        <v>28</v>
      </c>
    </row>
    <row r="62" spans="3:6" ht="28.8" x14ac:dyDescent="0.3">
      <c r="C62" s="35" t="s">
        <v>47</v>
      </c>
      <c r="D62" s="35" t="s">
        <v>96</v>
      </c>
      <c r="E62" s="87">
        <f>Cover!E53</f>
        <v>35</v>
      </c>
      <c r="F62" s="18" t="s">
        <v>29</v>
      </c>
    </row>
    <row r="63" spans="3:6" ht="43.2" x14ac:dyDescent="0.3">
      <c r="C63" s="35" t="s">
        <v>48</v>
      </c>
      <c r="D63" s="35" t="s">
        <v>248</v>
      </c>
      <c r="E63" s="19">
        <f>(E60-E61-50)/(E54*E54*E62)</f>
        <v>2.3088023088023088E-2</v>
      </c>
      <c r="F63" s="15" t="s">
        <v>19</v>
      </c>
    </row>
    <row r="64" spans="3:6" ht="16.2" x14ac:dyDescent="0.3">
      <c r="C64" s="36" t="s">
        <v>138</v>
      </c>
      <c r="D64" s="35" t="s">
        <v>140</v>
      </c>
      <c r="E64" s="88" t="str">
        <f>Cover!E55</f>
        <v>STB120NF10</v>
      </c>
      <c r="F64" s="15"/>
    </row>
    <row r="65" spans="3:6" x14ac:dyDescent="0.3">
      <c r="C65" s="35" t="s">
        <v>49</v>
      </c>
      <c r="D65" s="35" t="s">
        <v>249</v>
      </c>
      <c r="E65" s="88">
        <f>Cover!E56</f>
        <v>1.0500000000000001E-2</v>
      </c>
      <c r="F65" s="15" t="s">
        <v>19</v>
      </c>
    </row>
    <row r="66" spans="3:6" x14ac:dyDescent="0.3">
      <c r="C66" s="35" t="s">
        <v>50</v>
      </c>
      <c r="D66" s="35" t="s">
        <v>97</v>
      </c>
      <c r="E66" s="88">
        <f>Cover!E57</f>
        <v>1</v>
      </c>
    </row>
    <row r="67" spans="3:6" x14ac:dyDescent="0.3">
      <c r="C67" s="35" t="s">
        <v>51</v>
      </c>
      <c r="D67" s="35" t="s">
        <v>250</v>
      </c>
      <c r="E67" s="88">
        <f>Cover!E58</f>
        <v>5.2</v>
      </c>
      <c r="F67" s="7" t="s">
        <v>30</v>
      </c>
    </row>
    <row r="68" spans="3:6" x14ac:dyDescent="0.3">
      <c r="C68" s="35" t="s">
        <v>52</v>
      </c>
      <c r="D68" s="35" t="s">
        <v>251</v>
      </c>
      <c r="E68" s="88">
        <f>Cover!E59</f>
        <v>1</v>
      </c>
    </row>
    <row r="69" spans="3:6" x14ac:dyDescent="0.3">
      <c r="C69" s="35" t="s">
        <v>253</v>
      </c>
      <c r="D69" s="35" t="s">
        <v>252</v>
      </c>
      <c r="E69" s="88">
        <f>Cover!E60</f>
        <v>1.9</v>
      </c>
    </row>
    <row r="70" spans="3:6" x14ac:dyDescent="0.3">
      <c r="C70" s="35" t="s">
        <v>98</v>
      </c>
      <c r="D70" s="35" t="s">
        <v>254</v>
      </c>
      <c r="E70" s="20">
        <f>(E61+E62*(E36/(E66*E68))^2*E69*E65)</f>
        <v>103.95748355263159</v>
      </c>
      <c r="F70" s="7" t="s">
        <v>28</v>
      </c>
    </row>
    <row r="71" spans="3:6" x14ac:dyDescent="0.3">
      <c r="C71" s="35" t="s">
        <v>53</v>
      </c>
      <c r="D71" s="35" t="s">
        <v>255</v>
      </c>
      <c r="E71" s="21">
        <f>((((E69-1)*(E70-25))/100)+1)*E65</f>
        <v>1.7961482195723685E-2</v>
      </c>
      <c r="F71" s="15" t="s">
        <v>19</v>
      </c>
    </row>
    <row r="72" spans="3:6" x14ac:dyDescent="0.3">
      <c r="C72" s="35" t="s">
        <v>31</v>
      </c>
      <c r="D72" s="35" t="s">
        <v>223</v>
      </c>
      <c r="E72" s="21">
        <f>E61+E62*(E36/(E66*E68))^2*E71</f>
        <v>100.57276873394346</v>
      </c>
      <c r="F72" s="7" t="s">
        <v>28</v>
      </c>
    </row>
    <row r="73" spans="3:6" ht="15" thickBot="1" x14ac:dyDescent="0.35">
      <c r="C73" s="35"/>
      <c r="D73" s="35"/>
    </row>
    <row r="74" spans="3:6" ht="58.2" thickBot="1" x14ac:dyDescent="0.35">
      <c r="C74" s="72" t="s">
        <v>212</v>
      </c>
      <c r="D74" s="65" t="s">
        <v>257</v>
      </c>
    </row>
    <row r="75" spans="3:6" x14ac:dyDescent="0.3">
      <c r="C75" s="64" t="s">
        <v>2</v>
      </c>
      <c r="D75" s="64" t="s">
        <v>3</v>
      </c>
      <c r="E75" s="10" t="s">
        <v>4</v>
      </c>
      <c r="F75" s="10" t="s">
        <v>5</v>
      </c>
    </row>
    <row r="76" spans="3:6" ht="28.8" x14ac:dyDescent="0.3">
      <c r="C76" s="35" t="s">
        <v>375</v>
      </c>
      <c r="D76" s="35" t="s">
        <v>372</v>
      </c>
      <c r="E76" s="20">
        <f>(E60-25)/(E60-E72)</f>
        <v>2.015391375554358</v>
      </c>
    </row>
    <row r="77" spans="3:6" x14ac:dyDescent="0.3">
      <c r="C77" s="35"/>
      <c r="D77" s="35"/>
      <c r="E77" s="22"/>
    </row>
    <row r="78" spans="3:6" x14ac:dyDescent="0.3">
      <c r="C78" s="37" t="s">
        <v>101</v>
      </c>
      <c r="D78" s="35" t="s">
        <v>220</v>
      </c>
      <c r="E78" s="22"/>
    </row>
    <row r="79" spans="3:6" x14ac:dyDescent="0.3">
      <c r="C79" s="35" t="s">
        <v>54</v>
      </c>
      <c r="D79" s="35" t="s">
        <v>213</v>
      </c>
      <c r="E79" s="20">
        <f>(E32*E56)*E76</f>
        <v>1729.0042610880837</v>
      </c>
      <c r="F79" s="7" t="s">
        <v>6</v>
      </c>
    </row>
    <row r="80" spans="3:6" x14ac:dyDescent="0.3">
      <c r="C80" s="35" t="s">
        <v>55</v>
      </c>
      <c r="D80" s="35" t="s">
        <v>214</v>
      </c>
      <c r="E80" s="20">
        <f>E56*E76</f>
        <v>23.177000818875118</v>
      </c>
      <c r="F80" s="7" t="s">
        <v>10</v>
      </c>
    </row>
    <row r="81" spans="3:6" x14ac:dyDescent="0.3">
      <c r="C81" s="35" t="s">
        <v>145</v>
      </c>
      <c r="D81" s="35" t="s">
        <v>286</v>
      </c>
      <c r="E81" s="87">
        <f>Cover!E72</f>
        <v>1</v>
      </c>
      <c r="F81" s="7" t="s">
        <v>33</v>
      </c>
    </row>
    <row r="82" spans="3:6" x14ac:dyDescent="0.3">
      <c r="C82" s="37" t="s">
        <v>99</v>
      </c>
      <c r="D82" s="35" t="s">
        <v>219</v>
      </c>
    </row>
    <row r="83" spans="3:6" x14ac:dyDescent="0.3">
      <c r="C83" s="35" t="s">
        <v>54</v>
      </c>
      <c r="D83" s="35" t="s">
        <v>215</v>
      </c>
      <c r="E83" s="20">
        <f>(E29*E55)*E76</f>
        <v>967.38786026609182</v>
      </c>
      <c r="F83" s="7" t="s">
        <v>6</v>
      </c>
    </row>
    <row r="84" spans="3:6" x14ac:dyDescent="0.3">
      <c r="C84" s="35" t="s">
        <v>55</v>
      </c>
      <c r="D84" s="35" t="s">
        <v>216</v>
      </c>
      <c r="E84" s="20">
        <f>E55*E76</f>
        <v>20.153913755543581</v>
      </c>
      <c r="F84" s="7" t="s">
        <v>10</v>
      </c>
    </row>
    <row r="85" spans="3:6" x14ac:dyDescent="0.3">
      <c r="C85" s="35" t="s">
        <v>146</v>
      </c>
      <c r="D85" s="35" t="s">
        <v>148</v>
      </c>
      <c r="E85" s="87">
        <f>Cover!E76</f>
        <v>3.5</v>
      </c>
      <c r="F85" s="7" t="s">
        <v>33</v>
      </c>
    </row>
    <row r="86" spans="3:6" x14ac:dyDescent="0.3">
      <c r="C86" s="37" t="s">
        <v>100</v>
      </c>
      <c r="D86" s="35" t="s">
        <v>221</v>
      </c>
    </row>
    <row r="87" spans="3:6" x14ac:dyDescent="0.3">
      <c r="C87" s="35" t="s">
        <v>54</v>
      </c>
      <c r="D87" s="35" t="s">
        <v>217</v>
      </c>
      <c r="E87" s="20">
        <f>(E29*E55)/((E60-E61)/(E60-25))</f>
        <v>685.71428571428578</v>
      </c>
      <c r="F87" s="7" t="s">
        <v>6</v>
      </c>
    </row>
    <row r="88" spans="3:6" x14ac:dyDescent="0.3">
      <c r="C88" s="35" t="s">
        <v>55</v>
      </c>
      <c r="D88" s="35" t="s">
        <v>218</v>
      </c>
      <c r="E88" s="20">
        <f>E55/((E60-E61)/(E60-25))</f>
        <v>14.285714285714286</v>
      </c>
      <c r="F88" s="7" t="s">
        <v>10</v>
      </c>
    </row>
    <row r="89" spans="3:6" x14ac:dyDescent="0.3">
      <c r="C89" s="35" t="s">
        <v>147</v>
      </c>
      <c r="D89" s="35" t="s">
        <v>149</v>
      </c>
      <c r="E89" s="87">
        <f>Cover!E80</f>
        <v>6</v>
      </c>
      <c r="F89" s="7" t="s">
        <v>33</v>
      </c>
    </row>
    <row r="90" spans="3:6" ht="15" thickBot="1" x14ac:dyDescent="0.35">
      <c r="C90" s="35"/>
      <c r="D90" s="35"/>
    </row>
    <row r="91" spans="3:6" ht="29.4" thickBot="1" x14ac:dyDescent="0.35">
      <c r="C91" s="70" t="s">
        <v>110</v>
      </c>
      <c r="D91" s="65" t="s">
        <v>258</v>
      </c>
    </row>
    <row r="92" spans="3:6" x14ac:dyDescent="0.3">
      <c r="C92" s="64" t="s">
        <v>2</v>
      </c>
      <c r="D92" s="64" t="s">
        <v>3</v>
      </c>
      <c r="E92" s="10" t="s">
        <v>4</v>
      </c>
      <c r="F92" s="10" t="s">
        <v>5</v>
      </c>
    </row>
    <row r="93" spans="3:6" x14ac:dyDescent="0.3">
      <c r="C93" s="35" t="s">
        <v>56</v>
      </c>
      <c r="D93" s="35" t="s">
        <v>103</v>
      </c>
      <c r="E93" s="23">
        <v>3.75</v>
      </c>
      <c r="F93" s="7" t="s">
        <v>7</v>
      </c>
    </row>
    <row r="94" spans="3:6" x14ac:dyDescent="0.3">
      <c r="C94" s="35" t="s">
        <v>57</v>
      </c>
      <c r="D94" s="35" t="s">
        <v>104</v>
      </c>
      <c r="E94" s="23">
        <v>4</v>
      </c>
      <c r="F94" s="7" t="s">
        <v>7</v>
      </c>
    </row>
    <row r="95" spans="3:6" x14ac:dyDescent="0.3">
      <c r="C95" s="35" t="s">
        <v>58</v>
      </c>
      <c r="D95" s="35" t="s">
        <v>105</v>
      </c>
      <c r="E95" s="23">
        <v>4.25</v>
      </c>
      <c r="F95" s="7" t="s">
        <v>7</v>
      </c>
    </row>
    <row r="96" spans="3:6" x14ac:dyDescent="0.3">
      <c r="C96" s="35" t="s">
        <v>59</v>
      </c>
      <c r="D96" s="35" t="s">
        <v>106</v>
      </c>
      <c r="E96" s="23">
        <v>45</v>
      </c>
      <c r="F96" s="7" t="s">
        <v>32</v>
      </c>
    </row>
    <row r="97" spans="3:6" x14ac:dyDescent="0.3">
      <c r="C97" s="35" t="s">
        <v>60</v>
      </c>
      <c r="D97" s="35" t="s">
        <v>107</v>
      </c>
      <c r="E97" s="23">
        <v>50</v>
      </c>
      <c r="F97" s="7" t="s">
        <v>32</v>
      </c>
    </row>
    <row r="98" spans="3:6" x14ac:dyDescent="0.3">
      <c r="C98" s="35" t="s">
        <v>61</v>
      </c>
      <c r="D98" s="35" t="s">
        <v>108</v>
      </c>
      <c r="E98" s="23">
        <v>55</v>
      </c>
      <c r="F98" s="7" t="s">
        <v>32</v>
      </c>
    </row>
    <row r="99" spans="3:6" x14ac:dyDescent="0.3">
      <c r="C99" s="35" t="s">
        <v>62</v>
      </c>
      <c r="D99" s="35" t="s">
        <v>150</v>
      </c>
      <c r="E99" s="87">
        <f>Cover!E84</f>
        <v>3.5</v>
      </c>
      <c r="F99" s="7" t="s">
        <v>33</v>
      </c>
    </row>
    <row r="100" spans="3:6" x14ac:dyDescent="0.3">
      <c r="C100" s="35" t="s">
        <v>63</v>
      </c>
      <c r="D100" s="35" t="s">
        <v>102</v>
      </c>
      <c r="E100" s="87">
        <f>Cover!E85</f>
        <v>0.1</v>
      </c>
    </row>
    <row r="101" spans="3:6" x14ac:dyDescent="0.3">
      <c r="C101" s="35" t="s">
        <v>64</v>
      </c>
      <c r="D101" s="35" t="s">
        <v>111</v>
      </c>
      <c r="E101" s="20">
        <f>(E96/E95)*E99/(1+E100)</f>
        <v>33.689839572192504</v>
      </c>
      <c r="F101" s="7" t="s">
        <v>30</v>
      </c>
    </row>
    <row r="102" spans="3:6" x14ac:dyDescent="0.3">
      <c r="C102" s="35" t="s">
        <v>109</v>
      </c>
      <c r="D102" s="35" t="s">
        <v>222</v>
      </c>
      <c r="E102" s="87">
        <f>Cover!E87</f>
        <v>33</v>
      </c>
      <c r="F102" s="7" t="s">
        <v>30</v>
      </c>
    </row>
    <row r="103" spans="3:6" x14ac:dyDescent="0.3">
      <c r="C103" s="35" t="s">
        <v>65</v>
      </c>
      <c r="D103" s="35" t="s">
        <v>39</v>
      </c>
      <c r="E103" s="20">
        <f>E102*(E94/E97)</f>
        <v>2.64</v>
      </c>
      <c r="F103" s="7" t="s">
        <v>33</v>
      </c>
    </row>
    <row r="104" spans="3:6" x14ac:dyDescent="0.3">
      <c r="C104" s="35" t="s">
        <v>158</v>
      </c>
      <c r="D104" s="35" t="s">
        <v>40</v>
      </c>
      <c r="E104" s="20">
        <f>(1-E100)*E102*(E93/E98)</f>
        <v>2.0249999999999999</v>
      </c>
      <c r="F104" s="7" t="s">
        <v>33</v>
      </c>
    </row>
    <row r="105" spans="3:6" x14ac:dyDescent="0.3">
      <c r="C105" s="35" t="s">
        <v>159</v>
      </c>
      <c r="D105" s="35" t="s">
        <v>126</v>
      </c>
      <c r="E105" s="20">
        <f>(1+E100)*E102*(E95/E96)</f>
        <v>3.4283333333333337</v>
      </c>
      <c r="F105" s="7" t="s">
        <v>33</v>
      </c>
    </row>
    <row r="106" spans="3:6" ht="15" thickBot="1" x14ac:dyDescent="0.35">
      <c r="C106" s="35"/>
      <c r="D106" s="35"/>
    </row>
    <row r="107" spans="3:6" ht="72.599999999999994" thickBot="1" x14ac:dyDescent="0.35">
      <c r="C107" s="70" t="s">
        <v>261</v>
      </c>
      <c r="D107" s="65" t="s">
        <v>262</v>
      </c>
    </row>
    <row r="108" spans="3:6" x14ac:dyDescent="0.3">
      <c r="C108" s="64" t="s">
        <v>2</v>
      </c>
      <c r="D108" s="64" t="s">
        <v>3</v>
      </c>
      <c r="E108" s="10" t="s">
        <v>4</v>
      </c>
      <c r="F108" s="10" t="s">
        <v>5</v>
      </c>
    </row>
    <row r="109" spans="3:6" x14ac:dyDescent="0.3">
      <c r="C109" s="35" t="s">
        <v>66</v>
      </c>
      <c r="D109" s="35" t="s">
        <v>112</v>
      </c>
      <c r="E109" s="23">
        <v>0.4</v>
      </c>
      <c r="F109" s="7" t="s">
        <v>32</v>
      </c>
    </row>
    <row r="110" spans="3:6" x14ac:dyDescent="0.3">
      <c r="C110" s="35" t="s">
        <v>67</v>
      </c>
      <c r="D110" s="35" t="s">
        <v>183</v>
      </c>
      <c r="E110" s="23">
        <v>0.6</v>
      </c>
      <c r="F110" s="7" t="s">
        <v>32</v>
      </c>
    </row>
    <row r="111" spans="3:6" x14ac:dyDescent="0.3">
      <c r="C111" s="35" t="s">
        <v>68</v>
      </c>
      <c r="D111" s="35" t="s">
        <v>182</v>
      </c>
      <c r="E111" s="23">
        <v>0.85</v>
      </c>
      <c r="F111" s="7" t="s">
        <v>32</v>
      </c>
    </row>
    <row r="112" spans="3:6" x14ac:dyDescent="0.3">
      <c r="C112" s="35" t="s">
        <v>69</v>
      </c>
      <c r="D112" s="35" t="s">
        <v>181</v>
      </c>
      <c r="E112" s="23">
        <v>9</v>
      </c>
      <c r="F112" s="7" t="s">
        <v>32</v>
      </c>
    </row>
    <row r="113" spans="3:10" x14ac:dyDescent="0.3">
      <c r="C113" s="35" t="s">
        <v>70</v>
      </c>
      <c r="D113" s="35" t="s">
        <v>180</v>
      </c>
      <c r="E113" s="23">
        <v>10</v>
      </c>
      <c r="F113" s="7" t="s">
        <v>32</v>
      </c>
    </row>
    <row r="114" spans="3:10" x14ac:dyDescent="0.3">
      <c r="C114" s="35" t="s">
        <v>71</v>
      </c>
      <c r="D114" s="35" t="s">
        <v>179</v>
      </c>
      <c r="E114" s="23">
        <v>11</v>
      </c>
      <c r="F114" s="7" t="s">
        <v>32</v>
      </c>
    </row>
    <row r="115" spans="3:10" x14ac:dyDescent="0.3">
      <c r="C115" s="35" t="s">
        <v>72</v>
      </c>
      <c r="D115" s="35" t="s">
        <v>113</v>
      </c>
      <c r="E115" s="23">
        <v>9.5</v>
      </c>
      <c r="F115" s="7" t="s">
        <v>34</v>
      </c>
    </row>
    <row r="116" spans="3:10" x14ac:dyDescent="0.3">
      <c r="C116" s="35" t="s">
        <v>73</v>
      </c>
      <c r="D116" s="35" t="s">
        <v>114</v>
      </c>
      <c r="E116" s="23">
        <v>10</v>
      </c>
      <c r="F116" s="7" t="s">
        <v>34</v>
      </c>
    </row>
    <row r="117" spans="3:10" x14ac:dyDescent="0.3">
      <c r="C117" s="35" t="s">
        <v>74</v>
      </c>
      <c r="D117" s="35" t="s">
        <v>115</v>
      </c>
      <c r="E117" s="23">
        <v>10.5</v>
      </c>
      <c r="F117" s="7" t="s">
        <v>34</v>
      </c>
    </row>
    <row r="118" spans="3:10" x14ac:dyDescent="0.3">
      <c r="C118" s="35" t="s">
        <v>75</v>
      </c>
      <c r="D118" s="35" t="s">
        <v>177</v>
      </c>
      <c r="E118" s="23">
        <v>0.5</v>
      </c>
      <c r="F118" s="7" t="s">
        <v>7</v>
      </c>
      <c r="G118" s="7" t="s">
        <v>278</v>
      </c>
      <c r="H118" s="7">
        <f>E33*(1+E34)*E32*0.001</f>
        <v>13.427999999999999</v>
      </c>
      <c r="I118" s="77" t="s">
        <v>279</v>
      </c>
    </row>
    <row r="119" spans="3:10" x14ac:dyDescent="0.3">
      <c r="C119" s="35" t="s">
        <v>151</v>
      </c>
      <c r="D119" s="35" t="s">
        <v>178</v>
      </c>
      <c r="E119" s="23">
        <v>4</v>
      </c>
      <c r="F119" s="7" t="s">
        <v>7</v>
      </c>
      <c r="G119" s="7" t="s">
        <v>280</v>
      </c>
      <c r="H119" s="7">
        <f>H118/E104</f>
        <v>6.6311111111111112</v>
      </c>
      <c r="I119" s="7" t="s">
        <v>10</v>
      </c>
    </row>
    <row r="120" spans="3:10" x14ac:dyDescent="0.3">
      <c r="C120" s="35" t="s">
        <v>76</v>
      </c>
      <c r="D120" s="35" t="s">
        <v>184</v>
      </c>
      <c r="E120" s="23">
        <f>E119-E118</f>
        <v>3.5</v>
      </c>
      <c r="F120" s="7" t="s">
        <v>7</v>
      </c>
      <c r="G120" s="7" t="s">
        <v>281</v>
      </c>
      <c r="H120" s="7">
        <f>H118/E54</f>
        <v>1.6276363636363635</v>
      </c>
      <c r="I120" s="77" t="s">
        <v>33</v>
      </c>
      <c r="J120" s="77" t="s">
        <v>282</v>
      </c>
    </row>
    <row r="121" spans="3:10" x14ac:dyDescent="0.3">
      <c r="C121" s="35" t="s">
        <v>153</v>
      </c>
      <c r="D121" s="35" t="s">
        <v>156</v>
      </c>
      <c r="E121" s="20">
        <f>0.5*E33*(1+E34)*0.000001*E32^2</f>
        <v>0.50086439999999988</v>
      </c>
      <c r="F121" s="7" t="s">
        <v>157</v>
      </c>
      <c r="G121" s="7" t="s">
        <v>283</v>
      </c>
      <c r="H121" s="7">
        <f>(E104-H120)*2</f>
        <v>0.79472727272727273</v>
      </c>
      <c r="I121" s="77" t="s">
        <v>33</v>
      </c>
    </row>
    <row r="122" spans="3:10" x14ac:dyDescent="0.3">
      <c r="C122" s="35" t="s">
        <v>161</v>
      </c>
      <c r="D122" s="35" t="s">
        <v>160</v>
      </c>
      <c r="E122" s="20">
        <f>2*E121/(E32*E104/1000)</f>
        <v>6.6311111111111103</v>
      </c>
      <c r="F122" s="7" t="s">
        <v>10</v>
      </c>
      <c r="H122" s="7" t="s">
        <v>285</v>
      </c>
    </row>
    <row r="123" spans="3:10" ht="43.2" x14ac:dyDescent="0.3">
      <c r="C123" s="38" t="s">
        <v>162</v>
      </c>
      <c r="D123" s="35" t="s">
        <v>384</v>
      </c>
      <c r="E123" s="20">
        <f>MIN(2*(E54-E122)/E54*E104,E104)</f>
        <v>0.79472727272727317</v>
      </c>
      <c r="F123" s="7" t="s">
        <v>33</v>
      </c>
      <c r="H123" s="7" t="s">
        <v>284</v>
      </c>
    </row>
    <row r="124" spans="3:10" ht="28.8" x14ac:dyDescent="0.3">
      <c r="C124" s="38" t="s">
        <v>163</v>
      </c>
      <c r="D124" s="35" t="s">
        <v>164</v>
      </c>
      <c r="E124" s="20">
        <f>E104-E123</f>
        <v>1.2302727272727267</v>
      </c>
      <c r="F124" s="7" t="s">
        <v>33</v>
      </c>
    </row>
    <row r="125" spans="3:10" x14ac:dyDescent="0.3">
      <c r="C125" s="35" t="s">
        <v>165</v>
      </c>
      <c r="D125" s="35" t="s">
        <v>167</v>
      </c>
      <c r="E125" s="20">
        <f>IF(E123&lt;0, "NA", E113*E123/((E40+E46)/E116))</f>
        <v>3.0566433566433582</v>
      </c>
      <c r="F125" s="7" t="s">
        <v>30</v>
      </c>
    </row>
    <row r="126" spans="3:10" x14ac:dyDescent="0.3">
      <c r="C126" s="35" t="s">
        <v>77</v>
      </c>
      <c r="D126" s="35" t="s">
        <v>166</v>
      </c>
      <c r="E126" s="87">
        <f>Cover!E96</f>
        <v>2.7</v>
      </c>
      <c r="F126" s="7" t="s">
        <v>30</v>
      </c>
    </row>
    <row r="127" spans="3:10" x14ac:dyDescent="0.3">
      <c r="C127" s="35" t="s">
        <v>119</v>
      </c>
      <c r="D127" s="35" t="s">
        <v>171</v>
      </c>
      <c r="E127" s="20">
        <f>E126*E118/E110</f>
        <v>2.2500000000000004</v>
      </c>
      <c r="F127" s="7" t="s">
        <v>33</v>
      </c>
    </row>
    <row r="128" spans="3:10" x14ac:dyDescent="0.3">
      <c r="C128" s="35" t="s">
        <v>118</v>
      </c>
      <c r="D128" s="35" t="s">
        <v>172</v>
      </c>
      <c r="E128" s="20">
        <f>E126*E120/E113</f>
        <v>0.94500000000000006</v>
      </c>
      <c r="F128" s="7" t="s">
        <v>33</v>
      </c>
    </row>
    <row r="129" spans="3:17" x14ac:dyDescent="0.3">
      <c r="C129" s="35" t="s">
        <v>205</v>
      </c>
      <c r="D129" s="35" t="s">
        <v>208</v>
      </c>
      <c r="E129" s="20">
        <f>E126/E113*(E40+E46)/E116</f>
        <v>0.70200000000000007</v>
      </c>
      <c r="F129" s="7" t="s">
        <v>33</v>
      </c>
    </row>
    <row r="130" spans="3:17" ht="15" thickBot="1" x14ac:dyDescent="0.35">
      <c r="C130" s="35"/>
      <c r="D130" s="35"/>
    </row>
    <row r="131" spans="3:17" ht="43.8" thickBot="1" x14ac:dyDescent="0.35">
      <c r="C131" s="70" t="s">
        <v>209</v>
      </c>
      <c r="D131" s="65" t="s">
        <v>263</v>
      </c>
    </row>
    <row r="132" spans="3:17" x14ac:dyDescent="0.3">
      <c r="C132" s="64" t="s">
        <v>2</v>
      </c>
      <c r="D132" s="64" t="s">
        <v>3</v>
      </c>
      <c r="E132" s="10" t="s">
        <v>4</v>
      </c>
      <c r="F132" s="10" t="s">
        <v>5</v>
      </c>
      <c r="O132" s="30" t="s">
        <v>169</v>
      </c>
      <c r="P132" s="30" t="s">
        <v>170</v>
      </c>
      <c r="Q132" s="30" t="s">
        <v>7</v>
      </c>
    </row>
    <row r="133" spans="3:17" x14ac:dyDescent="0.3">
      <c r="C133" s="39" t="s">
        <v>120</v>
      </c>
      <c r="D133" s="39" t="s">
        <v>185</v>
      </c>
      <c r="E133" s="33">
        <f>(E110*E116)/(E52*E126)</f>
        <v>555.55555555555554</v>
      </c>
      <c r="F133" s="24" t="s">
        <v>122</v>
      </c>
      <c r="O133" s="11">
        <v>0</v>
      </c>
      <c r="P133" s="11">
        <v>0</v>
      </c>
      <c r="Q133" s="11">
        <v>0</v>
      </c>
    </row>
    <row r="134" spans="3:17" x14ac:dyDescent="0.3">
      <c r="C134" s="35" t="s">
        <v>197</v>
      </c>
      <c r="D134" s="35" t="s">
        <v>187</v>
      </c>
      <c r="E134" s="20">
        <f>MIN(E30,((E133*E127^2)/(2*E33)))</f>
        <v>9.3750000000000036</v>
      </c>
      <c r="F134" s="7" t="s">
        <v>7</v>
      </c>
      <c r="O134" s="31">
        <f>E135</f>
        <v>2.2500000000000004</v>
      </c>
      <c r="P134" s="31">
        <f>E136</f>
        <v>1.2500000000000002</v>
      </c>
      <c r="Q134" s="31">
        <f>E134</f>
        <v>9.3750000000000036</v>
      </c>
    </row>
    <row r="135" spans="3:17" x14ac:dyDescent="0.3">
      <c r="C135" s="35" t="s">
        <v>173</v>
      </c>
      <c r="D135" s="35" t="s">
        <v>189</v>
      </c>
      <c r="E135" s="20">
        <f>SQRT(2*E134*E33/E133)</f>
        <v>2.2500000000000004</v>
      </c>
      <c r="F135" s="7" t="s">
        <v>33</v>
      </c>
      <c r="O135" s="31">
        <f>E135+E139</f>
        <v>3.1950000000000003</v>
      </c>
      <c r="P135" s="31">
        <f>E140</f>
        <v>10</v>
      </c>
      <c r="Q135" s="31">
        <f>E134+E138</f>
        <v>36.9375</v>
      </c>
    </row>
    <row r="136" spans="3:17" x14ac:dyDescent="0.3">
      <c r="C136" s="35" t="s">
        <v>176</v>
      </c>
      <c r="D136" s="35" t="s">
        <v>191</v>
      </c>
      <c r="E136" s="20">
        <f>E133*E135/1000</f>
        <v>1.2500000000000002</v>
      </c>
      <c r="F136" s="7" t="s">
        <v>10</v>
      </c>
      <c r="O136" s="31">
        <f>E135+E139+E142</f>
        <v>3.3609375000000004</v>
      </c>
      <c r="P136" s="31">
        <f>E140</f>
        <v>10</v>
      </c>
      <c r="Q136" s="31">
        <f>E134+E138+E141</f>
        <v>48</v>
      </c>
    </row>
    <row r="137" spans="3:17" x14ac:dyDescent="0.3">
      <c r="C137" s="39" t="s">
        <v>121</v>
      </c>
      <c r="D137" s="39" t="s">
        <v>186</v>
      </c>
      <c r="E137" s="33">
        <f>(E113*E116)/(E52*E126)</f>
        <v>9259.2592592592591</v>
      </c>
      <c r="F137" s="24" t="s">
        <v>122</v>
      </c>
      <c r="O137" s="31">
        <f>O136+0.1</f>
        <v>3.4609375000000004</v>
      </c>
      <c r="P137" s="31">
        <f>P136/10</f>
        <v>1</v>
      </c>
      <c r="Q137" s="31">
        <f>Q136</f>
        <v>48</v>
      </c>
    </row>
    <row r="138" spans="3:17" x14ac:dyDescent="0.3">
      <c r="C138" s="35" t="s">
        <v>195</v>
      </c>
      <c r="D138" s="35" t="s">
        <v>188</v>
      </c>
      <c r="E138" s="20">
        <f>MIN((E30-E134),((E137*E128^2)/(2*E33)))</f>
        <v>27.5625</v>
      </c>
      <c r="F138" s="7" t="s">
        <v>7</v>
      </c>
      <c r="O138" s="31">
        <f>O137+0.1</f>
        <v>3.5609375000000005</v>
      </c>
      <c r="P138" s="31">
        <f>P136/10</f>
        <v>1</v>
      </c>
      <c r="Q138" s="31">
        <f>Q136</f>
        <v>48</v>
      </c>
    </row>
    <row r="139" spans="3:17" x14ac:dyDescent="0.3">
      <c r="C139" s="35" t="s">
        <v>174</v>
      </c>
      <c r="D139" s="35" t="s">
        <v>190</v>
      </c>
      <c r="E139" s="20">
        <f>SQRT(2*E138*E33/E137)</f>
        <v>0.94499999999999995</v>
      </c>
      <c r="F139" s="7" t="s">
        <v>33</v>
      </c>
      <c r="O139" s="32">
        <f>O138*1.2</f>
        <v>4.2731250000000003</v>
      </c>
      <c r="P139" s="32">
        <f>P138</f>
        <v>1</v>
      </c>
      <c r="Q139" s="32">
        <f>Q138</f>
        <v>48</v>
      </c>
    </row>
    <row r="140" spans="3:17" x14ac:dyDescent="0.3">
      <c r="C140" s="35" t="s">
        <v>175</v>
      </c>
      <c r="D140" s="35" t="s">
        <v>192</v>
      </c>
      <c r="E140" s="20">
        <f>E136+E137*E139/1000</f>
        <v>10</v>
      </c>
      <c r="F140" s="7" t="s">
        <v>10</v>
      </c>
    </row>
    <row r="141" spans="3:17" ht="28.8" x14ac:dyDescent="0.3">
      <c r="C141" s="35" t="s">
        <v>196</v>
      </c>
      <c r="D141" s="35" t="s">
        <v>193</v>
      </c>
      <c r="E141" s="20">
        <f>E30-E138-E134</f>
        <v>11.062499999999996</v>
      </c>
      <c r="F141" s="7" t="s">
        <v>7</v>
      </c>
    </row>
    <row r="142" spans="3:17" x14ac:dyDescent="0.3">
      <c r="C142" s="35" t="s">
        <v>117</v>
      </c>
      <c r="D142" s="35" t="s">
        <v>194</v>
      </c>
      <c r="E142" s="20">
        <f>E33*0.001*E141/E55</f>
        <v>0.16593749999999993</v>
      </c>
      <c r="F142" s="7" t="s">
        <v>33</v>
      </c>
    </row>
    <row r="143" spans="3:17" x14ac:dyDescent="0.3">
      <c r="C143" s="35" t="s">
        <v>123</v>
      </c>
      <c r="D143" s="35" t="s">
        <v>144</v>
      </c>
      <c r="E143" s="20">
        <f>E135+E139+E142</f>
        <v>3.3609375000000004</v>
      </c>
      <c r="F143" s="7" t="s">
        <v>33</v>
      </c>
    </row>
    <row r="144" spans="3:17" x14ac:dyDescent="0.3">
      <c r="C144" s="35" t="s">
        <v>124</v>
      </c>
      <c r="D144" s="35" t="s">
        <v>168</v>
      </c>
      <c r="E144" s="20">
        <f>E139+E142</f>
        <v>1.1109374999999999</v>
      </c>
      <c r="F144" s="7" t="s">
        <v>33</v>
      </c>
    </row>
    <row r="145" spans="3:6" ht="15" thickBot="1" x14ac:dyDescent="0.35">
      <c r="C145" s="35"/>
      <c r="D145" s="35"/>
    </row>
    <row r="146" spans="3:6" ht="58.2" thickBot="1" x14ac:dyDescent="0.35">
      <c r="C146" s="70" t="s">
        <v>210</v>
      </c>
      <c r="D146" s="65" t="s">
        <v>380</v>
      </c>
    </row>
    <row r="147" spans="3:6" x14ac:dyDescent="0.3">
      <c r="C147" s="64" t="s">
        <v>2</v>
      </c>
      <c r="D147" s="64" t="s">
        <v>3</v>
      </c>
      <c r="E147" s="10" t="s">
        <v>4</v>
      </c>
      <c r="F147" s="10" t="s">
        <v>5</v>
      </c>
    </row>
    <row r="148" spans="3:6" x14ac:dyDescent="0.3">
      <c r="C148" s="35" t="s">
        <v>198</v>
      </c>
      <c r="D148" s="35" t="s">
        <v>187</v>
      </c>
      <c r="E148" s="20">
        <v>0</v>
      </c>
      <c r="F148" s="7" t="s">
        <v>7</v>
      </c>
    </row>
    <row r="149" spans="3:6" x14ac:dyDescent="0.3">
      <c r="C149" s="35" t="s">
        <v>203</v>
      </c>
      <c r="D149" s="35" t="s">
        <v>204</v>
      </c>
      <c r="E149" s="87">
        <f>Cover!E118</f>
        <v>74.599999999999994</v>
      </c>
      <c r="F149" s="12" t="s">
        <v>7</v>
      </c>
    </row>
    <row r="150" spans="3:6" x14ac:dyDescent="0.3">
      <c r="C150" s="35" t="s">
        <v>199</v>
      </c>
      <c r="D150" s="35" t="s">
        <v>188</v>
      </c>
      <c r="E150" s="20">
        <f>MIN((E149-E148),((E137*E129^2)/(2*E33)))</f>
        <v>15.210000000000003</v>
      </c>
      <c r="F150" s="7" t="s">
        <v>7</v>
      </c>
    </row>
    <row r="151" spans="3:6" x14ac:dyDescent="0.3">
      <c r="C151" s="35" t="s">
        <v>201</v>
      </c>
      <c r="D151" s="36" t="s">
        <v>206</v>
      </c>
      <c r="E151" s="20">
        <f>SQRT(2*E150*E33/E137)</f>
        <v>0.70200000000000007</v>
      </c>
      <c r="F151" s="7" t="s">
        <v>33</v>
      </c>
    </row>
    <row r="152" spans="3:6" ht="28.8" x14ac:dyDescent="0.3">
      <c r="C152" s="35" t="s">
        <v>200</v>
      </c>
      <c r="D152" s="35" t="s">
        <v>193</v>
      </c>
      <c r="E152" s="20">
        <f>E149-E150-E148</f>
        <v>59.389999999999993</v>
      </c>
      <c r="F152" s="7" t="s">
        <v>7</v>
      </c>
    </row>
    <row r="153" spans="3:6" x14ac:dyDescent="0.3">
      <c r="C153" s="35" t="s">
        <v>202</v>
      </c>
      <c r="D153" s="35" t="s">
        <v>207</v>
      </c>
      <c r="E153" s="20">
        <f>E33*0.001*E152/E54</f>
        <v>1.0798181818181816</v>
      </c>
      <c r="F153" s="7" t="s">
        <v>33</v>
      </c>
    </row>
    <row r="154" spans="3:6" x14ac:dyDescent="0.3">
      <c r="C154" s="35" t="s">
        <v>124</v>
      </c>
      <c r="D154" s="35" t="s">
        <v>168</v>
      </c>
      <c r="E154" s="20">
        <f>E151+E153</f>
        <v>1.7818181818181817</v>
      </c>
      <c r="F154" s="7" t="s">
        <v>33</v>
      </c>
    </row>
    <row r="155" spans="3:6" ht="15" thickBot="1" x14ac:dyDescent="0.35"/>
    <row r="156" spans="3:6" ht="58.2" thickBot="1" x14ac:dyDescent="0.35">
      <c r="C156" s="70" t="s">
        <v>211</v>
      </c>
      <c r="D156" s="65" t="s">
        <v>381</v>
      </c>
    </row>
    <row r="157" spans="3:6" x14ac:dyDescent="0.3">
      <c r="C157" s="64" t="s">
        <v>2</v>
      </c>
      <c r="D157" s="64" t="s">
        <v>3</v>
      </c>
      <c r="E157" s="10" t="s">
        <v>4</v>
      </c>
      <c r="F157" s="10" t="s">
        <v>5</v>
      </c>
    </row>
    <row r="158" spans="3:6" x14ac:dyDescent="0.3">
      <c r="C158" s="35" t="s">
        <v>379</v>
      </c>
      <c r="D158" s="35" t="s">
        <v>378</v>
      </c>
      <c r="E158" s="87">
        <f>Cover!E123</f>
        <v>48</v>
      </c>
      <c r="F158" s="12" t="s">
        <v>7</v>
      </c>
    </row>
    <row r="159" spans="3:6" x14ac:dyDescent="0.3">
      <c r="C159" s="35" t="s">
        <v>199</v>
      </c>
      <c r="D159" s="35" t="s">
        <v>188</v>
      </c>
      <c r="E159" s="20">
        <f>MIN((E158-E148),((E137*E129^2)/(2*E33)))</f>
        <v>15.210000000000003</v>
      </c>
      <c r="F159" s="7" t="s">
        <v>7</v>
      </c>
    </row>
    <row r="160" spans="3:6" x14ac:dyDescent="0.3">
      <c r="C160" s="35" t="s">
        <v>201</v>
      </c>
      <c r="D160" s="36" t="s">
        <v>206</v>
      </c>
      <c r="E160" s="20">
        <f>SQRT(2*E159*E33/E137)</f>
        <v>0.70200000000000007</v>
      </c>
      <c r="F160" s="7" t="s">
        <v>33</v>
      </c>
    </row>
    <row r="161" spans="3:6" ht="28.8" x14ac:dyDescent="0.3">
      <c r="C161" s="35" t="s">
        <v>200</v>
      </c>
      <c r="D161" s="35" t="s">
        <v>193</v>
      </c>
      <c r="E161" s="20">
        <f>E158-E159-E148</f>
        <v>32.79</v>
      </c>
      <c r="F161" s="7" t="s">
        <v>7</v>
      </c>
    </row>
    <row r="162" spans="3:6" x14ac:dyDescent="0.3">
      <c r="C162" s="35" t="s">
        <v>202</v>
      </c>
      <c r="D162" s="35" t="s">
        <v>207</v>
      </c>
      <c r="E162" s="20">
        <f>E33*0.001*E161/E54</f>
        <v>0.59618181818181815</v>
      </c>
      <c r="F162" s="7" t="s">
        <v>33</v>
      </c>
    </row>
    <row r="163" spans="3:6" x14ac:dyDescent="0.3">
      <c r="C163" s="35" t="s">
        <v>124</v>
      </c>
      <c r="D163" s="35" t="s">
        <v>168</v>
      </c>
      <c r="E163" s="20">
        <f>E160+E162</f>
        <v>1.2981818181818183</v>
      </c>
      <c r="F163" s="7" t="s">
        <v>33</v>
      </c>
    </row>
    <row r="164" spans="3:6" ht="15" thickBot="1" x14ac:dyDescent="0.35"/>
    <row r="165" spans="3:6" ht="15" thickBot="1" x14ac:dyDescent="0.35">
      <c r="C165" s="69" t="s">
        <v>266</v>
      </c>
      <c r="D165" s="66" t="s">
        <v>264</v>
      </c>
    </row>
    <row r="166" spans="3:6" x14ac:dyDescent="0.3">
      <c r="C166" s="67" t="s">
        <v>2</v>
      </c>
      <c r="D166" s="67" t="s">
        <v>3</v>
      </c>
      <c r="E166" s="10" t="s">
        <v>4</v>
      </c>
      <c r="F166" s="10" t="s">
        <v>5</v>
      </c>
    </row>
    <row r="167" spans="3:6" x14ac:dyDescent="0.3">
      <c r="C167" s="7" t="s">
        <v>132</v>
      </c>
      <c r="D167" s="17" t="s">
        <v>129</v>
      </c>
      <c r="E167" s="23">
        <v>-36</v>
      </c>
      <c r="F167" s="7" t="s">
        <v>7</v>
      </c>
    </row>
    <row r="168" spans="3:6" x14ac:dyDescent="0.3">
      <c r="C168" s="7" t="s">
        <v>127</v>
      </c>
      <c r="D168" s="17" t="s">
        <v>130</v>
      </c>
      <c r="E168" s="23">
        <v>-30</v>
      </c>
      <c r="F168" s="7" t="s">
        <v>7</v>
      </c>
    </row>
    <row r="169" spans="3:6" x14ac:dyDescent="0.3">
      <c r="C169" s="7" t="s">
        <v>128</v>
      </c>
      <c r="D169" s="17" t="s">
        <v>131</v>
      </c>
      <c r="E169" s="23">
        <v>-25</v>
      </c>
      <c r="F169" s="7" t="s">
        <v>7</v>
      </c>
    </row>
    <row r="170" spans="3:6" x14ac:dyDescent="0.3">
      <c r="C170" s="7" t="s">
        <v>133</v>
      </c>
      <c r="D170" s="17" t="s">
        <v>134</v>
      </c>
      <c r="E170" s="23">
        <v>1.8</v>
      </c>
      <c r="F170" s="7" t="s">
        <v>7</v>
      </c>
    </row>
    <row r="171" spans="3:6" x14ac:dyDescent="0.3">
      <c r="C171" s="7" t="s">
        <v>78</v>
      </c>
      <c r="D171" s="17" t="s">
        <v>136</v>
      </c>
      <c r="E171" s="23">
        <v>2.2999999999999998</v>
      </c>
      <c r="F171" s="7" t="s">
        <v>7</v>
      </c>
    </row>
    <row r="172" spans="3:6" x14ac:dyDescent="0.3">
      <c r="C172" s="7" t="s">
        <v>135</v>
      </c>
      <c r="D172" s="17" t="s">
        <v>137</v>
      </c>
      <c r="E172" s="23">
        <v>3</v>
      </c>
      <c r="F172" s="7" t="s">
        <v>7</v>
      </c>
    </row>
    <row r="173" spans="3:6" ht="15" thickBot="1" x14ac:dyDescent="0.35"/>
    <row r="174" spans="3:6" ht="15" thickBot="1" x14ac:dyDescent="0.35">
      <c r="C174" s="71" t="s">
        <v>35</v>
      </c>
      <c r="D174" s="68" t="s">
        <v>265</v>
      </c>
    </row>
    <row r="175" spans="3:6" x14ac:dyDescent="0.3">
      <c r="C175" s="67" t="s">
        <v>2</v>
      </c>
      <c r="D175" s="67" t="s">
        <v>3</v>
      </c>
      <c r="E175" s="10" t="s">
        <v>4</v>
      </c>
      <c r="F175" s="10" t="s">
        <v>5</v>
      </c>
    </row>
    <row r="176" spans="3:6" x14ac:dyDescent="0.3">
      <c r="C176" s="7" t="s">
        <v>79</v>
      </c>
      <c r="D176" s="17" t="s">
        <v>116</v>
      </c>
      <c r="E176" s="20">
        <f>((E42*0.001)/E52)*(E71/(E66*E68))</f>
        <v>0.20655704525082239</v>
      </c>
      <c r="F176" s="7" t="s">
        <v>7</v>
      </c>
    </row>
    <row r="177" spans="3:6" x14ac:dyDescent="0.3">
      <c r="C177" s="7" t="s">
        <v>80</v>
      </c>
      <c r="D177" s="17" t="s">
        <v>141</v>
      </c>
      <c r="E177" s="20">
        <f>E36*E176</f>
        <v>1.4404636050386299</v>
      </c>
      <c r="F177" s="7" t="s">
        <v>6</v>
      </c>
    </row>
    <row r="178" spans="3:6" x14ac:dyDescent="0.3">
      <c r="C178" s="7" t="s">
        <v>17</v>
      </c>
      <c r="D178" s="17" t="s">
        <v>142</v>
      </c>
      <c r="E178" s="20">
        <f>E36^2*E52</f>
        <v>0.1945290858725762</v>
      </c>
      <c r="F178" s="7" t="s">
        <v>6</v>
      </c>
    </row>
    <row r="179" spans="3:6" x14ac:dyDescent="0.3">
      <c r="C179" s="7" t="s">
        <v>36</v>
      </c>
      <c r="D179" s="17" t="s">
        <v>81</v>
      </c>
      <c r="E179" s="20">
        <f>E28+E177+E178</f>
        <v>266.63499269091125</v>
      </c>
      <c r="F179" s="7" t="s">
        <v>6</v>
      </c>
    </row>
    <row r="180" spans="3:6" x14ac:dyDescent="0.3">
      <c r="C180" s="18" t="s">
        <v>37</v>
      </c>
      <c r="D180" s="17" t="s">
        <v>82</v>
      </c>
      <c r="E180" s="20">
        <f>(E28/E179)*100</f>
        <v>99.386804907183887</v>
      </c>
      <c r="F180" s="7" t="s">
        <v>38</v>
      </c>
    </row>
  </sheetData>
  <sheetProtection password="DA3C" sheet="1" objects="1" scenarios="1"/>
  <conditionalFormatting sqref="E154">
    <cfRule type="expression" dxfId="14" priority="9">
      <formula>$E$154&gt;$E$104</formula>
    </cfRule>
  </conditionalFormatting>
  <conditionalFormatting sqref="E72">
    <cfRule type="expression" dxfId="13" priority="7">
      <formula>$E$72&gt;125</formula>
    </cfRule>
  </conditionalFormatting>
  <conditionalFormatting sqref="E28:E34">
    <cfRule type="expression" dxfId="12" priority="6">
      <formula>$E$28&gt;275</formula>
    </cfRule>
  </conditionalFormatting>
  <conditionalFormatting sqref="E163">
    <cfRule type="expression" dxfId="11" priority="5">
      <formula>$E$163&gt;$E$104</formula>
    </cfRule>
  </conditionalFormatting>
  <conditionalFormatting sqref="E144">
    <cfRule type="expression" dxfId="10" priority="4">
      <formula>$E$144&gt;$E$104</formula>
    </cfRule>
  </conditionalFormatting>
  <conditionalFormatting sqref="E105">
    <cfRule type="expression" dxfId="9" priority="3">
      <formula>$E$105&gt;$E$99</formula>
    </cfRule>
  </conditionalFormatting>
  <conditionalFormatting sqref="E123">
    <cfRule type="expression" dxfId="8" priority="2">
      <formula>$E$123&lt;0.26</formula>
    </cfRule>
  </conditionalFormatting>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Cover</vt:lpstr>
      <vt:lpstr>Calculations</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 Jitai</dc:creator>
  <cp:lastModifiedBy>Wright, Eric (HPA)</cp:lastModifiedBy>
  <dcterms:created xsi:type="dcterms:W3CDTF">2014-09-04T18:21:22Z</dcterms:created>
  <dcterms:modified xsi:type="dcterms:W3CDTF">2015-01-06T22:30:32Z</dcterms:modified>
</cp:coreProperties>
</file>