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obro\Documents\orcad\1200w_pfc_filter\"/>
    </mc:Choice>
  </mc:AlternateContent>
  <xr:revisionPtr revIDLastSave="0" documentId="13_ncr:1_{560EF2A0-C9C1-45F7-84E6-F3D9758D75F8}" xr6:coauthVersionLast="47" xr6:coauthVersionMax="47" xr10:uidLastSave="{00000000-0000-0000-0000-000000000000}"/>
  <bookViews>
    <workbookView xWindow="6465" yWindow="3225" windowWidth="19065" windowHeight="15450" xr2:uid="{00000000-000D-0000-FFFF-FFFF00000000}"/>
  </bookViews>
  <sheets>
    <sheet name="Calculations" sheetId="1" r:id="rId1"/>
    <sheet name="Typical Application" sheetId="2" r:id="rId2"/>
  </sheets>
  <definedNames>
    <definedName name="Efficiency">Calculations!$E$32</definedName>
    <definedName name="FLINEMIN">Calculations!$E$29</definedName>
    <definedName name="fSWMIN">Calculations!$E$34</definedName>
    <definedName name="LBOOST">Calculations!$E$40</definedName>
    <definedName name="LBOOST_SEL">Calculations!$E$42</definedName>
    <definedName name="PF">Calculations!$E$33</definedName>
    <definedName name="POUT_MAX">Calculations!$E$31</definedName>
    <definedName name="TOL_LB_PERCENT">Calculations!$E$39</definedName>
    <definedName name="VINMAX">Calculations!$E$28</definedName>
    <definedName name="VINMIN">Calculations!$E$27</definedName>
    <definedName name="VOUT">Calculations!$E$35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7" i="1"/>
  <c r="E45" i="1"/>
  <c r="E41" i="1" l="1"/>
  <c r="E40" i="1"/>
  <c r="E51" i="1" l="1"/>
  <c r="E72" i="1"/>
  <c r="E73" i="1" s="1"/>
  <c r="E84" i="1"/>
  <c r="E86" i="1"/>
  <c r="E83" i="1"/>
  <c r="E81" i="1"/>
  <c r="E75" i="1"/>
  <c r="E77" i="1" s="1"/>
  <c r="E43" i="1" l="1"/>
  <c r="M40" i="1"/>
  <c r="E71" i="1" l="1"/>
  <c r="E87" i="1" s="1"/>
  <c r="D71" i="1"/>
  <c r="D70" i="1"/>
  <c r="E69" i="1"/>
  <c r="D69" i="1"/>
  <c r="E67" i="1"/>
  <c r="D68" i="1"/>
  <c r="D67" i="1"/>
  <c r="E50" i="1"/>
  <c r="E89" i="1" l="1"/>
  <c r="E88" i="1"/>
  <c r="D64" i="1"/>
  <c r="D57" i="1"/>
  <c r="E62" i="1" l="1"/>
  <c r="E61" i="1"/>
  <c r="E65" i="1" s="1"/>
  <c r="D65" i="1"/>
  <c r="D63" i="1"/>
  <c r="D62" i="1"/>
  <c r="D61" i="1"/>
  <c r="D60" i="1"/>
  <c r="D59" i="1"/>
  <c r="D58" i="1"/>
  <c r="D56" i="1"/>
  <c r="E55" i="1"/>
  <c r="D55" i="1"/>
  <c r="E54" i="1"/>
  <c r="E58" i="1" s="1"/>
  <c r="D54" i="1"/>
  <c r="D53" i="1"/>
  <c r="D52" i="1"/>
  <c r="D50" i="1"/>
  <c r="D49" i="1"/>
  <c r="E37" i="1"/>
  <c r="E38" i="1" s="1"/>
  <c r="D37" i="1"/>
  <c r="D38" i="1"/>
  <c r="D33" i="1"/>
  <c r="D48" i="1"/>
  <c r="D46" i="1"/>
  <c r="D47" i="1"/>
  <c r="D44" i="1"/>
  <c r="D45" i="1"/>
  <c r="D43" i="1"/>
  <c r="D42" i="1"/>
  <c r="D39" i="1"/>
  <c r="D40" i="1"/>
  <c r="D35" i="1"/>
  <c r="D34" i="1"/>
  <c r="D32" i="1"/>
  <c r="D31" i="1"/>
  <c r="D30" i="1"/>
  <c r="D28" i="1"/>
  <c r="D29" i="1"/>
  <c r="D27" i="1"/>
  <c r="E56" i="1" l="1"/>
  <c r="E63" i="1"/>
</calcChain>
</file>

<file path=xl/sharedStrings.xml><?xml version="1.0" encoding="utf-8"?>
<sst xmlns="http://schemas.openxmlformats.org/spreadsheetml/2006/main" count="203" uniqueCount="142">
  <si>
    <t>Design Parameters</t>
  </si>
  <si>
    <t>Units</t>
  </si>
  <si>
    <t>Minimum RMS Input Voltage</t>
  </si>
  <si>
    <r>
      <t>V</t>
    </r>
    <r>
      <rPr>
        <vertAlign val="subscript"/>
        <sz val="11"/>
        <color theme="1"/>
        <rFont val="Calibri"/>
        <family val="2"/>
        <scheme val="minor"/>
      </rPr>
      <t>IN_MIN</t>
    </r>
  </si>
  <si>
    <t>V</t>
  </si>
  <si>
    <t>Maximum RMS Input Voltage</t>
  </si>
  <si>
    <r>
      <t>V</t>
    </r>
    <r>
      <rPr>
        <vertAlign val="subscript"/>
        <sz val="11"/>
        <color theme="1"/>
        <rFont val="Calibri"/>
        <family val="2"/>
        <scheme val="minor"/>
      </rPr>
      <t>IN_MAX</t>
    </r>
  </si>
  <si>
    <r>
      <t>f</t>
    </r>
    <r>
      <rPr>
        <vertAlign val="subscript"/>
        <sz val="11"/>
        <color theme="1"/>
        <rFont val="Calibri"/>
        <family val="2"/>
        <scheme val="minor"/>
      </rPr>
      <t>LINE_MIN</t>
    </r>
  </si>
  <si>
    <r>
      <t>f</t>
    </r>
    <r>
      <rPr>
        <vertAlign val="subscript"/>
        <sz val="11"/>
        <color theme="1"/>
        <rFont val="Calibri"/>
        <family val="2"/>
        <scheme val="minor"/>
      </rPr>
      <t>LINE_MAX</t>
    </r>
  </si>
  <si>
    <t>Maximum Line Frequency</t>
  </si>
  <si>
    <t>Maximum Output Power</t>
  </si>
  <si>
    <r>
      <t>P</t>
    </r>
    <r>
      <rPr>
        <vertAlign val="subscript"/>
        <sz val="11"/>
        <color theme="1"/>
        <rFont val="Calibri"/>
        <family val="2"/>
        <scheme val="minor"/>
      </rPr>
      <t>OUT_MAX</t>
    </r>
  </si>
  <si>
    <t>h</t>
  </si>
  <si>
    <t>Minimum Switching Frequency</t>
  </si>
  <si>
    <r>
      <t>f</t>
    </r>
    <r>
      <rPr>
        <vertAlign val="subscript"/>
        <sz val="11"/>
        <color theme="1"/>
        <rFont val="Calibri"/>
        <family val="2"/>
        <scheme val="minor"/>
      </rPr>
      <t>SW_MIN</t>
    </r>
  </si>
  <si>
    <r>
      <t>V</t>
    </r>
    <r>
      <rPr>
        <vertAlign val="subscript"/>
        <sz val="11"/>
        <color theme="1"/>
        <rFont val="Calibri"/>
        <family val="2"/>
        <scheme val="minor"/>
      </rPr>
      <t>OUT</t>
    </r>
  </si>
  <si>
    <t>Hz</t>
  </si>
  <si>
    <t>W</t>
  </si>
  <si>
    <t>%</t>
  </si>
  <si>
    <t>kHz</t>
  </si>
  <si>
    <r>
      <rPr>
        <sz val="11"/>
        <color theme="1"/>
        <rFont val="Calibri"/>
        <family val="2"/>
      </rPr>
      <t>µ</t>
    </r>
    <r>
      <rPr>
        <sz val="11"/>
        <color theme="1"/>
        <rFont val="Calibri"/>
        <family val="2"/>
        <scheme val="minor"/>
      </rPr>
      <t>H</t>
    </r>
  </si>
  <si>
    <r>
      <t>Tol_L</t>
    </r>
    <r>
      <rPr>
        <vertAlign val="subscript"/>
        <sz val="11"/>
        <color theme="1"/>
        <rFont val="Calibri"/>
        <family val="2"/>
        <scheme val="minor"/>
      </rPr>
      <t>BOOST</t>
    </r>
  </si>
  <si>
    <r>
      <t>L</t>
    </r>
    <r>
      <rPr>
        <vertAlign val="subscript"/>
        <sz val="11"/>
        <color theme="1"/>
        <rFont val="Calibri"/>
        <family val="2"/>
        <scheme val="minor"/>
      </rPr>
      <t>BOOST</t>
    </r>
  </si>
  <si>
    <r>
      <t>N</t>
    </r>
    <r>
      <rPr>
        <vertAlign val="subscript"/>
        <sz val="11"/>
        <color theme="1"/>
        <rFont val="Calibri"/>
        <family val="2"/>
        <scheme val="minor"/>
      </rPr>
      <t>P</t>
    </r>
    <r>
      <rPr>
        <sz val="11"/>
        <color theme="1"/>
        <rFont val="Calibri"/>
        <family val="2"/>
        <scheme val="minor"/>
      </rPr>
      <t xml:space="preserve"> / N</t>
    </r>
    <r>
      <rPr>
        <vertAlign val="subscript"/>
        <sz val="11"/>
        <color theme="1"/>
        <rFont val="Calibri"/>
        <family val="2"/>
        <scheme val="minor"/>
      </rPr>
      <t>S</t>
    </r>
  </si>
  <si>
    <t>BRWN Hyst.</t>
  </si>
  <si>
    <r>
      <t>k</t>
    </r>
    <r>
      <rPr>
        <sz val="11"/>
        <color theme="1"/>
        <rFont val="Symbol"/>
        <family val="1"/>
        <charset val="2"/>
      </rPr>
      <t>W</t>
    </r>
  </si>
  <si>
    <t>PF</t>
  </si>
  <si>
    <r>
      <t>I</t>
    </r>
    <r>
      <rPr>
        <vertAlign val="subscript"/>
        <sz val="11"/>
        <color theme="1"/>
        <rFont val="Calibri"/>
        <family val="2"/>
        <scheme val="minor"/>
      </rPr>
      <t>IN_RMS</t>
    </r>
  </si>
  <si>
    <t>A</t>
  </si>
  <si>
    <r>
      <t>I</t>
    </r>
    <r>
      <rPr>
        <vertAlign val="subscript"/>
        <sz val="11"/>
        <color theme="1"/>
        <rFont val="Calibri"/>
        <family val="2"/>
        <scheme val="minor"/>
      </rPr>
      <t>L1_PK</t>
    </r>
    <r>
      <rPr>
        <sz val="11"/>
        <color theme="1"/>
        <rFont val="Calibri"/>
        <family val="2"/>
        <scheme val="minor"/>
      </rPr>
      <t xml:space="preserve"> &amp; I</t>
    </r>
    <r>
      <rPr>
        <vertAlign val="subscript"/>
        <sz val="11"/>
        <color theme="1"/>
        <rFont val="Calibri"/>
        <family val="2"/>
        <scheme val="minor"/>
      </rPr>
      <t>L2_PK</t>
    </r>
  </si>
  <si>
    <r>
      <t>t</t>
    </r>
    <r>
      <rPr>
        <vertAlign val="subscript"/>
        <sz val="11"/>
        <color theme="1"/>
        <rFont val="Calibri"/>
        <family val="2"/>
        <scheme val="minor"/>
      </rPr>
      <t>ONMAX</t>
    </r>
  </si>
  <si>
    <t>µs</t>
  </si>
  <si>
    <t>RTSET</t>
  </si>
  <si>
    <r>
      <t>P</t>
    </r>
    <r>
      <rPr>
        <vertAlign val="subscript"/>
        <sz val="11"/>
        <color theme="1"/>
        <rFont val="Calibri"/>
        <family val="2"/>
        <scheme val="minor"/>
      </rPr>
      <t>PHB_L</t>
    </r>
  </si>
  <si>
    <r>
      <t>P</t>
    </r>
    <r>
      <rPr>
        <vertAlign val="subscript"/>
        <sz val="11"/>
        <color theme="1"/>
        <rFont val="Calibri"/>
        <family val="2"/>
        <scheme val="minor"/>
      </rPr>
      <t>PHB_H</t>
    </r>
  </si>
  <si>
    <r>
      <t>V</t>
    </r>
    <r>
      <rPr>
        <vertAlign val="subscript"/>
        <sz val="11"/>
        <color theme="1"/>
        <rFont val="Calibri"/>
        <family val="2"/>
        <scheme val="minor"/>
      </rPr>
      <t>PHB_L</t>
    </r>
  </si>
  <si>
    <r>
      <t>V</t>
    </r>
    <r>
      <rPr>
        <vertAlign val="subscript"/>
        <sz val="11"/>
        <color theme="1"/>
        <rFont val="Calibri"/>
        <family val="2"/>
        <scheme val="minor"/>
      </rPr>
      <t>PHB_H</t>
    </r>
  </si>
  <si>
    <r>
      <t>P</t>
    </r>
    <r>
      <rPr>
        <vertAlign val="subscript"/>
        <sz val="11"/>
        <color theme="1"/>
        <rFont val="Calibri"/>
        <family val="2"/>
        <scheme val="minor"/>
      </rPr>
      <t>BRST_L</t>
    </r>
  </si>
  <si>
    <r>
      <t>P</t>
    </r>
    <r>
      <rPr>
        <vertAlign val="subscript"/>
        <sz val="11"/>
        <color theme="1"/>
        <rFont val="Calibri"/>
        <family val="2"/>
        <scheme val="minor"/>
      </rPr>
      <t>BRST_H</t>
    </r>
  </si>
  <si>
    <r>
      <t>V</t>
    </r>
    <r>
      <rPr>
        <vertAlign val="subscript"/>
        <sz val="11"/>
        <color theme="1"/>
        <rFont val="Calibri"/>
        <family val="2"/>
        <scheme val="minor"/>
      </rPr>
      <t>BRST_L</t>
    </r>
  </si>
  <si>
    <r>
      <t>V</t>
    </r>
    <r>
      <rPr>
        <vertAlign val="subscript"/>
        <sz val="11"/>
        <color theme="1"/>
        <rFont val="Calibri"/>
        <family val="2"/>
        <scheme val="minor"/>
      </rPr>
      <t>BRST_H</t>
    </r>
  </si>
  <si>
    <r>
      <t>R</t>
    </r>
    <r>
      <rPr>
        <vertAlign val="subscript"/>
        <sz val="11"/>
        <color theme="1"/>
        <rFont val="Calibri"/>
        <family val="2"/>
        <scheme val="minor"/>
      </rPr>
      <t>ZA</t>
    </r>
    <r>
      <rPr>
        <sz val="11"/>
        <color theme="1"/>
        <rFont val="Calibri"/>
        <family val="2"/>
        <scheme val="minor"/>
      </rPr>
      <t xml:space="preserve"> and R</t>
    </r>
    <r>
      <rPr>
        <vertAlign val="subscript"/>
        <sz val="11"/>
        <color theme="1"/>
        <rFont val="Calibri"/>
        <family val="2"/>
        <scheme val="minor"/>
      </rPr>
      <t>ZB</t>
    </r>
  </si>
  <si>
    <r>
      <rPr>
        <sz val="11"/>
        <color theme="1"/>
        <rFont val="Calibri"/>
        <family val="2"/>
      </rPr>
      <t>μ</t>
    </r>
    <r>
      <rPr>
        <sz val="11"/>
        <color theme="1"/>
        <rFont val="Calibri"/>
        <family val="2"/>
        <scheme val="minor"/>
      </rPr>
      <t>F</t>
    </r>
  </si>
  <si>
    <r>
      <t>C</t>
    </r>
    <r>
      <rPr>
        <vertAlign val="subscript"/>
        <sz val="11"/>
        <color theme="1"/>
        <rFont val="Calibri"/>
        <family val="2"/>
        <scheme val="minor"/>
      </rPr>
      <t>OUT_MIN</t>
    </r>
  </si>
  <si>
    <r>
      <t>C</t>
    </r>
    <r>
      <rPr>
        <vertAlign val="subscript"/>
        <sz val="11"/>
        <color theme="1"/>
        <rFont val="Calibri"/>
        <family val="2"/>
        <scheme val="minor"/>
      </rPr>
      <t>OUT</t>
    </r>
  </si>
  <si>
    <r>
      <rPr>
        <sz val="11"/>
        <color theme="1"/>
        <rFont val="Symbol"/>
        <family val="1"/>
        <charset val="2"/>
      </rPr>
      <t>D</t>
    </r>
    <r>
      <rPr>
        <sz val="11"/>
        <color theme="1"/>
        <rFont val="Calibri"/>
        <family val="2"/>
      </rPr>
      <t>V</t>
    </r>
    <r>
      <rPr>
        <vertAlign val="subscript"/>
        <sz val="11"/>
        <color theme="1"/>
        <rFont val="Calibri"/>
        <family val="2"/>
      </rPr>
      <t>OUT</t>
    </r>
  </si>
  <si>
    <t>RA</t>
  </si>
  <si>
    <t>RB</t>
  </si>
  <si>
    <r>
      <t>R</t>
    </r>
    <r>
      <rPr>
        <vertAlign val="subscript"/>
        <sz val="11"/>
        <color theme="1"/>
        <rFont val="Calibri"/>
        <family val="2"/>
        <scheme val="minor"/>
      </rPr>
      <t>D_PHB</t>
    </r>
  </si>
  <si>
    <r>
      <t>R</t>
    </r>
    <r>
      <rPr>
        <vertAlign val="subscript"/>
        <sz val="11"/>
        <color theme="1"/>
        <rFont val="Calibri"/>
        <family val="2"/>
        <scheme val="minor"/>
      </rPr>
      <t>U_PHB</t>
    </r>
  </si>
  <si>
    <r>
      <t>R</t>
    </r>
    <r>
      <rPr>
        <vertAlign val="subscript"/>
        <sz val="11"/>
        <color theme="1"/>
        <rFont val="Calibri"/>
        <family val="2"/>
        <scheme val="minor"/>
      </rPr>
      <t>D_BRST</t>
    </r>
  </si>
  <si>
    <r>
      <t>R</t>
    </r>
    <r>
      <rPr>
        <vertAlign val="subscript"/>
        <sz val="11"/>
        <color theme="1"/>
        <rFont val="Calibri"/>
        <family val="2"/>
        <scheme val="minor"/>
      </rPr>
      <t>U_BRST</t>
    </r>
  </si>
  <si>
    <t>Minimum Line Frequency</t>
  </si>
  <si>
    <t>Full Load Efficiency</t>
  </si>
  <si>
    <t xml:space="preserve">Power Factor </t>
  </si>
  <si>
    <t>Output Voltage</t>
  </si>
  <si>
    <t>Input RMS Current</t>
  </si>
  <si>
    <t>Peak Inductor Current</t>
  </si>
  <si>
    <t>Inductance Tolerance</t>
  </si>
  <si>
    <t>Selected Inductance Value</t>
  </si>
  <si>
    <t>Inductor Turns Ratio</t>
  </si>
  <si>
    <t>Brownout Hysteresis</t>
  </si>
  <si>
    <t>VINAC Upper Resistor</t>
  </si>
  <si>
    <t>Selected VINAC Upper Resistor</t>
  </si>
  <si>
    <t>VINAC Lower Resistor</t>
  </si>
  <si>
    <t>Selected VINAC lower Resistor</t>
  </si>
  <si>
    <t>Maximum Switch ON time</t>
  </si>
  <si>
    <t>TSET Resistor Value</t>
  </si>
  <si>
    <t>Low Limit for Single Phase Operation</t>
  </si>
  <si>
    <t>High Limit for Single Phase Operation</t>
  </si>
  <si>
    <t>Lower Resistor Value on PHB pin</t>
  </si>
  <si>
    <t>Selected Lower Resistor on PHB</t>
  </si>
  <si>
    <t>Upper Resistor Value on PHB pin</t>
  </si>
  <si>
    <t>Low Limit for Burst Operation</t>
  </si>
  <si>
    <t>High Limit for Burst Operation</t>
  </si>
  <si>
    <t>PHB pin  Voltage for Lower Limit</t>
  </si>
  <si>
    <t>PHB pin Voltage for Higher Limit</t>
  </si>
  <si>
    <t>BRST pin Voltage for Lower Limit</t>
  </si>
  <si>
    <t>BRST pin Voltage for Higher Limit</t>
  </si>
  <si>
    <t>Lower Resistor Value on BRST pin</t>
  </si>
  <si>
    <t>Selected Lower Resistor Value on BRST</t>
  </si>
  <si>
    <t>Upper Resistor Value on BRST pin</t>
  </si>
  <si>
    <t>Variable</t>
  </si>
  <si>
    <r>
      <rPr>
        <b/>
        <sz val="14"/>
        <color rgb="FFFF0000"/>
        <rFont val="Calibri"/>
        <family val="2"/>
        <scheme val="minor"/>
      </rPr>
      <t>Calculated results will be in</t>
    </r>
    <r>
      <rPr>
        <b/>
        <sz val="14"/>
        <color theme="1"/>
        <rFont val="Calibri"/>
        <family val="2"/>
        <scheme val="minor"/>
      </rPr>
      <t xml:space="preserve"> </t>
    </r>
    <r>
      <rPr>
        <b/>
        <sz val="14"/>
        <color rgb="FFFF0000"/>
        <rFont val="Calibri"/>
        <family val="2"/>
        <scheme val="minor"/>
      </rPr>
      <t>RED</t>
    </r>
  </si>
  <si>
    <t>Enter design parameters into shaded cells</t>
  </si>
  <si>
    <t>Minimum Resistance on ZCDA and ZCDB</t>
  </si>
  <si>
    <t>Selected Resistance on ZCDA and ZCDB</t>
  </si>
  <si>
    <t>Minimum Value of Output Capacitance</t>
  </si>
  <si>
    <t>Selected Value of Output Capacitance</t>
  </si>
  <si>
    <t>Output Voltage Ripple</t>
  </si>
  <si>
    <t>Upper HVSEN Resistor</t>
  </si>
  <si>
    <r>
      <t>R</t>
    </r>
    <r>
      <rPr>
        <vertAlign val="subscript"/>
        <sz val="11"/>
        <color theme="1"/>
        <rFont val="Calibri"/>
        <family val="2"/>
        <scheme val="minor"/>
      </rPr>
      <t>E</t>
    </r>
  </si>
  <si>
    <t>Ω</t>
  </si>
  <si>
    <t>Selected Upper HVSEN Resistor</t>
  </si>
  <si>
    <t>Lower HVSEN Resistor</t>
  </si>
  <si>
    <r>
      <t>R</t>
    </r>
    <r>
      <rPr>
        <vertAlign val="subscript"/>
        <sz val="11"/>
        <color theme="1"/>
        <rFont val="Calibri"/>
        <family val="2"/>
        <scheme val="minor"/>
      </rPr>
      <t>F</t>
    </r>
  </si>
  <si>
    <t>Selected Lower HVSEN Resistor</t>
  </si>
  <si>
    <t>Upper VSEN Resistor</t>
  </si>
  <si>
    <r>
      <t>R</t>
    </r>
    <r>
      <rPr>
        <vertAlign val="subscript"/>
        <sz val="11"/>
        <color theme="1"/>
        <rFont val="Calibri"/>
        <family val="2"/>
        <scheme val="minor"/>
      </rPr>
      <t>C</t>
    </r>
  </si>
  <si>
    <t>Lower VSEN Resistor</t>
  </si>
  <si>
    <r>
      <t>R</t>
    </r>
    <r>
      <rPr>
        <vertAlign val="subscript"/>
        <sz val="11"/>
        <color theme="1"/>
        <rFont val="Calibri"/>
        <family val="2"/>
        <scheme val="minor"/>
      </rPr>
      <t>D</t>
    </r>
  </si>
  <si>
    <t>Selected Lower VSEN Resistor</t>
  </si>
  <si>
    <t>OVP Trip Point</t>
  </si>
  <si>
    <r>
      <t>V</t>
    </r>
    <r>
      <rPr>
        <vertAlign val="subscript"/>
        <sz val="11"/>
        <color theme="1"/>
        <rFont val="Calibri"/>
        <family val="2"/>
        <scheme val="minor"/>
      </rPr>
      <t>OVP</t>
    </r>
  </si>
  <si>
    <t>Load Impedance</t>
  </si>
  <si>
    <r>
      <t>R</t>
    </r>
    <r>
      <rPr>
        <vertAlign val="subscript"/>
        <sz val="11"/>
        <color theme="1"/>
        <rFont val="Calibri"/>
        <family val="2"/>
        <scheme val="minor"/>
      </rPr>
      <t>load</t>
    </r>
  </si>
  <si>
    <t>Voltage Amplifier Feedback Resistor</t>
  </si>
  <si>
    <t>Voltage Amplifier Feedback Capacitor</t>
  </si>
  <si>
    <t>Select Standard Value</t>
  </si>
  <si>
    <r>
      <t>R</t>
    </r>
    <r>
      <rPr>
        <vertAlign val="subscript"/>
        <sz val="11"/>
        <color theme="1"/>
        <rFont val="Calibri"/>
        <family val="2"/>
        <scheme val="minor"/>
      </rPr>
      <t>Z</t>
    </r>
  </si>
  <si>
    <r>
      <t>C</t>
    </r>
    <r>
      <rPr>
        <vertAlign val="subscript"/>
        <sz val="11"/>
        <color theme="1"/>
        <rFont val="Calibri"/>
        <family val="2"/>
        <scheme val="minor"/>
      </rPr>
      <t>Z</t>
    </r>
  </si>
  <si>
    <r>
      <t>C</t>
    </r>
    <r>
      <rPr>
        <vertAlign val="subscript"/>
        <sz val="11"/>
        <color theme="1"/>
        <rFont val="Calibri"/>
        <family val="2"/>
        <scheme val="minor"/>
      </rPr>
      <t>P</t>
    </r>
  </si>
  <si>
    <t>F</t>
  </si>
  <si>
    <t>Fail Safe Voltage</t>
  </si>
  <si>
    <r>
      <t>V</t>
    </r>
    <r>
      <rPr>
        <vertAlign val="subscript"/>
        <sz val="11"/>
        <color theme="1"/>
        <rFont val="Calibri"/>
        <family val="2"/>
        <scheme val="minor"/>
      </rPr>
      <t>OV_FAILSAFE</t>
    </r>
  </si>
  <si>
    <t>Low Frequency Output Current Ripple</t>
  </si>
  <si>
    <t>High Frequency Output Current Ripple</t>
  </si>
  <si>
    <r>
      <t>I</t>
    </r>
    <r>
      <rPr>
        <vertAlign val="subscript"/>
        <sz val="11"/>
        <color theme="1"/>
        <rFont val="Calibri"/>
        <family val="2"/>
      </rPr>
      <t>COUT_LF</t>
    </r>
  </si>
  <si>
    <r>
      <t>I</t>
    </r>
    <r>
      <rPr>
        <vertAlign val="subscript"/>
        <sz val="11"/>
        <color theme="1"/>
        <rFont val="Calibri"/>
        <family val="2"/>
      </rPr>
      <t>COUT_HF</t>
    </r>
  </si>
  <si>
    <t xml:space="preserve">Current Sense Resistor </t>
  </si>
  <si>
    <r>
      <t>R</t>
    </r>
    <r>
      <rPr>
        <vertAlign val="subscript"/>
        <sz val="11"/>
        <color theme="1"/>
        <rFont val="Calibri"/>
        <family val="2"/>
        <scheme val="minor"/>
      </rPr>
      <t>S</t>
    </r>
  </si>
  <si>
    <t>Inductance Value based on Min Line</t>
  </si>
  <si>
    <t>Inductance Value based on Max Line</t>
  </si>
  <si>
    <t>L1, L2  at Vmin</t>
  </si>
  <si>
    <t>L1,L2  at Vmax</t>
  </si>
  <si>
    <t>TI Literature Number:</t>
  </si>
  <si>
    <t>Please enter design parameters into the</t>
  </si>
  <si>
    <t>shaded</t>
  </si>
  <si>
    <t xml:space="preserve">cells; </t>
  </si>
  <si>
    <r>
      <t xml:space="preserve">Calculated results will be in </t>
    </r>
    <r>
      <rPr>
        <b/>
        <sz val="12"/>
        <color indexed="10"/>
        <rFont val="Arial"/>
        <family val="2"/>
      </rPr>
      <t>RED</t>
    </r>
  </si>
  <si>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</si>
  <si>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</si>
  <si>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</si>
  <si>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</si>
  <si>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SLUC645</t>
  </si>
  <si>
    <t>UCC28064A DESIGN CALCULATOR TOOL</t>
  </si>
  <si>
    <t xml:space="preserve">UCC28064A TRANSITION MODEPFC CONTROLLER </t>
  </si>
  <si>
    <t>UCC28064A Controller Setup Tool</t>
  </si>
  <si>
    <r>
      <t xml:space="preserve">This spreadsheet guides the user through the design process of a TRANSITION MODE PFC BOOST CONVERTER using the </t>
    </r>
    <r>
      <rPr>
        <b/>
        <sz val="11"/>
        <color indexed="10"/>
        <rFont val="Arial"/>
        <family val="2"/>
      </rPr>
      <t>UCC28064A</t>
    </r>
    <r>
      <rPr>
        <b/>
        <sz val="11"/>
        <rFont val="Arial"/>
        <family val="2"/>
      </rPr>
      <t>.  User interaction is required in order to get the best possible results.  Enter the desired specification where prompted, the highlighted cells are for user inputs; calculations for the design are based upon the inputs.</t>
    </r>
  </si>
  <si>
    <t>Rev C</t>
  </si>
  <si>
    <t>Application Schematic</t>
  </si>
  <si>
    <t>Zdravim 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</si>
</sst>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vertAlign val="subscript"/>
      <sz val="11"/>
      <color theme="1"/>
      <name val="Calibri"/>
      <family val="2"/>
      <scheme val="minor"/>
    </font>
    <font>
      <sz val="11"/>
      <color theme="1"/>
      <name val="Symbol"/>
      <family val="1"/>
      <charset val="2"/>
    </font>
    <font>
      <sz val="11"/>
      <color theme="1"/>
      <name val="Calibri"/>
      <family val="2"/>
    </font>
    <font>
      <b/>
      <sz val="16"/>
      <color theme="1"/>
      <name val="Calibri"/>
      <family val="2"/>
      <scheme val="minor"/>
    </font>
    <font>
      <b/>
      <i/>
      <sz val="11"/>
      <color theme="1"/>
      <name val="Calibri"/>
      <family val="2"/>
      <scheme val="minor"/>
    </font>
    <font>
      <vertAlign val="subscript"/>
      <sz val="11"/>
      <color theme="1"/>
      <name val="Calibri"/>
      <family val="2"/>
    </font>
    <font>
      <b/>
      <i/>
      <sz val="11"/>
      <color theme="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sz val="11"/>
      <name val="Calibri"/>
      <family val="2"/>
      <scheme val="minor"/>
    </font>
    <font>
      <b/>
      <sz val="22"/>
      <color indexed="9"/>
      <name val="Arial"/>
      <family val="2"/>
    </font>
    <font>
      <b/>
      <sz val="10"/>
      <name val="Arial"/>
      <family val="2"/>
    </font>
    <font>
      <b/>
      <sz val="9"/>
      <name val="Arial"/>
      <family val="2"/>
    </font>
    <font>
      <b/>
      <sz val="24"/>
      <color indexed="9"/>
      <name val="Arial"/>
      <family val="2"/>
    </font>
    <font>
      <b/>
      <sz val="14"/>
      <color theme="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b/>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32">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25">
    <xf numFmtId="0" fontId="0" fillId="0" borderId="0" xfId="0"/>
    <xf numFmtId="0" fontId="0" fillId="3" borderId="3" xfId="0" applyFill="1" applyBorder="1"/>
    <xf numFmtId="0" fontId="0" fillId="3" borderId="0" xfId="0" applyFill="1" applyBorder="1"/>
    <xf numFmtId="0" fontId="0" fillId="3" borderId="0" xfId="0" applyFill="1" applyBorder="1" applyAlignment="1">
      <alignment horizontal="center" vertical="center"/>
    </xf>
    <xf numFmtId="0" fontId="0" fillId="3" borderId="2" xfId="0" applyFill="1" applyBorder="1"/>
    <xf numFmtId="0" fontId="0" fillId="3" borderId="0" xfId="0" applyFill="1" applyBorder="1" applyAlignment="1">
      <alignment horizontal="right" vertical="center"/>
    </xf>
    <xf numFmtId="0" fontId="0" fillId="3" borderId="5" xfId="0" applyFill="1" applyBorder="1"/>
    <xf numFmtId="0" fontId="7" fillId="3" borderId="0" xfId="0" applyFont="1" applyFill="1" applyBorder="1"/>
    <xf numFmtId="0" fontId="0" fillId="3" borderId="0" xfId="0" applyFill="1" applyBorder="1" applyAlignment="1">
      <alignment horizontal="right"/>
    </xf>
    <xf numFmtId="0" fontId="0" fillId="3" borderId="4" xfId="0" applyFill="1" applyBorder="1"/>
    <xf numFmtId="0" fontId="0" fillId="3" borderId="4" xfId="0" applyFill="1" applyBorder="1" applyAlignment="1">
      <alignment horizontal="center" vertical="center"/>
    </xf>
    <xf numFmtId="0" fontId="5" fillId="3" borderId="4" xfId="0" applyFont="1" applyFill="1" applyBorder="1" applyAlignment="1">
      <alignment horizontal="center" vertical="center"/>
    </xf>
    <xf numFmtId="2" fontId="5" fillId="4" borderId="4" xfId="0" applyNumberFormat="1" applyFont="1" applyFill="1" applyBorder="1" applyAlignment="1">
      <alignment horizontal="center" vertical="center"/>
    </xf>
    <xf numFmtId="0" fontId="5" fillId="4" borderId="4" xfId="0" applyFont="1" applyFill="1" applyBorder="1" applyAlignment="1">
      <alignment horizontal="center" vertical="center"/>
    </xf>
    <xf numFmtId="2" fontId="0" fillId="4" borderId="4" xfId="0" applyNumberFormat="1" applyFont="1" applyFill="1" applyBorder="1" applyAlignment="1">
      <alignment horizontal="center" vertical="center"/>
    </xf>
    <xf numFmtId="1" fontId="0"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2" fontId="0" fillId="4" borderId="4" xfId="0" applyNumberFormat="1" applyFill="1" applyBorder="1" applyAlignment="1">
      <alignment horizontal="center" vertical="center"/>
    </xf>
    <xf numFmtId="1" fontId="0" fillId="4" borderId="4" xfId="0" applyNumberFormat="1" applyFill="1" applyBorder="1" applyAlignment="1">
      <alignment horizontal="center" vertical="center"/>
    </xf>
    <xf numFmtId="0" fontId="0" fillId="3" borderId="6" xfId="0" applyFill="1" applyBorder="1"/>
    <xf numFmtId="0" fontId="0" fillId="3" borderId="3" xfId="0" applyFill="1" applyBorder="1" applyAlignment="1">
      <alignment horizontal="center" vertical="center"/>
    </xf>
    <xf numFmtId="0" fontId="4" fillId="3" borderId="7" xfId="0" applyFont="1" applyFill="1" applyBorder="1"/>
    <xf numFmtId="0" fontId="0" fillId="3" borderId="9" xfId="0" applyFill="1" applyBorder="1"/>
    <xf numFmtId="0" fontId="0" fillId="3" borderId="13" xfId="0" applyFill="1" applyBorder="1"/>
    <xf numFmtId="0" fontId="8" fillId="3" borderId="11" xfId="0" applyFont="1" applyFill="1" applyBorder="1" applyAlignment="1">
      <alignment horizontal="left" vertical="center"/>
    </xf>
    <xf numFmtId="0" fontId="0" fillId="3" borderId="9" xfId="0" applyFill="1" applyBorder="1" applyAlignment="1">
      <alignment horizontal="center"/>
    </xf>
    <xf numFmtId="0" fontId="9" fillId="3" borderId="11" xfId="0" applyFont="1" applyFill="1" applyBorder="1"/>
    <xf numFmtId="0" fontId="9" fillId="3" borderId="12" xfId="0" applyFont="1" applyFill="1" applyBorder="1"/>
    <xf numFmtId="0" fontId="9" fillId="3" borderId="11" xfId="0" applyFont="1" applyFill="1" applyBorder="1" applyAlignment="1">
      <alignment horizontal="left" vertical="center"/>
    </xf>
    <xf numFmtId="0" fontId="9" fillId="3" borderId="11" xfId="0" applyFont="1" applyFill="1" applyBorder="1" applyAlignment="1">
      <alignment horizontal="left"/>
    </xf>
    <xf numFmtId="0" fontId="8" fillId="2" borderId="11" xfId="0" applyFont="1" applyFill="1" applyBorder="1"/>
    <xf numFmtId="11" fontId="11" fillId="4" borderId="4" xfId="0" applyNumberFormat="1" applyFont="1" applyFill="1" applyBorder="1" applyAlignment="1">
      <alignment horizontal="center" vertical="center"/>
    </xf>
    <xf numFmtId="0" fontId="3" fillId="3" borderId="9" xfId="0" applyFont="1" applyFill="1" applyBorder="1" applyAlignment="1">
      <alignment horizontal="center" vertical="center"/>
    </xf>
    <xf numFmtId="11" fontId="0" fillId="4" borderId="4" xfId="0" applyNumberFormat="1" applyFill="1" applyBorder="1" applyAlignment="1">
      <alignment horizontal="center" vertical="center"/>
    </xf>
    <xf numFmtId="0" fontId="3" fillId="3" borderId="9" xfId="0" applyFont="1" applyFill="1" applyBorder="1" applyAlignment="1">
      <alignment horizontal="center"/>
    </xf>
    <xf numFmtId="0" fontId="4" fillId="3" borderId="0" xfId="0" applyFont="1" applyFill="1" applyBorder="1"/>
    <xf numFmtId="0" fontId="0" fillId="3" borderId="14" xfId="0" applyFill="1" applyBorder="1" applyAlignment="1">
      <alignment horizontal="center"/>
    </xf>
    <xf numFmtId="0" fontId="8" fillId="3" borderId="8" xfId="0" applyFont="1" applyFill="1" applyBorder="1" applyAlignment="1">
      <alignment horizontal="center" vertical="center"/>
    </xf>
    <xf numFmtId="0" fontId="9" fillId="3" borderId="10" xfId="0" applyFont="1" applyFill="1" applyBorder="1" applyAlignment="1">
      <alignment horizontal="left" vertical="center"/>
    </xf>
    <xf numFmtId="0" fontId="0" fillId="3" borderId="15" xfId="0" applyFill="1" applyBorder="1" applyAlignment="1">
      <alignment horizontal="center"/>
    </xf>
    <xf numFmtId="0" fontId="8" fillId="3" borderId="20" xfId="0" applyFont="1" applyFill="1" applyBorder="1" applyAlignment="1">
      <alignment horizontal="center" vertical="center"/>
    </xf>
    <xf numFmtId="0" fontId="8" fillId="3" borderId="22" xfId="0" applyFont="1" applyFill="1" applyBorder="1" applyAlignment="1">
      <alignment horizontal="center"/>
    </xf>
    <xf numFmtId="0" fontId="0" fillId="3" borderId="0" xfId="0" applyFill="1" applyAlignment="1" applyProtection="1">
      <alignment vertical="center"/>
    </xf>
    <xf numFmtId="0" fontId="0" fillId="3" borderId="0" xfId="0" applyFill="1"/>
    <xf numFmtId="0" fontId="13" fillId="3" borderId="26" xfId="0" applyFont="1" applyFill="1" applyBorder="1" applyAlignment="1" applyProtection="1">
      <alignment horizontal="right"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0" fontId="13" fillId="3" borderId="0" xfId="0" applyFont="1" applyFill="1" applyAlignment="1">
      <alignment horizontal="right" vertical="center" wrapText="1"/>
    </xf>
    <xf numFmtId="0" fontId="13" fillId="3" borderId="0" xfId="0" applyFont="1" applyFill="1" applyAlignment="1">
      <alignment horizontal="center" vertical="center" wrapText="1"/>
    </xf>
    <xf numFmtId="0" fontId="14" fillId="3" borderId="0" xfId="0" applyFont="1" applyFill="1" applyAlignment="1">
      <alignment horizontal="right" vertical="center" wrapText="1"/>
    </xf>
    <xf numFmtId="0" fontId="14" fillId="3" borderId="0" xfId="0" applyFont="1" applyFill="1" applyAlignment="1">
      <alignment horizontal="left" vertical="center" wrapText="1"/>
    </xf>
    <xf numFmtId="0" fontId="15" fillId="3" borderId="0" xfId="0" applyFont="1" applyFill="1" applyAlignment="1">
      <alignment horizontal="center" vertical="center" wrapText="1"/>
    </xf>
    <xf numFmtId="0" fontId="17" fillId="3" borderId="27" xfId="0" applyFont="1" applyFill="1" applyBorder="1" applyAlignment="1" applyProtection="1">
      <alignment horizontal="right" vertical="center"/>
    </xf>
    <xf numFmtId="0" fontId="17" fillId="2" borderId="17" xfId="0" applyFont="1" applyFill="1" applyBorder="1" applyAlignment="1" applyProtection="1">
      <alignment horizontal="center" vertical="center"/>
    </xf>
    <xf numFmtId="0" fontId="0" fillId="3" borderId="0" xfId="0" applyFill="1" applyBorder="1" applyAlignment="1" applyProtection="1">
      <alignment vertical="center"/>
    </xf>
    <xf numFmtId="1" fontId="5" fillId="4" borderId="4" xfId="0" applyNumberFormat="1" applyFont="1" applyFill="1" applyBorder="1" applyAlignment="1">
      <alignment horizontal="center" vertical="center"/>
    </xf>
    <xf numFmtId="0" fontId="0" fillId="5" borderId="27" xfId="0" applyFill="1" applyBorder="1"/>
    <xf numFmtId="0" fontId="0" fillId="5" borderId="17" xfId="0" applyFill="1" applyBorder="1"/>
    <xf numFmtId="0" fontId="0" fillId="5" borderId="18" xfId="0" applyFill="1" applyBorder="1"/>
    <xf numFmtId="0" fontId="0" fillId="5" borderId="28" xfId="0" applyFill="1" applyBorder="1"/>
    <xf numFmtId="0" fontId="0" fillId="5" borderId="0" xfId="0" applyFill="1" applyBorder="1"/>
    <xf numFmtId="0" fontId="0" fillId="5" borderId="19" xfId="0" applyFill="1" applyBorder="1"/>
    <xf numFmtId="0" fontId="0" fillId="5" borderId="26" xfId="0" applyFill="1" applyBorder="1"/>
    <xf numFmtId="0" fontId="0" fillId="5" borderId="29" xfId="0" applyFill="1" applyBorder="1"/>
    <xf numFmtId="0" fontId="0" fillId="5" borderId="30" xfId="0" applyFill="1" applyBorder="1"/>
    <xf numFmtId="0" fontId="0" fillId="3" borderId="3" xfId="0" applyFill="1" applyBorder="1" applyAlignment="1">
      <alignment horizontal="left"/>
    </xf>
    <xf numFmtId="0" fontId="0" fillId="3" borderId="4" xfId="0" applyFill="1" applyBorder="1" applyAlignment="1">
      <alignment horizontal="left"/>
    </xf>
    <xf numFmtId="0" fontId="2" fillId="3" borderId="4" xfId="0" applyFont="1" applyFill="1" applyBorder="1" applyAlignment="1">
      <alignment horizontal="left"/>
    </xf>
    <xf numFmtId="0" fontId="0" fillId="3" borderId="4" xfId="0" applyFont="1" applyFill="1" applyBorder="1" applyAlignment="1">
      <alignment horizontal="left"/>
    </xf>
    <xf numFmtId="0" fontId="0" fillId="3" borderId="4" xfId="0" applyFill="1" applyBorder="1" applyAlignment="1">
      <alignment horizontal="left" vertical="center"/>
    </xf>
    <xf numFmtId="0" fontId="3" fillId="3" borderId="4" xfId="0" applyFont="1" applyFill="1" applyBorder="1" applyAlignment="1">
      <alignment horizontal="left"/>
    </xf>
    <xf numFmtId="0" fontId="0" fillId="3" borderId="13" xfId="0" applyFill="1" applyBorder="1" applyAlignment="1">
      <alignment horizontal="left"/>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1" fontId="0" fillId="2" borderId="4" xfId="0" applyNumberFormat="1" applyFill="1" applyBorder="1" applyAlignment="1" applyProtection="1">
      <alignment horizontal="center" vertical="center"/>
      <protection locked="0"/>
    </xf>
    <xf numFmtId="11" fontId="0" fillId="2" borderId="13" xfId="0" applyNumberFormat="1" applyFill="1" applyBorder="1" applyAlignment="1" applyProtection="1">
      <alignment horizontal="center" vertical="center"/>
      <protection locked="0"/>
    </xf>
    <xf numFmtId="0" fontId="8" fillId="3" borderId="21" xfId="0" applyFont="1" applyFill="1" applyBorder="1" applyAlignment="1">
      <alignment horizontal="center" vertical="center"/>
    </xf>
    <xf numFmtId="0" fontId="0" fillId="0" borderId="21" xfId="0" applyBorder="1" applyAlignment="1">
      <alignment horizontal="center" vertical="center"/>
    </xf>
    <xf numFmtId="14" fontId="0" fillId="3" borderId="16" xfId="0" applyNumberFormat="1" applyFill="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31"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6"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16" fillId="4" borderId="25"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7" fillId="3" borderId="18" xfId="0" applyFont="1" applyFill="1" applyBorder="1" applyAlignment="1" applyProtection="1">
      <alignment horizontal="left" vertical="center"/>
    </xf>
    <xf numFmtId="0" fontId="17" fillId="3" borderId="28"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19" fillId="3" borderId="28"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22" fillId="3" borderId="28"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center" wrapText="1"/>
    </xf>
    <xf numFmtId="0" fontId="22" fillId="3" borderId="27"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3" fillId="3" borderId="27" xfId="0" applyFont="1" applyFill="1" applyBorder="1" applyAlignment="1" applyProtection="1">
      <alignment horizontal="left" vertical="center"/>
    </xf>
    <xf numFmtId="0" fontId="13" fillId="3" borderId="17" xfId="0" applyFont="1" applyFill="1" applyBorder="1" applyAlignment="1" applyProtection="1">
      <alignment horizontal="left" vertical="center"/>
    </xf>
    <xf numFmtId="0" fontId="13" fillId="3" borderId="18" xfId="0" applyFont="1" applyFill="1" applyBorder="1" applyAlignment="1" applyProtection="1">
      <alignment horizontal="left" vertical="center"/>
    </xf>
    <xf numFmtId="0" fontId="24" fillId="3" borderId="28"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wrapText="1"/>
    </xf>
    <xf numFmtId="0" fontId="24" fillId="3" borderId="19" xfId="0" applyFont="1" applyFill="1" applyBorder="1" applyAlignment="1" applyProtection="1">
      <alignment horizontal="left" vertical="center" wrapText="1"/>
    </xf>
    <xf numFmtId="0" fontId="24" fillId="3" borderId="26" xfId="0" applyFont="1" applyFill="1" applyBorder="1" applyAlignment="1" applyProtection="1">
      <alignment horizontal="left" vertical="center" wrapText="1"/>
    </xf>
    <xf numFmtId="0" fontId="24" fillId="3" borderId="29" xfId="0" applyFont="1" applyFill="1" applyBorder="1" applyAlignment="1" applyProtection="1">
      <alignment horizontal="left" vertical="center" wrapText="1"/>
    </xf>
    <xf numFmtId="0" fontId="24" fillId="3" borderId="30" xfId="0" applyFont="1" applyFill="1" applyBorder="1" applyAlignment="1" applyProtection="1">
      <alignment horizontal="left" vertical="center" wrapText="1"/>
    </xf>
    <xf numFmtId="0" fontId="25" fillId="3" borderId="0" xfId="0" applyFont="1" applyFill="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20</xdr:col>
      <xdr:colOff>504825</xdr:colOff>
      <xdr:row>39</xdr:row>
      <xdr:rowOff>190500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981075"/>
          <a:ext cx="11477625" cy="685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245"/>
  <sheetViews>
    <sheetView tabSelected="1" workbookViewId="0">
      <selection activeCell="E68" sqref="E68"/>
    </sheetView>
  </sheetViews>
  <sheetFormatPr defaultColWidth="9.140625" defaultRowHeight="15" x14ac:dyDescent="0.25"/>
  <cols>
    <col min="1" max="2" width="50.7109375" style="9" customWidth="1"/>
    <col min="3" max="3" width="30.7109375" style="9" customWidth="1"/>
    <col min="4" max="4" width="5.42578125" style="9" hidden="1" customWidth="1"/>
    <col min="5" max="5" width="12" style="10" bestFit="1" customWidth="1"/>
    <col min="6" max="16384" width="9.140625" style="9"/>
  </cols>
  <sheetData>
    <row r="1" spans="1:12" s="42" customFormat="1" ht="44.25" customHeight="1" thickBot="1" x14ac:dyDescent="0.3">
      <c r="A1" s="89" t="s">
        <v>135</v>
      </c>
      <c r="B1" s="90"/>
      <c r="C1" s="90"/>
      <c r="D1" s="91"/>
      <c r="F1" s="43"/>
      <c r="G1" s="43"/>
      <c r="H1" s="43"/>
      <c r="I1" s="43"/>
      <c r="J1" s="43"/>
      <c r="K1" s="43"/>
      <c r="L1" s="43"/>
    </row>
    <row r="2" spans="1:12" s="42" customFormat="1" ht="19.5" customHeight="1" thickBot="1" x14ac:dyDescent="0.3">
      <c r="A2" s="44" t="s">
        <v>125</v>
      </c>
      <c r="B2" s="45" t="s">
        <v>134</v>
      </c>
      <c r="C2" s="45" t="s">
        <v>139</v>
      </c>
      <c r="D2" s="46"/>
      <c r="E2" s="47"/>
      <c r="F2" s="48"/>
      <c r="G2" s="49"/>
      <c r="H2" s="50"/>
      <c r="I2" s="51"/>
    </row>
    <row r="3" spans="1:12" s="42" customFormat="1" ht="45" customHeight="1" thickBot="1" x14ac:dyDescent="0.3">
      <c r="A3" s="92" t="s">
        <v>136</v>
      </c>
      <c r="B3" s="93"/>
      <c r="C3" s="93"/>
      <c r="D3" s="94"/>
      <c r="E3" s="43"/>
      <c r="F3" s="43"/>
      <c r="G3" s="43"/>
      <c r="H3" s="43"/>
      <c r="I3" s="43"/>
    </row>
    <row r="4" spans="1:12" s="42" customFormat="1" ht="15.75" x14ac:dyDescent="0.25">
      <c r="A4" s="52" t="s">
        <v>126</v>
      </c>
      <c r="B4" s="53" t="s">
        <v>127</v>
      </c>
      <c r="C4" s="95" t="s">
        <v>128</v>
      </c>
      <c r="D4" s="96"/>
      <c r="E4" s="43"/>
      <c r="F4" s="43"/>
      <c r="G4" s="43"/>
      <c r="H4" s="43"/>
      <c r="I4" s="43"/>
    </row>
    <row r="5" spans="1:12" s="42" customFormat="1" ht="15.75" x14ac:dyDescent="0.25">
      <c r="A5" s="97" t="s">
        <v>129</v>
      </c>
      <c r="B5" s="98"/>
      <c r="C5" s="98"/>
      <c r="D5" s="99"/>
      <c r="E5" s="43"/>
      <c r="F5" s="43"/>
      <c r="G5" s="43"/>
      <c r="H5" s="43"/>
      <c r="I5" s="43"/>
    </row>
    <row r="6" spans="1:12" s="42" customFormat="1" ht="18.75" x14ac:dyDescent="0.25">
      <c r="A6" s="100" t="s">
        <v>130</v>
      </c>
      <c r="B6" s="101"/>
      <c r="C6" s="101"/>
      <c r="D6" s="102"/>
      <c r="E6" s="43"/>
      <c r="F6" s="43"/>
      <c r="G6" s="43"/>
      <c r="H6" s="43"/>
      <c r="I6" s="43"/>
    </row>
    <row r="7" spans="1:12" s="42" customFormat="1" ht="15" customHeight="1" x14ac:dyDescent="0.25">
      <c r="A7" s="103" t="s">
        <v>138</v>
      </c>
      <c r="B7" s="104"/>
      <c r="C7" s="104"/>
      <c r="D7" s="105"/>
      <c r="E7" s="43"/>
      <c r="F7" s="43"/>
      <c r="G7" s="43"/>
      <c r="H7" s="43"/>
      <c r="I7" s="43"/>
    </row>
    <row r="8" spans="1:12" s="42" customFormat="1" ht="14.25" customHeight="1" x14ac:dyDescent="0.25">
      <c r="A8" s="103"/>
      <c r="B8" s="104"/>
      <c r="C8" s="104"/>
      <c r="D8" s="105"/>
      <c r="E8" s="43"/>
      <c r="F8" s="43"/>
      <c r="G8" s="43"/>
      <c r="H8" s="43"/>
      <c r="I8" s="43"/>
    </row>
    <row r="9" spans="1:12" s="42" customFormat="1" ht="12.75" customHeight="1" x14ac:dyDescent="0.25">
      <c r="A9" s="103"/>
      <c r="B9" s="104"/>
      <c r="C9" s="104"/>
      <c r="D9" s="105"/>
      <c r="E9" s="43"/>
      <c r="F9" s="43"/>
      <c r="G9" s="43"/>
      <c r="H9" s="43"/>
      <c r="I9" s="43"/>
    </row>
    <row r="10" spans="1:12" s="42" customFormat="1" ht="13.5" customHeight="1" x14ac:dyDescent="0.25">
      <c r="A10" s="103"/>
      <c r="B10" s="104"/>
      <c r="C10" s="104"/>
      <c r="D10" s="105"/>
      <c r="E10" s="43"/>
      <c r="F10" s="43"/>
      <c r="G10" s="43"/>
      <c r="H10" s="43"/>
      <c r="I10" s="43"/>
    </row>
    <row r="11" spans="1:12" s="42" customFormat="1" ht="15" customHeight="1" thickBot="1" x14ac:dyDescent="0.3">
      <c r="A11" s="103"/>
      <c r="B11" s="104"/>
      <c r="C11" s="104"/>
      <c r="D11" s="105"/>
      <c r="E11" s="43"/>
      <c r="F11" s="43"/>
      <c r="G11" s="43"/>
      <c r="H11" s="43"/>
      <c r="I11" s="43"/>
    </row>
    <row r="12" spans="1:12" s="42" customFormat="1" ht="15" customHeight="1" x14ac:dyDescent="0.25">
      <c r="A12" s="106" t="s">
        <v>131</v>
      </c>
      <c r="B12" s="107"/>
      <c r="C12" s="107"/>
      <c r="D12" s="108"/>
      <c r="E12" s="43"/>
      <c r="F12" s="43"/>
      <c r="G12" s="43"/>
      <c r="H12" s="43"/>
      <c r="I12" s="43"/>
    </row>
    <row r="13" spans="1:12" s="42" customFormat="1" x14ac:dyDescent="0.25">
      <c r="A13" s="109"/>
      <c r="B13" s="110"/>
      <c r="C13" s="110"/>
      <c r="D13" s="111"/>
      <c r="E13" s="43"/>
      <c r="F13" s="43"/>
      <c r="G13" s="43"/>
      <c r="H13" s="43"/>
      <c r="I13" s="43"/>
    </row>
    <row r="14" spans="1:12" s="42" customFormat="1" x14ac:dyDescent="0.25">
      <c r="A14" s="109"/>
      <c r="B14" s="110"/>
      <c r="C14" s="110"/>
      <c r="D14" s="111"/>
      <c r="E14" s="43"/>
      <c r="F14" s="43"/>
      <c r="G14" s="43"/>
      <c r="H14" s="43"/>
      <c r="I14" s="43"/>
    </row>
    <row r="15" spans="1:12" s="42" customFormat="1" x14ac:dyDescent="0.25">
      <c r="A15" s="109"/>
      <c r="B15" s="110"/>
      <c r="C15" s="110"/>
      <c r="D15" s="111"/>
      <c r="E15" s="43"/>
      <c r="F15" s="43"/>
      <c r="G15" s="43"/>
      <c r="H15" s="43"/>
      <c r="I15" s="43"/>
    </row>
    <row r="16" spans="1:12" s="42" customFormat="1" ht="15.75" thickBot="1" x14ac:dyDescent="0.3">
      <c r="A16" s="112"/>
      <c r="B16" s="113"/>
      <c r="C16" s="113"/>
      <c r="D16" s="114"/>
    </row>
    <row r="17" spans="1:75" s="42" customFormat="1" x14ac:dyDescent="0.25">
      <c r="A17" s="115" t="s">
        <v>132</v>
      </c>
      <c r="B17" s="116"/>
      <c r="C17" s="116"/>
      <c r="D17" s="117"/>
    </row>
    <row r="18" spans="1:75" s="42" customFormat="1" x14ac:dyDescent="0.25">
      <c r="A18" s="118" t="s">
        <v>133</v>
      </c>
      <c r="B18" s="119"/>
      <c r="C18" s="119"/>
      <c r="D18" s="120"/>
    </row>
    <row r="19" spans="1:75" s="42" customFormat="1" x14ac:dyDescent="0.25">
      <c r="A19" s="118"/>
      <c r="B19" s="119"/>
      <c r="C19" s="119"/>
      <c r="D19" s="120"/>
    </row>
    <row r="20" spans="1:75" s="42" customFormat="1" ht="15.75" thickBot="1" x14ac:dyDescent="0.3">
      <c r="A20" s="121"/>
      <c r="B20" s="122"/>
      <c r="C20" s="122"/>
      <c r="D20" s="123"/>
      <c r="F20" s="54"/>
    </row>
    <row r="21" spans="1:75" ht="15.75" thickBot="1" x14ac:dyDescent="0.3">
      <c r="A21" s="2"/>
      <c r="B21" s="6"/>
      <c r="C21" s="2"/>
      <c r="D21" s="2"/>
      <c r="E21" s="3"/>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ht="21" x14ac:dyDescent="0.35">
      <c r="A22" s="35"/>
      <c r="B22" s="21" t="s">
        <v>137</v>
      </c>
      <c r="C22" s="80">
        <v>43418</v>
      </c>
      <c r="D22" s="81"/>
      <c r="E22" s="81"/>
      <c r="F22" s="8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ht="18.75" x14ac:dyDescent="0.3">
      <c r="A23" s="2"/>
      <c r="B23" s="30" t="s">
        <v>84</v>
      </c>
      <c r="C23" s="83"/>
      <c r="D23" s="84"/>
      <c r="E23" s="84"/>
      <c r="F23" s="8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ht="18.75" x14ac:dyDescent="0.25">
      <c r="A24" s="5"/>
      <c r="B24" s="24" t="s">
        <v>83</v>
      </c>
      <c r="C24" s="83"/>
      <c r="D24" s="84"/>
      <c r="E24" s="84"/>
      <c r="F24" s="85"/>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ht="19.5" thickBot="1" x14ac:dyDescent="0.3">
      <c r="A25" s="5"/>
      <c r="B25" s="37"/>
      <c r="C25" s="86"/>
      <c r="D25" s="87"/>
      <c r="E25" s="87"/>
      <c r="F25" s="88"/>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ht="19.5" thickBot="1" x14ac:dyDescent="0.35">
      <c r="A26" s="3"/>
      <c r="B26" s="40" t="s">
        <v>0</v>
      </c>
      <c r="C26" s="78" t="s">
        <v>82</v>
      </c>
      <c r="D26" s="78"/>
      <c r="E26" s="79"/>
      <c r="F26" s="41" t="s">
        <v>1</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ht="18.75" x14ac:dyDescent="0.35">
      <c r="A27" s="5"/>
      <c r="B27" s="38" t="s">
        <v>2</v>
      </c>
      <c r="C27" s="65" t="s">
        <v>3</v>
      </c>
      <c r="D27" s="20" t="str">
        <f>"="</f>
        <v>=</v>
      </c>
      <c r="E27" s="72">
        <v>85</v>
      </c>
      <c r="F27" s="39" t="s">
        <v>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ht="18.75" x14ac:dyDescent="0.35">
      <c r="A28" s="5"/>
      <c r="B28" s="28" t="s">
        <v>5</v>
      </c>
      <c r="C28" s="66" t="s">
        <v>6</v>
      </c>
      <c r="D28" s="10" t="str">
        <f t="shared" ref="D28:D71" si="0">"="</f>
        <v>=</v>
      </c>
      <c r="E28" s="73">
        <v>265</v>
      </c>
      <c r="F28" s="25" t="s">
        <v>4</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ht="18.75" x14ac:dyDescent="0.35">
      <c r="A29" s="5"/>
      <c r="B29" s="28" t="s">
        <v>52</v>
      </c>
      <c r="C29" s="66" t="s">
        <v>7</v>
      </c>
      <c r="D29" s="10" t="str">
        <f t="shared" si="0"/>
        <v>=</v>
      </c>
      <c r="E29" s="73">
        <v>47</v>
      </c>
      <c r="F29" s="25" t="s">
        <v>16</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ht="18.75" x14ac:dyDescent="0.35">
      <c r="A30" s="5"/>
      <c r="B30" s="28" t="s">
        <v>9</v>
      </c>
      <c r="C30" s="66" t="s">
        <v>8</v>
      </c>
      <c r="D30" s="10" t="str">
        <f t="shared" si="0"/>
        <v>=</v>
      </c>
      <c r="E30" s="73">
        <v>63</v>
      </c>
      <c r="F30" s="25" t="s">
        <v>16</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ht="18.75" x14ac:dyDescent="0.35">
      <c r="A31" s="5"/>
      <c r="B31" s="28" t="s">
        <v>10</v>
      </c>
      <c r="C31" s="66" t="s">
        <v>11</v>
      </c>
      <c r="D31" s="10" t="str">
        <f t="shared" si="0"/>
        <v>=</v>
      </c>
      <c r="E31" s="73">
        <v>1200</v>
      </c>
      <c r="F31" s="25" t="s">
        <v>17</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ht="18.75" x14ac:dyDescent="0.25">
      <c r="A32" s="5"/>
      <c r="B32" s="28" t="s">
        <v>53</v>
      </c>
      <c r="C32" s="67" t="s">
        <v>12</v>
      </c>
      <c r="D32" s="10" t="str">
        <f t="shared" si="0"/>
        <v>=</v>
      </c>
      <c r="E32" s="73">
        <v>94</v>
      </c>
      <c r="F32" s="25" t="s">
        <v>18</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1:75" ht="18.75" x14ac:dyDescent="0.25">
      <c r="A33" s="5"/>
      <c r="B33" s="28" t="s">
        <v>54</v>
      </c>
      <c r="C33" s="68" t="s">
        <v>26</v>
      </c>
      <c r="D33" s="10" t="str">
        <f t="shared" si="0"/>
        <v>=</v>
      </c>
      <c r="E33" s="73">
        <v>0.98</v>
      </c>
      <c r="F33" s="25"/>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1:75" ht="18.75" x14ac:dyDescent="0.35">
      <c r="A34" s="5"/>
      <c r="B34" s="28" t="s">
        <v>13</v>
      </c>
      <c r="C34" s="66" t="s">
        <v>14</v>
      </c>
      <c r="D34" s="10" t="str">
        <f t="shared" si="0"/>
        <v>=</v>
      </c>
      <c r="E34" s="73">
        <v>44</v>
      </c>
      <c r="F34" s="25" t="s">
        <v>19</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1:75" ht="18.75" x14ac:dyDescent="0.35">
      <c r="A35" s="5"/>
      <c r="B35" s="28" t="s">
        <v>55</v>
      </c>
      <c r="C35" s="66" t="s">
        <v>15</v>
      </c>
      <c r="D35" s="10" t="str">
        <f t="shared" si="0"/>
        <v>=</v>
      </c>
      <c r="E35" s="73">
        <v>390</v>
      </c>
      <c r="F35" s="25" t="s">
        <v>4</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1:75" ht="18.75" x14ac:dyDescent="0.25">
      <c r="A36" s="5"/>
      <c r="B36" s="28"/>
      <c r="C36" s="66"/>
      <c r="D36" s="10"/>
      <c r="E36" s="11"/>
      <c r="F36" s="25"/>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1:75" ht="18.75" x14ac:dyDescent="0.25">
      <c r="A37" s="5"/>
      <c r="B37" s="28" t="s">
        <v>56</v>
      </c>
      <c r="C37" s="69" t="s">
        <v>27</v>
      </c>
      <c r="D37" s="10" t="str">
        <f t="shared" si="0"/>
        <v>=</v>
      </c>
      <c r="E37" s="12">
        <f>100*POUT_MAX/(VINMIN*E33*Efficiency)</f>
        <v>15.325279047789328</v>
      </c>
      <c r="F37" s="25" t="s">
        <v>28</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ht="18.75" x14ac:dyDescent="0.35">
      <c r="A38" s="5"/>
      <c r="B38" s="28" t="s">
        <v>57</v>
      </c>
      <c r="C38" s="66" t="s">
        <v>29</v>
      </c>
      <c r="D38" s="10" t="str">
        <f t="shared" si="0"/>
        <v>=</v>
      </c>
      <c r="E38" s="12">
        <f>SQRT(2)*E37</f>
        <v>21.6732174765359</v>
      </c>
      <c r="F38" s="25" t="s">
        <v>28</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1:75" ht="18.75" x14ac:dyDescent="0.35">
      <c r="A39" s="5"/>
      <c r="B39" s="28" t="s">
        <v>58</v>
      </c>
      <c r="C39" s="66" t="s">
        <v>21</v>
      </c>
      <c r="D39" s="10" t="str">
        <f t="shared" si="0"/>
        <v>=</v>
      </c>
      <c r="E39" s="73">
        <v>10</v>
      </c>
      <c r="F39" s="25" t="s">
        <v>18</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5" ht="18.75" x14ac:dyDescent="0.25">
      <c r="A40" s="5"/>
      <c r="B40" s="28" t="s">
        <v>121</v>
      </c>
      <c r="C40" s="66" t="s">
        <v>123</v>
      </c>
      <c r="D40" s="10" t="str">
        <f t="shared" si="0"/>
        <v>=</v>
      </c>
      <c r="E40" s="13">
        <f>ROUND(1000*(1-E39/100)*((VINMIN^2*(VOUT-SQRT(2)*VINMIN)*(Efficiency/100))/(fSWMIN*POUT_MAX*VOUT)),0)</f>
        <v>80</v>
      </c>
      <c r="F40" s="25" t="s">
        <v>20</v>
      </c>
      <c r="G40" s="2"/>
      <c r="H40" s="2"/>
      <c r="I40" s="2"/>
      <c r="J40" s="2"/>
      <c r="K40" s="2"/>
      <c r="L40" s="2"/>
      <c r="M40" s="7">
        <f>ROUND(1000*(1-E39/100)*MIN((VINMIN^2*(VOUT-SQRT(2)*VINMIN)*(Efficiency/100))/(fSWMIN*POUT_MAX*VOUT),((VINMAX*VINMAX)*(VOUT-(SQRT(2)*VINMAX))*(Efficiency/100))/(fSWMIN*POUT_MAX*VOUT)),0)</f>
        <v>44</v>
      </c>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1:75" ht="18.75" x14ac:dyDescent="0.25">
      <c r="A41" s="5"/>
      <c r="B41" s="28" t="s">
        <v>122</v>
      </c>
      <c r="C41" s="66" t="s">
        <v>124</v>
      </c>
      <c r="D41" s="10"/>
      <c r="E41" s="13">
        <f>ROUND(1000*(1-E39/100)*((VINMAX^2*(VOUT-SQRT(2)*VINMAX)*(Efficiency/100))/(fSWMIN*POUT_MAX*VOUT)),0)</f>
        <v>44</v>
      </c>
      <c r="F41" s="25" t="s">
        <v>20</v>
      </c>
      <c r="G41" s="2"/>
      <c r="H41" s="2"/>
      <c r="I41" s="2"/>
      <c r="J41" s="2"/>
      <c r="K41" s="2"/>
      <c r="L41" s="2"/>
      <c r="M41" s="7"/>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1:75" ht="18.75" x14ac:dyDescent="0.25">
      <c r="A42" s="5"/>
      <c r="B42" s="28" t="s">
        <v>59</v>
      </c>
      <c r="C42" s="69" t="s">
        <v>22</v>
      </c>
      <c r="D42" s="10" t="str">
        <f t="shared" si="0"/>
        <v>=</v>
      </c>
      <c r="E42" s="73">
        <v>150</v>
      </c>
      <c r="F42" s="25" t="s">
        <v>20</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1:75" ht="18.75" x14ac:dyDescent="0.25">
      <c r="A43" s="5"/>
      <c r="B43" s="28" t="s">
        <v>60</v>
      </c>
      <c r="C43" s="69" t="s">
        <v>23</v>
      </c>
      <c r="D43" s="10" t="str">
        <f t="shared" si="0"/>
        <v>=</v>
      </c>
      <c r="E43" s="13">
        <f>ROUND(((VOUT-VINMAX*SQRT(2))/2),1)</f>
        <v>7.6</v>
      </c>
      <c r="F43" s="25"/>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1:75" ht="18.75" x14ac:dyDescent="0.25">
      <c r="A44" s="5"/>
      <c r="B44" s="28" t="s">
        <v>61</v>
      </c>
      <c r="C44" s="69" t="s">
        <v>24</v>
      </c>
      <c r="D44" s="10" t="str">
        <f t="shared" si="0"/>
        <v>=</v>
      </c>
      <c r="E44" s="73">
        <v>15</v>
      </c>
      <c r="F44" s="25" t="s">
        <v>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1:75" ht="18.75" x14ac:dyDescent="0.25">
      <c r="A45" s="5"/>
      <c r="B45" s="28" t="s">
        <v>62</v>
      </c>
      <c r="C45" s="69" t="s">
        <v>46</v>
      </c>
      <c r="D45" s="10" t="str">
        <f t="shared" si="0"/>
        <v>=</v>
      </c>
      <c r="E45" s="55">
        <f>SQRT(2)*E44/0.00195</f>
        <v>10878.565864408425</v>
      </c>
      <c r="F45" s="25" t="s">
        <v>25</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1:75" ht="18.75" x14ac:dyDescent="0.25">
      <c r="A46" s="5"/>
      <c r="B46" s="28" t="s">
        <v>63</v>
      </c>
      <c r="C46" s="69" t="s">
        <v>46</v>
      </c>
      <c r="D46" s="10" t="str">
        <f t="shared" si="0"/>
        <v>=</v>
      </c>
      <c r="E46" s="73">
        <v>8610</v>
      </c>
      <c r="F46" s="25" t="s">
        <v>25</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1:75" ht="18.75" x14ac:dyDescent="0.25">
      <c r="A47" s="5"/>
      <c r="B47" s="28" t="s">
        <v>64</v>
      </c>
      <c r="C47" s="69" t="s">
        <v>47</v>
      </c>
      <c r="D47" s="10" t="str">
        <f t="shared" si="0"/>
        <v>=</v>
      </c>
      <c r="E47" s="12">
        <f>E46/(((VINMIN*0.8-1.4)*SQRT(2)/1.45)-1)</f>
        <v>134.62318943616515</v>
      </c>
      <c r="F47" s="25" t="s">
        <v>25</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1:75" ht="18.75" x14ac:dyDescent="0.25">
      <c r="A48" s="5"/>
      <c r="B48" s="28" t="s">
        <v>65</v>
      </c>
      <c r="C48" s="69" t="s">
        <v>47</v>
      </c>
      <c r="D48" s="10" t="str">
        <f t="shared" si="0"/>
        <v>=</v>
      </c>
      <c r="E48" s="73">
        <v>133</v>
      </c>
      <c r="F48" s="25" t="s">
        <v>25</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1:75" ht="18.75" x14ac:dyDescent="0.25">
      <c r="A49" s="5"/>
      <c r="B49" s="28" t="s">
        <v>66</v>
      </c>
      <c r="C49" s="69" t="s">
        <v>30</v>
      </c>
      <c r="D49" s="10" t="str">
        <f t="shared" si="0"/>
        <v>=</v>
      </c>
      <c r="E49" s="12">
        <f>CEILING((LBOOST_SEL*POUT_MAX)/((1-(TOL_LB_PERCENT/200))*(Efficiency/100)*VINMIN*VINMIN),0.1)</f>
        <v>27.900000000000002</v>
      </c>
      <c r="F49" s="25" t="s">
        <v>31</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1:75" ht="18.75" x14ac:dyDescent="0.25">
      <c r="A50" s="5"/>
      <c r="B50" s="28" t="s">
        <v>67</v>
      </c>
      <c r="C50" s="69" t="s">
        <v>32</v>
      </c>
      <c r="D50" s="10" t="str">
        <f t="shared" si="0"/>
        <v>=</v>
      </c>
      <c r="E50" s="12">
        <f>(5/(SQRT(2)*VINMIN*(E48/(E48+E46))))^2*(133/E49)*0.36*4.825</f>
        <v>61.906619952884789</v>
      </c>
      <c r="F50" s="25" t="s">
        <v>25</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1:75" ht="18.75" x14ac:dyDescent="0.35">
      <c r="A51" s="5"/>
      <c r="B51" s="28" t="s">
        <v>119</v>
      </c>
      <c r="C51" s="66" t="s">
        <v>120</v>
      </c>
      <c r="D51" s="10"/>
      <c r="E51" s="16">
        <f>0.2/((POUT_MAX*2*1.2*(2)^0.5)/(0.01*Efficiency*VINMIN))</f>
        <v>3.9234605428336913E-3</v>
      </c>
      <c r="F51" s="34" t="s">
        <v>92</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1:75" ht="18.75" x14ac:dyDescent="0.25">
      <c r="A52" s="5"/>
      <c r="B52" s="28" t="s">
        <v>68</v>
      </c>
      <c r="C52" s="69" t="s">
        <v>33</v>
      </c>
      <c r="D52" s="10" t="str">
        <f t="shared" si="0"/>
        <v>=</v>
      </c>
      <c r="E52" s="73">
        <v>200</v>
      </c>
      <c r="F52" s="25" t="s">
        <v>17</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1:75" ht="18.75" x14ac:dyDescent="0.25">
      <c r="A53" s="5"/>
      <c r="B53" s="28" t="s">
        <v>69</v>
      </c>
      <c r="C53" s="69" t="s">
        <v>34</v>
      </c>
      <c r="D53" s="10" t="str">
        <f t="shared" si="0"/>
        <v>=</v>
      </c>
      <c r="E53" s="73">
        <v>300</v>
      </c>
      <c r="F53" s="25" t="s">
        <v>17</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1:75" ht="18.75" x14ac:dyDescent="0.25">
      <c r="A54" s="5"/>
      <c r="B54" s="28" t="s">
        <v>75</v>
      </c>
      <c r="C54" s="69" t="s">
        <v>35</v>
      </c>
      <c r="D54" s="10" t="str">
        <f t="shared" si="0"/>
        <v>=</v>
      </c>
      <c r="E54" s="12">
        <f>(E52/POUT_MAX)*4.825+0.125</f>
        <v>0.9291666666666667</v>
      </c>
      <c r="F54" s="25" t="s">
        <v>4</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1:75" ht="18.75" x14ac:dyDescent="0.25">
      <c r="A55" s="5"/>
      <c r="B55" s="28" t="s">
        <v>76</v>
      </c>
      <c r="C55" s="69" t="s">
        <v>36</v>
      </c>
      <c r="D55" s="10" t="str">
        <f t="shared" si="0"/>
        <v>=</v>
      </c>
      <c r="E55" s="12">
        <f>(E53/POUT_MAX)*4.825+0.125</f>
        <v>1.33125</v>
      </c>
      <c r="F55" s="25" t="s">
        <v>4</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1:75" ht="18.75" x14ac:dyDescent="0.25">
      <c r="A56" s="5"/>
      <c r="B56" s="28" t="s">
        <v>70</v>
      </c>
      <c r="C56" s="69" t="s">
        <v>48</v>
      </c>
      <c r="D56" s="10" t="str">
        <f t="shared" si="0"/>
        <v>=</v>
      </c>
      <c r="E56" s="14">
        <f>1000*(E55-E54)/3</f>
        <v>134.0277777777778</v>
      </c>
      <c r="F56" s="25" t="s">
        <v>25</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1:75" ht="18.75" x14ac:dyDescent="0.25">
      <c r="A57" s="5"/>
      <c r="B57" s="28" t="s">
        <v>71</v>
      </c>
      <c r="C57" s="69" t="s">
        <v>48</v>
      </c>
      <c r="D57" s="10" t="str">
        <f t="shared" si="0"/>
        <v>=</v>
      </c>
      <c r="E57" s="74">
        <v>47.5</v>
      </c>
      <c r="F57" s="25" t="s">
        <v>25</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1:75" ht="18.75" x14ac:dyDescent="0.25">
      <c r="A58" s="5"/>
      <c r="B58" s="28" t="s">
        <v>72</v>
      </c>
      <c r="C58" s="69" t="s">
        <v>49</v>
      </c>
      <c r="D58" s="10" t="str">
        <f t="shared" si="0"/>
        <v>=</v>
      </c>
      <c r="E58" s="15">
        <f>E57*(1-E54/6)*(6/E54)</f>
        <v>259.22645739910314</v>
      </c>
      <c r="F58" s="25" t="s">
        <v>25</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1:75" ht="18.75" x14ac:dyDescent="0.25">
      <c r="A59" s="5"/>
      <c r="B59" s="28" t="s">
        <v>73</v>
      </c>
      <c r="C59" s="69" t="s">
        <v>37</v>
      </c>
      <c r="D59" s="10" t="str">
        <f t="shared" si="0"/>
        <v>=</v>
      </c>
      <c r="E59" s="73">
        <v>40</v>
      </c>
      <c r="F59" s="25" t="s">
        <v>17</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1:75" ht="18.75" x14ac:dyDescent="0.25">
      <c r="A60" s="5"/>
      <c r="B60" s="28" t="s">
        <v>74</v>
      </c>
      <c r="C60" s="69" t="s">
        <v>38</v>
      </c>
      <c r="D60" s="10" t="str">
        <f t="shared" si="0"/>
        <v>=</v>
      </c>
      <c r="E60" s="73">
        <v>45</v>
      </c>
      <c r="F60" s="25" t="s">
        <v>17</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1:75" ht="18.75" x14ac:dyDescent="0.25">
      <c r="A61" s="5"/>
      <c r="B61" s="28" t="s">
        <v>77</v>
      </c>
      <c r="C61" s="69" t="s">
        <v>39</v>
      </c>
      <c r="D61" s="10" t="str">
        <f t="shared" si="0"/>
        <v>=</v>
      </c>
      <c r="E61" s="16">
        <f>(E59/POUT_MAX)*4.825+0.125</f>
        <v>0.28583333333333333</v>
      </c>
      <c r="F61" s="25" t="s">
        <v>4</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1:75" ht="18.75" x14ac:dyDescent="0.25">
      <c r="A62" s="5"/>
      <c r="B62" s="28" t="s">
        <v>78</v>
      </c>
      <c r="C62" s="69" t="s">
        <v>40</v>
      </c>
      <c r="D62" s="10" t="str">
        <f t="shared" si="0"/>
        <v>=</v>
      </c>
      <c r="E62" s="16">
        <f>(E60/POUT_MAX)*4.825+0.125</f>
        <v>0.30593749999999997</v>
      </c>
      <c r="F62" s="25" t="s">
        <v>4</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1:75" ht="18.75" x14ac:dyDescent="0.25">
      <c r="A63" s="5"/>
      <c r="B63" s="28" t="s">
        <v>79</v>
      </c>
      <c r="C63" s="69" t="s">
        <v>50</v>
      </c>
      <c r="D63" s="10" t="str">
        <f t="shared" si="0"/>
        <v>=</v>
      </c>
      <c r="E63" s="14">
        <f>1000*(E62-E61)/3</f>
        <v>6.7013888888888822</v>
      </c>
      <c r="F63" s="25" t="s">
        <v>25</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1:75" ht="18.75" x14ac:dyDescent="0.25">
      <c r="A64" s="5"/>
      <c r="B64" s="28" t="s">
        <v>80</v>
      </c>
      <c r="C64" s="69" t="s">
        <v>50</v>
      </c>
      <c r="D64" s="10" t="str">
        <f t="shared" si="0"/>
        <v>=</v>
      </c>
      <c r="E64" s="74">
        <v>6.8</v>
      </c>
      <c r="F64" s="25" t="s">
        <v>25</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1:75" ht="18.75" x14ac:dyDescent="0.25">
      <c r="A65" s="5"/>
      <c r="B65" s="28" t="s">
        <v>81</v>
      </c>
      <c r="C65" s="69" t="s">
        <v>51</v>
      </c>
      <c r="D65" s="10" t="str">
        <f t="shared" si="0"/>
        <v>=</v>
      </c>
      <c r="E65" s="14">
        <f>E64*(1-E61/6)*(6/E61)</f>
        <v>135.94052478134111</v>
      </c>
      <c r="F65" s="25" t="s">
        <v>25</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1:75" ht="18.75" x14ac:dyDescent="0.3">
      <c r="A66" s="2"/>
      <c r="B66" s="29"/>
      <c r="C66" s="66"/>
      <c r="D66" s="10"/>
      <c r="F66" s="25"/>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1:75" ht="18.75" x14ac:dyDescent="0.3">
      <c r="A67" s="8"/>
      <c r="B67" s="29" t="s">
        <v>85</v>
      </c>
      <c r="C67" s="69" t="s">
        <v>41</v>
      </c>
      <c r="D67" s="10" t="str">
        <f t="shared" si="0"/>
        <v>=</v>
      </c>
      <c r="E67" s="17">
        <f>VOUT/(3*E43)</f>
        <v>17.10526315789474</v>
      </c>
      <c r="F67" s="25" t="s">
        <v>25</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1:75" ht="18.75" x14ac:dyDescent="0.25">
      <c r="A68" s="5"/>
      <c r="B68" s="28" t="s">
        <v>86</v>
      </c>
      <c r="C68" s="69" t="s">
        <v>41</v>
      </c>
      <c r="D68" s="10" t="str">
        <f t="shared" si="0"/>
        <v>=</v>
      </c>
      <c r="E68" s="75" t="s">
        <v>141</v>
      </c>
      <c r="F68" s="25" t="s">
        <v>25</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1:75" ht="18.75" x14ac:dyDescent="0.25">
      <c r="A69" s="5"/>
      <c r="B69" s="28" t="s">
        <v>87</v>
      </c>
      <c r="C69" s="69" t="s">
        <v>43</v>
      </c>
      <c r="D69" s="10" t="str">
        <f t="shared" si="0"/>
        <v>=</v>
      </c>
      <c r="E69" s="18">
        <f>1000000*POUT_MAX/((0.85)*(Efficiency/100)*PF*VOUT*VOUT*0.065*6.28*FLINEMIN)</f>
        <v>525.18016908188349</v>
      </c>
      <c r="F69" s="25" t="s">
        <v>42</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1:75" ht="18.75" x14ac:dyDescent="0.25">
      <c r="A70" s="5"/>
      <c r="B70" s="28" t="s">
        <v>88</v>
      </c>
      <c r="C70" s="69" t="s">
        <v>44</v>
      </c>
      <c r="D70" s="10" t="str">
        <f t="shared" si="0"/>
        <v>=</v>
      </c>
      <c r="E70" s="75">
        <v>680</v>
      </c>
      <c r="F70" s="25" t="s">
        <v>42</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1:75" ht="18.75" x14ac:dyDescent="0.35">
      <c r="A71" s="5"/>
      <c r="B71" s="28" t="s">
        <v>89</v>
      </c>
      <c r="C71" s="70" t="s">
        <v>45</v>
      </c>
      <c r="D71" s="10" t="str">
        <f t="shared" si="0"/>
        <v>=</v>
      </c>
      <c r="E71" s="17">
        <f>1000000*POUT_MAX/(6.28*FLINEMIN*VOUT*E70)</f>
        <v>15.33028485508895</v>
      </c>
      <c r="F71" s="25" t="s">
        <v>4</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1:75" ht="18.75" x14ac:dyDescent="0.35">
      <c r="A72" s="5"/>
      <c r="B72" s="28" t="s">
        <v>115</v>
      </c>
      <c r="C72" s="70" t="s">
        <v>117</v>
      </c>
      <c r="D72" s="10"/>
      <c r="E72" s="17">
        <f>POUT_MAX/(Efficiency*0.01*VOUT*(2)^0.5)</f>
        <v>2.3145884817890261</v>
      </c>
      <c r="F72" s="25" t="s">
        <v>28</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1:75" ht="18.75" x14ac:dyDescent="0.35">
      <c r="A73" s="5"/>
      <c r="B73" s="28" t="s">
        <v>116</v>
      </c>
      <c r="C73" s="70" t="s">
        <v>118</v>
      </c>
      <c r="D73" s="10"/>
      <c r="E73" s="17">
        <f>((((POUT_MAX*2*(2)^0.5)/(2*0.01*Efficiency*VINMIN))*((4*1.414*VINMIN)/(9*3.141*VOUT))^0.5)^2-(E72)^2)^0.5</f>
        <v>3.7834966856716865</v>
      </c>
      <c r="F73" s="25" t="s">
        <v>28</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1:75" ht="18.75" x14ac:dyDescent="0.3">
      <c r="A74" s="2"/>
      <c r="B74" s="29"/>
      <c r="C74" s="66"/>
      <c r="F74" s="2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1:75" ht="19.5" x14ac:dyDescent="0.35">
      <c r="A75" s="2"/>
      <c r="B75" s="29" t="s">
        <v>90</v>
      </c>
      <c r="C75" s="66" t="s">
        <v>91</v>
      </c>
      <c r="E75" s="31">
        <f>(99/(12*10^-6))</f>
        <v>8250000</v>
      </c>
      <c r="F75" s="32" t="s">
        <v>92</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1:75" ht="19.5" x14ac:dyDescent="0.35">
      <c r="A76" s="2"/>
      <c r="B76" s="29" t="s">
        <v>93</v>
      </c>
      <c r="C76" s="66" t="s">
        <v>91</v>
      </c>
      <c r="E76" s="76">
        <v>8220000</v>
      </c>
      <c r="F76" s="32" t="s">
        <v>92</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1:75" ht="19.5" x14ac:dyDescent="0.35">
      <c r="A77" s="2"/>
      <c r="B77" s="29" t="s">
        <v>94</v>
      </c>
      <c r="C77" s="66" t="s">
        <v>95</v>
      </c>
      <c r="E77" s="33">
        <f>2.5*(1/(((VOUT*0.9-2.5)/E75)-12*10^-6))</f>
        <v>82665.330661322645</v>
      </c>
      <c r="F77" s="32" t="s">
        <v>92</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1:75" ht="19.5" x14ac:dyDescent="0.35">
      <c r="A78" s="2"/>
      <c r="B78" s="29" t="s">
        <v>96</v>
      </c>
      <c r="C78" s="66" t="s">
        <v>95</v>
      </c>
      <c r="E78" s="76">
        <v>82500</v>
      </c>
      <c r="F78" s="32" t="s">
        <v>92</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1:75" ht="18.75" x14ac:dyDescent="0.3">
      <c r="A79" s="2"/>
      <c r="B79" s="29"/>
      <c r="C79" s="66"/>
      <c r="F79" s="2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19.5" x14ac:dyDescent="0.35">
      <c r="A80" s="2"/>
      <c r="B80" s="29" t="s">
        <v>97</v>
      </c>
      <c r="C80" s="66" t="s">
        <v>98</v>
      </c>
      <c r="E80" s="76">
        <v>8490000</v>
      </c>
      <c r="F80" s="34" t="s">
        <v>92</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1:75" ht="19.5" x14ac:dyDescent="0.35">
      <c r="A81" s="2"/>
      <c r="B81" s="29" t="s">
        <v>99</v>
      </c>
      <c r="C81" s="66" t="s">
        <v>100</v>
      </c>
      <c r="E81" s="33">
        <f>6*E80/(VOUT-6)</f>
        <v>132656.25</v>
      </c>
      <c r="F81" s="34" t="s">
        <v>92</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1:75" ht="19.5" x14ac:dyDescent="0.35">
      <c r="A82" s="2"/>
      <c r="B82" s="29" t="s">
        <v>101</v>
      </c>
      <c r="C82" s="66" t="s">
        <v>100</v>
      </c>
      <c r="E82" s="76">
        <v>133000</v>
      </c>
      <c r="F82" s="34" t="s">
        <v>92</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1:75" ht="19.5" x14ac:dyDescent="0.35">
      <c r="A83" s="2"/>
      <c r="B83" s="29" t="s">
        <v>102</v>
      </c>
      <c r="C83" s="66" t="s">
        <v>103</v>
      </c>
      <c r="E83" s="18">
        <f>6.48*(E80+E82)/E82</f>
        <v>420.1281203007519</v>
      </c>
      <c r="F83" s="25" t="s">
        <v>4</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1:75" ht="19.5" x14ac:dyDescent="0.35">
      <c r="A84" s="2"/>
      <c r="B84" s="29" t="s">
        <v>113</v>
      </c>
      <c r="C84" s="66" t="s">
        <v>114</v>
      </c>
      <c r="E84" s="18">
        <f>4.87*(E76+E78)/E78</f>
        <v>490.09909090909093</v>
      </c>
      <c r="F84" s="25" t="s">
        <v>4</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1:75" ht="18.75" x14ac:dyDescent="0.3">
      <c r="A85" s="2"/>
      <c r="B85" s="29"/>
      <c r="C85" s="66"/>
      <c r="F85" s="2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1:75" ht="19.5" x14ac:dyDescent="0.35">
      <c r="A86" s="2"/>
      <c r="B86" s="29" t="s">
        <v>104</v>
      </c>
      <c r="C86" s="66" t="s">
        <v>105</v>
      </c>
      <c r="E86" s="17">
        <f>(VOUT^2)/(POUT_MAX*Efficiency*0.01)</f>
        <v>134.84042553191489</v>
      </c>
      <c r="F86" s="34" t="s">
        <v>92</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1:75" ht="19.5" x14ac:dyDescent="0.35">
      <c r="A87" s="2"/>
      <c r="B87" s="29" t="s">
        <v>106</v>
      </c>
      <c r="C87" s="66" t="s">
        <v>109</v>
      </c>
      <c r="E87" s="33">
        <f>0.1/(E71*(ROUND((6/VOUT),3))*0.00005)</f>
        <v>8697.3813333333328</v>
      </c>
      <c r="F87" s="34" t="s">
        <v>92</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1:75" ht="19.5" x14ac:dyDescent="0.35">
      <c r="A88" s="2"/>
      <c r="B88" s="26" t="s">
        <v>107</v>
      </c>
      <c r="C88" s="66" t="s">
        <v>110</v>
      </c>
      <c r="E88" s="33">
        <f>1/(2*PI()*(47/5)*E87)</f>
        <v>1.9467212343305001E-6</v>
      </c>
      <c r="F88" s="25" t="s">
        <v>112</v>
      </c>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1:75" ht="19.5" x14ac:dyDescent="0.35">
      <c r="A89" s="2"/>
      <c r="B89" s="26" t="s">
        <v>107</v>
      </c>
      <c r="C89" s="66" t="s">
        <v>111</v>
      </c>
      <c r="E89" s="33">
        <f>1/(2*3.14*((fSWMIN*1000/2)*E87))</f>
        <v>8.322027823767163E-10</v>
      </c>
      <c r="F89" s="25" t="s">
        <v>112</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1:75" ht="19.5" x14ac:dyDescent="0.35">
      <c r="A90" s="2"/>
      <c r="B90" s="26" t="s">
        <v>108</v>
      </c>
      <c r="C90" s="66" t="s">
        <v>109</v>
      </c>
      <c r="E90" s="76">
        <v>10000</v>
      </c>
      <c r="F90" s="34" t="s">
        <v>92</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1:75" ht="19.5" x14ac:dyDescent="0.35">
      <c r="A91" s="2"/>
      <c r="B91" s="26" t="s">
        <v>108</v>
      </c>
      <c r="C91" s="66" t="s">
        <v>110</v>
      </c>
      <c r="E91" s="76">
        <v>2.2000000000000001E-6</v>
      </c>
      <c r="F91" s="25" t="s">
        <v>112</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1:75" ht="20.25" thickBot="1" x14ac:dyDescent="0.4">
      <c r="A92" s="2"/>
      <c r="B92" s="27" t="s">
        <v>108</v>
      </c>
      <c r="C92" s="71" t="s">
        <v>111</v>
      </c>
      <c r="D92" s="23"/>
      <c r="E92" s="77">
        <v>1.0000000000000001E-9</v>
      </c>
      <c r="F92" s="36" t="s">
        <v>112</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1:75" x14ac:dyDescent="0.25">
      <c r="A93" s="2"/>
      <c r="B93" s="2"/>
      <c r="C93" s="2"/>
      <c r="D93" s="2"/>
      <c r="E93" s="3"/>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1:75" x14ac:dyDescent="0.25">
      <c r="A94" s="2"/>
      <c r="B94" s="2"/>
      <c r="C94" s="2"/>
      <c r="D94" s="2"/>
      <c r="E94" s="3"/>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1:75" x14ac:dyDescent="0.25">
      <c r="A95" s="2"/>
      <c r="B95" s="2"/>
      <c r="C95" s="2"/>
      <c r="D95" s="2"/>
      <c r="E95" s="3"/>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1:75" x14ac:dyDescent="0.25">
      <c r="A96" s="2"/>
      <c r="B96" s="2"/>
      <c r="C96" s="2"/>
      <c r="D96" s="2"/>
      <c r="E96" s="3"/>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1:75" x14ac:dyDescent="0.25">
      <c r="A97" s="2"/>
      <c r="B97" s="2"/>
      <c r="C97" s="2"/>
      <c r="D97" s="2"/>
      <c r="E97" s="3"/>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1:75" x14ac:dyDescent="0.25">
      <c r="A98" s="2"/>
      <c r="B98" s="2"/>
      <c r="C98" s="2"/>
      <c r="D98" s="2"/>
      <c r="E98" s="3"/>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1:75" x14ac:dyDescent="0.25">
      <c r="A99" s="2"/>
      <c r="B99" s="2"/>
      <c r="C99" s="2"/>
      <c r="D99" s="2"/>
      <c r="E99" s="3"/>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1:75" x14ac:dyDescent="0.25">
      <c r="A100" s="2"/>
      <c r="B100" s="2"/>
      <c r="C100" s="2"/>
      <c r="D100" s="2"/>
      <c r="E100" s="3"/>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1:75" x14ac:dyDescent="0.25">
      <c r="A101" s="2"/>
      <c r="B101" s="2"/>
      <c r="C101" s="2"/>
      <c r="D101" s="2"/>
      <c r="E101" s="3"/>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1:75" x14ac:dyDescent="0.25">
      <c r="A102" s="2"/>
      <c r="B102" s="2"/>
      <c r="C102" s="2"/>
      <c r="D102" s="2"/>
      <c r="E102" s="3"/>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1:75" x14ac:dyDescent="0.25">
      <c r="A103" s="2"/>
      <c r="B103" s="2"/>
      <c r="C103" s="2"/>
      <c r="D103" s="2"/>
      <c r="E103" s="3"/>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1:75" x14ac:dyDescent="0.25">
      <c r="A104" s="2"/>
      <c r="B104" s="2"/>
      <c r="C104" s="2"/>
      <c r="D104" s="2"/>
      <c r="E104" s="3"/>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1:75" x14ac:dyDescent="0.25">
      <c r="A105" s="2"/>
      <c r="B105" s="2"/>
      <c r="C105" s="2"/>
      <c r="D105" s="2"/>
      <c r="E105" s="3"/>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1:75" x14ac:dyDescent="0.25">
      <c r="A106" s="2"/>
      <c r="B106" s="2"/>
      <c r="C106" s="2"/>
      <c r="D106" s="2"/>
      <c r="E106" s="3"/>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1:75" x14ac:dyDescent="0.25">
      <c r="A107" s="2"/>
      <c r="B107" s="2"/>
      <c r="C107" s="2"/>
      <c r="D107" s="2"/>
      <c r="E107" s="3"/>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1:75" x14ac:dyDescent="0.25">
      <c r="A108" s="2"/>
      <c r="B108" s="2"/>
      <c r="C108" s="2"/>
      <c r="D108" s="2"/>
      <c r="E108" s="3"/>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1:75" x14ac:dyDescent="0.25">
      <c r="A109" s="2"/>
      <c r="B109" s="2"/>
      <c r="C109" s="2"/>
      <c r="D109" s="2"/>
      <c r="E109" s="3"/>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1:75" x14ac:dyDescent="0.25">
      <c r="A110" s="2"/>
      <c r="B110" s="2"/>
      <c r="C110" s="2"/>
      <c r="D110" s="2"/>
      <c r="E110" s="3"/>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1:75" x14ac:dyDescent="0.25">
      <c r="A111" s="2"/>
      <c r="B111" s="2"/>
      <c r="C111" s="2"/>
      <c r="D111" s="2"/>
      <c r="E111" s="3"/>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1:75" x14ac:dyDescent="0.25">
      <c r="A112" s="2"/>
      <c r="B112" s="2"/>
      <c r="C112" s="2"/>
      <c r="D112" s="2"/>
      <c r="E112" s="3"/>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1:75" x14ac:dyDescent="0.25">
      <c r="A113" s="2"/>
      <c r="B113" s="2"/>
      <c r="C113" s="2"/>
      <c r="D113" s="2"/>
      <c r="E113" s="3"/>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1:75" x14ac:dyDescent="0.25">
      <c r="A114" s="2"/>
      <c r="B114" s="2"/>
      <c r="C114" s="2"/>
      <c r="D114" s="2"/>
      <c r="E114" s="3"/>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1:75" x14ac:dyDescent="0.25">
      <c r="A115" s="2"/>
      <c r="B115" s="2"/>
      <c r="C115" s="2"/>
      <c r="D115" s="2"/>
      <c r="E115" s="3"/>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1:75" x14ac:dyDescent="0.25">
      <c r="A116" s="2"/>
      <c r="B116" s="2"/>
      <c r="C116" s="2"/>
      <c r="D116" s="2"/>
      <c r="E116" s="3"/>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1:75" x14ac:dyDescent="0.25">
      <c r="A117" s="2"/>
      <c r="B117" s="2"/>
      <c r="C117" s="2"/>
      <c r="D117" s="2"/>
      <c r="E117" s="3"/>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1:75" x14ac:dyDescent="0.25">
      <c r="A118" s="2"/>
      <c r="B118" s="2"/>
      <c r="C118" s="2"/>
      <c r="D118" s="2"/>
      <c r="E118" s="3"/>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1:75" x14ac:dyDescent="0.25">
      <c r="A119" s="2"/>
      <c r="B119" s="2"/>
      <c r="C119" s="2"/>
      <c r="D119" s="2"/>
      <c r="E119" s="3"/>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1:75" x14ac:dyDescent="0.25">
      <c r="A120" s="2"/>
      <c r="B120" s="2"/>
      <c r="C120" s="2"/>
      <c r="D120" s="2"/>
      <c r="E120" s="3"/>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1:75" x14ac:dyDescent="0.25">
      <c r="A121" s="2"/>
      <c r="B121" s="2"/>
      <c r="C121" s="2"/>
      <c r="D121" s="2"/>
      <c r="E121" s="3"/>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1:75" x14ac:dyDescent="0.25">
      <c r="A122" s="2"/>
      <c r="B122" s="2"/>
      <c r="C122" s="2"/>
      <c r="D122" s="2"/>
      <c r="E122" s="3"/>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1:75" x14ac:dyDescent="0.25">
      <c r="A123" s="2"/>
      <c r="B123" s="2"/>
      <c r="C123" s="2"/>
      <c r="D123" s="2"/>
      <c r="E123" s="3"/>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1:75" x14ac:dyDescent="0.25">
      <c r="A124" s="2"/>
      <c r="B124" s="2"/>
      <c r="C124" s="2"/>
      <c r="D124" s="2"/>
      <c r="E124" s="3"/>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1:75" x14ac:dyDescent="0.25">
      <c r="A125" s="2"/>
      <c r="B125" s="2"/>
      <c r="C125" s="2"/>
      <c r="D125" s="2"/>
      <c r="E125" s="3"/>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1:75" x14ac:dyDescent="0.25">
      <c r="A126" s="2"/>
      <c r="B126" s="2"/>
      <c r="C126" s="2"/>
      <c r="D126" s="2"/>
      <c r="E126" s="3"/>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1:75" x14ac:dyDescent="0.25">
      <c r="A127" s="2"/>
      <c r="B127" s="2"/>
      <c r="C127" s="2"/>
      <c r="D127" s="2"/>
      <c r="E127" s="3"/>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1:75" x14ac:dyDescent="0.25">
      <c r="A128" s="2"/>
      <c r="B128" s="2"/>
      <c r="C128" s="2"/>
      <c r="D128" s="2"/>
      <c r="E128" s="3"/>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1:75" x14ac:dyDescent="0.25">
      <c r="A129" s="2"/>
      <c r="B129" s="2"/>
      <c r="C129" s="2"/>
      <c r="D129" s="2"/>
      <c r="E129" s="3"/>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1:75" x14ac:dyDescent="0.25">
      <c r="A130" s="2"/>
      <c r="B130" s="2"/>
      <c r="C130" s="2"/>
      <c r="D130" s="2"/>
      <c r="E130" s="3"/>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1:75" x14ac:dyDescent="0.25">
      <c r="A131" s="2"/>
      <c r="B131" s="2"/>
      <c r="C131" s="2"/>
      <c r="D131" s="2"/>
      <c r="E131" s="3"/>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1:75" x14ac:dyDescent="0.25">
      <c r="A132" s="2"/>
      <c r="B132" s="2"/>
      <c r="C132" s="2"/>
      <c r="D132" s="2"/>
      <c r="E132" s="3"/>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1:75" x14ac:dyDescent="0.25">
      <c r="A133" s="2"/>
      <c r="B133" s="2"/>
      <c r="C133" s="2"/>
      <c r="D133" s="2"/>
      <c r="E133" s="3"/>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1:75" x14ac:dyDescent="0.25">
      <c r="A134" s="2"/>
      <c r="B134" s="2"/>
      <c r="C134" s="2"/>
      <c r="D134" s="2"/>
      <c r="E134" s="3"/>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1:75" x14ac:dyDescent="0.25">
      <c r="A135" s="2"/>
      <c r="B135" s="2"/>
      <c r="C135" s="2"/>
      <c r="D135" s="2"/>
      <c r="E135" s="3"/>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1:75" x14ac:dyDescent="0.25">
      <c r="A136" s="2"/>
      <c r="B136" s="2"/>
      <c r="C136" s="2"/>
      <c r="D136" s="2"/>
      <c r="E136" s="3"/>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1:75" x14ac:dyDescent="0.25">
      <c r="A137" s="2"/>
      <c r="B137" s="2"/>
      <c r="C137" s="2"/>
      <c r="D137" s="2"/>
      <c r="E137" s="3"/>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1:75" x14ac:dyDescent="0.25">
      <c r="A138" s="2"/>
      <c r="B138" s="2"/>
      <c r="C138" s="2"/>
      <c r="D138" s="2"/>
      <c r="E138" s="3"/>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1:75" x14ac:dyDescent="0.25">
      <c r="A139" s="2"/>
      <c r="B139" s="2"/>
      <c r="C139" s="2"/>
      <c r="D139" s="2"/>
      <c r="E139" s="3"/>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1:75" x14ac:dyDescent="0.25">
      <c r="A140" s="2"/>
      <c r="B140" s="2"/>
      <c r="C140" s="2"/>
      <c r="D140" s="2"/>
      <c r="E140" s="3"/>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1:75" x14ac:dyDescent="0.25">
      <c r="A141" s="2"/>
      <c r="B141" s="2"/>
      <c r="C141" s="2"/>
      <c r="D141" s="2"/>
      <c r="E141" s="3"/>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1:75" x14ac:dyDescent="0.25">
      <c r="A142" s="2"/>
      <c r="B142" s="2"/>
      <c r="C142" s="2"/>
      <c r="D142" s="2"/>
      <c r="E142" s="3"/>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1:75" x14ac:dyDescent="0.25">
      <c r="A143" s="2"/>
      <c r="B143" s="2"/>
      <c r="C143" s="2"/>
      <c r="D143" s="2"/>
      <c r="E143" s="3"/>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1:75" x14ac:dyDescent="0.25">
      <c r="A144" s="2"/>
      <c r="B144" s="2"/>
      <c r="C144" s="2"/>
      <c r="D144" s="2"/>
      <c r="E144" s="3"/>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1:75" x14ac:dyDescent="0.25">
      <c r="A145" s="2"/>
      <c r="B145" s="2"/>
      <c r="C145" s="2"/>
      <c r="D145" s="2"/>
      <c r="E145" s="3"/>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1:75" x14ac:dyDescent="0.25">
      <c r="A146" s="2"/>
      <c r="B146" s="2"/>
      <c r="C146" s="2"/>
      <c r="D146" s="2"/>
      <c r="E146" s="3"/>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1:75" x14ac:dyDescent="0.25">
      <c r="A147" s="2"/>
      <c r="B147" s="2"/>
      <c r="C147" s="2"/>
      <c r="D147" s="2"/>
      <c r="E147" s="3"/>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1:75" x14ac:dyDescent="0.25">
      <c r="A148" s="2"/>
      <c r="B148" s="2"/>
      <c r="C148" s="2"/>
      <c r="D148" s="2"/>
      <c r="E148" s="3"/>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1:75" x14ac:dyDescent="0.25">
      <c r="A149" s="2"/>
      <c r="B149" s="2"/>
      <c r="C149" s="2"/>
      <c r="D149" s="2"/>
      <c r="E149" s="3"/>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1:75" x14ac:dyDescent="0.25">
      <c r="A150" s="2"/>
      <c r="B150" s="2"/>
      <c r="C150" s="2"/>
      <c r="D150" s="2"/>
      <c r="E150" s="3"/>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1:75" x14ac:dyDescent="0.25">
      <c r="A151" s="2"/>
      <c r="B151" s="2"/>
      <c r="C151" s="2"/>
      <c r="D151" s="2"/>
      <c r="E151" s="3"/>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1:75" x14ac:dyDescent="0.25">
      <c r="A152" s="2"/>
      <c r="B152" s="2"/>
      <c r="C152" s="2"/>
      <c r="D152" s="2"/>
      <c r="E152" s="3"/>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1:75" x14ac:dyDescent="0.25">
      <c r="A153" s="2"/>
      <c r="B153" s="2"/>
      <c r="C153" s="2"/>
      <c r="D153" s="2"/>
      <c r="E153" s="3"/>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1:75" x14ac:dyDescent="0.25">
      <c r="A154" s="2"/>
      <c r="B154" s="2"/>
      <c r="C154" s="2"/>
      <c r="D154" s="2"/>
      <c r="E154" s="3"/>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75" x14ac:dyDescent="0.25">
      <c r="A155" s="2"/>
      <c r="B155" s="2"/>
      <c r="C155" s="2"/>
      <c r="D155" s="2"/>
      <c r="E155" s="3"/>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1:75" x14ac:dyDescent="0.25">
      <c r="A156" s="2"/>
      <c r="B156" s="2"/>
      <c r="C156" s="2"/>
      <c r="D156" s="2"/>
      <c r="E156" s="3"/>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1:75" x14ac:dyDescent="0.25">
      <c r="A157" s="2"/>
      <c r="B157" s="2"/>
      <c r="C157" s="2"/>
      <c r="D157" s="2"/>
      <c r="E157" s="3"/>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1:75" x14ac:dyDescent="0.25">
      <c r="A158" s="2"/>
      <c r="B158" s="2"/>
      <c r="C158" s="2"/>
      <c r="D158" s="2"/>
      <c r="E158" s="3"/>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1:75" x14ac:dyDescent="0.25">
      <c r="A159" s="2"/>
      <c r="B159" s="2"/>
      <c r="C159" s="2"/>
      <c r="D159" s="2"/>
      <c r="E159" s="3"/>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1:75" x14ac:dyDescent="0.25">
      <c r="A160" s="2"/>
      <c r="B160" s="2"/>
      <c r="C160" s="2"/>
      <c r="D160" s="2"/>
      <c r="E160" s="3"/>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1:75" x14ac:dyDescent="0.25">
      <c r="A161" s="2"/>
      <c r="B161" s="2"/>
      <c r="C161" s="2"/>
      <c r="D161" s="2"/>
      <c r="E161" s="3"/>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1:75" x14ac:dyDescent="0.25">
      <c r="A162" s="2"/>
      <c r="B162" s="2"/>
      <c r="C162" s="2"/>
      <c r="D162" s="2"/>
      <c r="E162" s="3"/>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1:75" x14ac:dyDescent="0.25">
      <c r="A163" s="2"/>
      <c r="B163" s="2"/>
      <c r="C163" s="2"/>
      <c r="D163" s="2"/>
      <c r="E163" s="3"/>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1:75" x14ac:dyDescent="0.25">
      <c r="A164" s="2"/>
      <c r="B164" s="2"/>
      <c r="C164" s="2"/>
      <c r="D164" s="2"/>
      <c r="E164" s="3"/>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1:75" x14ac:dyDescent="0.25">
      <c r="A165" s="2"/>
      <c r="B165" s="2"/>
      <c r="C165" s="2"/>
      <c r="D165" s="2"/>
      <c r="E165" s="3"/>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1:75" x14ac:dyDescent="0.25">
      <c r="A166" s="2"/>
      <c r="B166" s="2"/>
      <c r="C166" s="2"/>
      <c r="D166" s="2"/>
      <c r="E166" s="3"/>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1:75" x14ac:dyDescent="0.25">
      <c r="A167" s="2"/>
      <c r="B167" s="2"/>
      <c r="C167" s="2"/>
      <c r="D167" s="2"/>
      <c r="E167" s="3"/>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1:75" x14ac:dyDescent="0.25">
      <c r="A168" s="2"/>
      <c r="B168" s="2"/>
      <c r="C168" s="2"/>
      <c r="D168" s="2"/>
      <c r="E168" s="3"/>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1:75" x14ac:dyDescent="0.25">
      <c r="A169" s="2"/>
      <c r="B169" s="2"/>
      <c r="C169" s="2"/>
      <c r="D169" s="2"/>
      <c r="E169" s="3"/>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1:75" x14ac:dyDescent="0.25">
      <c r="A170" s="2"/>
      <c r="B170" s="2"/>
      <c r="C170" s="2"/>
      <c r="D170" s="2"/>
      <c r="E170" s="3"/>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1:75" x14ac:dyDescent="0.25">
      <c r="A171" s="2"/>
      <c r="B171" s="2"/>
      <c r="C171" s="2"/>
      <c r="D171" s="2"/>
      <c r="E171" s="3"/>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1:75" x14ac:dyDescent="0.25">
      <c r="A172" s="2"/>
      <c r="B172" s="2"/>
      <c r="C172" s="2"/>
      <c r="D172" s="2"/>
      <c r="E172" s="3"/>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1:75" x14ac:dyDescent="0.25">
      <c r="A173" s="2"/>
      <c r="B173" s="2"/>
      <c r="C173" s="2"/>
      <c r="D173" s="2"/>
      <c r="E173" s="3"/>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1:75" x14ac:dyDescent="0.25">
      <c r="A174" s="2"/>
      <c r="B174" s="2"/>
      <c r="C174" s="2"/>
      <c r="D174" s="2"/>
      <c r="E174" s="3"/>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1:75" x14ac:dyDescent="0.25">
      <c r="A175" s="2"/>
      <c r="B175" s="2"/>
      <c r="C175" s="2"/>
      <c r="D175" s="2"/>
      <c r="E175" s="3"/>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1:75" x14ac:dyDescent="0.25">
      <c r="A176" s="2"/>
      <c r="B176" s="2"/>
      <c r="C176" s="2"/>
      <c r="D176" s="2"/>
      <c r="E176" s="3"/>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1:75" x14ac:dyDescent="0.25">
      <c r="A177" s="2"/>
      <c r="B177" s="2"/>
      <c r="C177" s="2"/>
      <c r="D177" s="2"/>
      <c r="E177" s="3"/>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1:75" x14ac:dyDescent="0.25">
      <c r="A178" s="2"/>
      <c r="B178" s="2"/>
      <c r="C178" s="2"/>
      <c r="D178" s="2"/>
      <c r="E178" s="3"/>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1:75" x14ac:dyDescent="0.25">
      <c r="A179" s="2"/>
      <c r="B179" s="2"/>
      <c r="C179" s="2"/>
      <c r="D179" s="2"/>
      <c r="E179" s="3"/>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1:75" x14ac:dyDescent="0.25">
      <c r="A180" s="2"/>
      <c r="B180" s="2"/>
      <c r="C180" s="2"/>
      <c r="D180" s="2"/>
      <c r="E180" s="3"/>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1:75" x14ac:dyDescent="0.25">
      <c r="A181" s="2"/>
      <c r="B181" s="2"/>
      <c r="C181" s="2"/>
      <c r="D181" s="2"/>
      <c r="E181" s="3"/>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1:75" x14ac:dyDescent="0.25">
      <c r="A182" s="4"/>
      <c r="B182" s="2"/>
      <c r="C182" s="2"/>
      <c r="D182" s="2"/>
      <c r="E182" s="3"/>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1:75" x14ac:dyDescent="0.25">
      <c r="A183" s="19"/>
      <c r="B183" s="2"/>
      <c r="C183" s="2"/>
      <c r="D183" s="2"/>
      <c r="E183" s="3"/>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1:75" x14ac:dyDescent="0.25">
      <c r="A184" s="19"/>
      <c r="B184" s="2"/>
      <c r="C184" s="2"/>
      <c r="D184" s="2"/>
      <c r="E184" s="3"/>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1:75" x14ac:dyDescent="0.25">
      <c r="A185" s="19"/>
      <c r="B185" s="2"/>
      <c r="C185" s="2"/>
      <c r="D185" s="2"/>
      <c r="E185" s="3"/>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1:75" x14ac:dyDescent="0.25">
      <c r="A186" s="19"/>
      <c r="B186" s="2"/>
      <c r="C186" s="2"/>
      <c r="D186" s="2"/>
      <c r="E186" s="3"/>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1:75" x14ac:dyDescent="0.25">
      <c r="A187" s="19"/>
      <c r="B187" s="2"/>
      <c r="C187" s="2"/>
      <c r="D187" s="2"/>
      <c r="E187" s="3"/>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1:75" x14ac:dyDescent="0.25">
      <c r="A188" s="19"/>
      <c r="B188" s="2"/>
      <c r="C188" s="2"/>
      <c r="D188" s="2"/>
      <c r="E188" s="3"/>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1:75" x14ac:dyDescent="0.25">
      <c r="A189" s="19"/>
      <c r="B189" s="2"/>
      <c r="C189" s="2"/>
      <c r="D189" s="2"/>
      <c r="E189" s="3"/>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1:75" x14ac:dyDescent="0.25">
      <c r="A190" s="19"/>
      <c r="B190" s="2"/>
      <c r="C190" s="2"/>
      <c r="D190" s="2"/>
      <c r="E190" s="3"/>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1:75" x14ac:dyDescent="0.25">
      <c r="A191" s="19"/>
      <c r="B191" s="2"/>
      <c r="C191" s="2"/>
      <c r="D191" s="2"/>
      <c r="E191" s="3"/>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1:75" x14ac:dyDescent="0.25">
      <c r="A192" s="19"/>
      <c r="B192" s="2"/>
      <c r="C192" s="2"/>
      <c r="D192" s="2"/>
      <c r="E192" s="3"/>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1:75" x14ac:dyDescent="0.25">
      <c r="A193" s="19"/>
      <c r="B193" s="2"/>
      <c r="C193" s="2"/>
      <c r="D193" s="2"/>
      <c r="E193" s="3"/>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1:75" x14ac:dyDescent="0.25">
      <c r="A194" s="19"/>
      <c r="B194" s="2"/>
      <c r="C194" s="2"/>
      <c r="D194" s="2"/>
      <c r="E194" s="3"/>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1:75" x14ac:dyDescent="0.25">
      <c r="A195" s="19"/>
      <c r="B195" s="2"/>
      <c r="C195" s="2"/>
      <c r="D195" s="2"/>
      <c r="E195" s="3"/>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1:75" x14ac:dyDescent="0.25">
      <c r="A196" s="19"/>
      <c r="B196" s="2"/>
      <c r="C196" s="2"/>
      <c r="D196" s="2"/>
      <c r="E196" s="3"/>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1:75" x14ac:dyDescent="0.25">
      <c r="A197" s="19"/>
      <c r="B197" s="2"/>
      <c r="C197" s="2"/>
      <c r="D197" s="2"/>
      <c r="E197" s="3"/>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1:75" x14ac:dyDescent="0.25">
      <c r="A198" s="19"/>
      <c r="B198" s="2"/>
      <c r="C198" s="2"/>
      <c r="D198" s="2"/>
      <c r="E198" s="3"/>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1:75" x14ac:dyDescent="0.25">
      <c r="A199" s="19"/>
      <c r="B199" s="2"/>
      <c r="C199" s="2"/>
      <c r="D199" s="2"/>
      <c r="E199" s="3"/>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1:75" x14ac:dyDescent="0.25">
      <c r="A200" s="19"/>
      <c r="B200" s="2"/>
      <c r="C200" s="2"/>
      <c r="D200" s="2"/>
      <c r="E200" s="3"/>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1:75" x14ac:dyDescent="0.25">
      <c r="A201" s="19"/>
      <c r="B201" s="2"/>
      <c r="C201" s="2"/>
      <c r="D201" s="2"/>
      <c r="E201" s="3"/>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1:75" x14ac:dyDescent="0.25">
      <c r="A202" s="19"/>
      <c r="B202" s="2"/>
      <c r="C202" s="2"/>
      <c r="D202" s="2"/>
      <c r="E202" s="3"/>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1:75" x14ac:dyDescent="0.25">
      <c r="A203" s="19"/>
      <c r="B203" s="2"/>
      <c r="C203" s="2"/>
      <c r="D203" s="2"/>
      <c r="E203" s="3"/>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1:75" x14ac:dyDescent="0.25">
      <c r="A204" s="19"/>
      <c r="B204" s="2"/>
      <c r="C204" s="2"/>
      <c r="D204" s="2"/>
      <c r="E204" s="3"/>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1:75" x14ac:dyDescent="0.25">
      <c r="A205" s="19"/>
      <c r="B205" s="2"/>
      <c r="C205" s="2"/>
      <c r="D205" s="2"/>
      <c r="E205" s="3"/>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1:75" x14ac:dyDescent="0.25">
      <c r="A206" s="19"/>
      <c r="B206" s="2"/>
      <c r="C206" s="2"/>
      <c r="D206" s="2"/>
      <c r="E206" s="3"/>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1:75" x14ac:dyDescent="0.25">
      <c r="A207" s="19"/>
      <c r="B207" s="2"/>
      <c r="C207" s="2"/>
      <c r="D207" s="2"/>
      <c r="E207" s="3"/>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1:75" x14ac:dyDescent="0.25">
      <c r="A208" s="19"/>
      <c r="B208" s="2"/>
      <c r="C208" s="2"/>
      <c r="D208" s="2"/>
      <c r="E208" s="3"/>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1:75" x14ac:dyDescent="0.25">
      <c r="A209" s="19"/>
      <c r="B209" s="2"/>
      <c r="C209" s="2"/>
      <c r="D209" s="2"/>
      <c r="E209" s="3"/>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1:75" x14ac:dyDescent="0.25">
      <c r="A210" s="19"/>
      <c r="B210" s="2"/>
      <c r="C210" s="2"/>
      <c r="D210" s="2"/>
      <c r="E210" s="3"/>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1:75" x14ac:dyDescent="0.25">
      <c r="A211" s="19"/>
      <c r="B211" s="2"/>
      <c r="C211" s="2"/>
      <c r="D211" s="2"/>
      <c r="E211" s="3"/>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1:75" x14ac:dyDescent="0.25">
      <c r="A212" s="19"/>
      <c r="B212" s="2"/>
      <c r="C212" s="2"/>
      <c r="D212" s="2"/>
      <c r="E212" s="3"/>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1:75" x14ac:dyDescent="0.25">
      <c r="A213" s="19"/>
      <c r="B213" s="2"/>
      <c r="C213" s="2"/>
      <c r="D213" s="2"/>
      <c r="E213" s="3"/>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1:75" x14ac:dyDescent="0.25">
      <c r="A214" s="19"/>
      <c r="B214" s="2"/>
      <c r="C214" s="2"/>
      <c r="D214" s="2"/>
      <c r="E214" s="3"/>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1:75" x14ac:dyDescent="0.25">
      <c r="A215" s="19"/>
      <c r="B215" s="2"/>
      <c r="C215" s="2"/>
      <c r="D215" s="2"/>
      <c r="E215" s="3"/>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1:75" x14ac:dyDescent="0.25">
      <c r="A216" s="19"/>
      <c r="B216" s="2"/>
      <c r="C216" s="2"/>
      <c r="D216" s="2"/>
      <c r="E216" s="3"/>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1:75" x14ac:dyDescent="0.25">
      <c r="A217" s="19"/>
      <c r="B217" s="2"/>
      <c r="C217" s="2"/>
      <c r="D217" s="2"/>
      <c r="E217" s="3"/>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1:75" x14ac:dyDescent="0.25">
      <c r="A218" s="19"/>
      <c r="B218" s="2"/>
      <c r="C218" s="2"/>
      <c r="D218" s="2"/>
      <c r="E218" s="3"/>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1:75" x14ac:dyDescent="0.25">
      <c r="A219" s="19"/>
      <c r="B219" s="2"/>
      <c r="C219" s="2"/>
      <c r="D219" s="2"/>
      <c r="E219" s="3"/>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1:75" x14ac:dyDescent="0.25">
      <c r="A220" s="19"/>
      <c r="B220" s="2"/>
      <c r="C220" s="2"/>
      <c r="D220" s="2"/>
      <c r="E220" s="3"/>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1:75" x14ac:dyDescent="0.25">
      <c r="A221" s="19"/>
      <c r="B221" s="2"/>
      <c r="C221" s="2"/>
      <c r="D221" s="2"/>
      <c r="E221" s="3"/>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1:75" x14ac:dyDescent="0.25">
      <c r="A222" s="19"/>
      <c r="B222" s="2"/>
      <c r="C222" s="2"/>
      <c r="D222" s="2"/>
      <c r="E222" s="3"/>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1:75" x14ac:dyDescent="0.25">
      <c r="A223" s="19"/>
      <c r="B223" s="2"/>
      <c r="C223" s="2"/>
      <c r="D223" s="2"/>
      <c r="E223" s="3"/>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1:75" x14ac:dyDescent="0.25">
      <c r="A224" s="19"/>
      <c r="B224" s="2"/>
      <c r="C224" s="2"/>
      <c r="D224" s="2"/>
      <c r="E224" s="3"/>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1:75" x14ac:dyDescent="0.25">
      <c r="A225" s="19"/>
      <c r="B225" s="2"/>
      <c r="C225" s="2"/>
      <c r="D225" s="2"/>
      <c r="E225" s="3"/>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1:75" x14ac:dyDescent="0.25">
      <c r="B226" s="1"/>
      <c r="C226" s="1"/>
      <c r="D226" s="1"/>
      <c r="E226" s="20"/>
      <c r="F226" s="4"/>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1:75" x14ac:dyDescent="0.25">
      <c r="F227" s="19"/>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1:75" x14ac:dyDescent="0.25">
      <c r="F228" s="19"/>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1:75" x14ac:dyDescent="0.25">
      <c r="F229" s="19"/>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1:75" x14ac:dyDescent="0.25">
      <c r="F230" s="19"/>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1:75" x14ac:dyDescent="0.25">
      <c r="F231" s="19"/>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1:75" x14ac:dyDescent="0.25">
      <c r="F232" s="19"/>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1:75" x14ac:dyDescent="0.25">
      <c r="F233" s="19"/>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1:75" x14ac:dyDescent="0.25">
      <c r="F234" s="19"/>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1:75" x14ac:dyDescent="0.25">
      <c r="F235" s="19"/>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1:75" x14ac:dyDescent="0.25">
      <c r="F236" s="19"/>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1:75" x14ac:dyDescent="0.25">
      <c r="F237" s="19"/>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1:75" x14ac:dyDescent="0.25">
      <c r="F238" s="19"/>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1:75" x14ac:dyDescent="0.25">
      <c r="F239" s="19"/>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1:75" x14ac:dyDescent="0.25">
      <c r="F240" s="19"/>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6:75" x14ac:dyDescent="0.25">
      <c r="F241" s="19"/>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6:75" x14ac:dyDescent="0.25">
      <c r="F242" s="19"/>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6:75" x14ac:dyDescent="0.25">
      <c r="F243" s="19"/>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6:75" x14ac:dyDescent="0.25">
      <c r="F244" s="19"/>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6:75" x14ac:dyDescent="0.25">
      <c r="F245" s="19"/>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sheetData>
  <sheetProtection password="A91D" sheet="1" objects="1" scenarios="1" selectLockedCells="1"/>
  <mergeCells count="11">
    <mergeCell ref="C26:E26"/>
    <mergeCell ref="C22:F25"/>
    <mergeCell ref="A1:D1"/>
    <mergeCell ref="A3:D3"/>
    <mergeCell ref="C4:D4"/>
    <mergeCell ref="A5:D5"/>
    <mergeCell ref="A6:D6"/>
    <mergeCell ref="A7:D11"/>
    <mergeCell ref="A12:D16"/>
    <mergeCell ref="A17:D17"/>
    <mergeCell ref="A18:D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40"/>
  <sheetViews>
    <sheetView workbookViewId="0">
      <selection activeCell="Z19" sqref="Z19"/>
    </sheetView>
  </sheetViews>
  <sheetFormatPr defaultRowHeight="15" x14ac:dyDescent="0.25"/>
  <cols>
    <col min="1" max="16384" width="9.140625" style="43"/>
  </cols>
  <sheetData>
    <row r="2" spans="2:22" ht="31.5" x14ac:dyDescent="0.5">
      <c r="B2" s="124" t="s">
        <v>140</v>
      </c>
      <c r="C2" s="124"/>
      <c r="D2" s="124"/>
      <c r="E2" s="124"/>
      <c r="F2" s="124"/>
      <c r="G2" s="124"/>
      <c r="H2" s="124"/>
      <c r="I2" s="124"/>
      <c r="J2" s="124"/>
      <c r="K2" s="124"/>
      <c r="L2" s="124"/>
      <c r="M2" s="124"/>
      <c r="N2" s="124"/>
      <c r="O2" s="124"/>
      <c r="P2" s="124"/>
      <c r="Q2" s="124"/>
      <c r="R2" s="124"/>
      <c r="S2" s="124"/>
      <c r="T2" s="124"/>
      <c r="U2" s="124"/>
      <c r="V2" s="124"/>
    </row>
    <row r="3" spans="2:22" ht="15.75" thickBot="1" x14ac:dyDescent="0.3"/>
    <row r="4" spans="2:22" x14ac:dyDescent="0.25">
      <c r="B4" s="56"/>
      <c r="C4" s="57"/>
      <c r="D4" s="57"/>
      <c r="E4" s="57"/>
      <c r="F4" s="57"/>
      <c r="G4" s="57"/>
      <c r="H4" s="57"/>
      <c r="I4" s="57"/>
      <c r="J4" s="57"/>
      <c r="K4" s="57"/>
      <c r="L4" s="57"/>
      <c r="M4" s="57"/>
      <c r="N4" s="57"/>
      <c r="O4" s="57"/>
      <c r="P4" s="57"/>
      <c r="Q4" s="57"/>
      <c r="R4" s="57"/>
      <c r="S4" s="57"/>
      <c r="T4" s="57"/>
      <c r="U4" s="57"/>
      <c r="V4" s="58"/>
    </row>
    <row r="5" spans="2:22" x14ac:dyDescent="0.25">
      <c r="B5" s="59"/>
      <c r="C5" s="60"/>
      <c r="D5" s="60"/>
      <c r="E5" s="60"/>
      <c r="F5" s="60"/>
      <c r="G5" s="60"/>
      <c r="H5" s="60"/>
      <c r="I5" s="60"/>
      <c r="J5" s="60"/>
      <c r="K5" s="60"/>
      <c r="L5" s="60"/>
      <c r="M5" s="60"/>
      <c r="N5" s="60"/>
      <c r="O5" s="60"/>
      <c r="P5" s="60"/>
      <c r="Q5" s="60"/>
      <c r="R5" s="60"/>
      <c r="S5" s="60"/>
      <c r="T5" s="60"/>
      <c r="U5" s="60"/>
      <c r="V5" s="61"/>
    </row>
    <row r="6" spans="2:22" x14ac:dyDescent="0.25">
      <c r="B6" s="59"/>
      <c r="C6" s="60"/>
      <c r="D6" s="60"/>
      <c r="E6" s="60"/>
      <c r="F6" s="60"/>
      <c r="G6" s="60"/>
      <c r="H6" s="60"/>
      <c r="I6" s="60"/>
      <c r="J6" s="60"/>
      <c r="K6" s="60"/>
      <c r="L6" s="60"/>
      <c r="M6" s="60"/>
      <c r="N6" s="60"/>
      <c r="O6" s="60"/>
      <c r="P6" s="60"/>
      <c r="Q6" s="60"/>
      <c r="R6" s="60"/>
      <c r="S6" s="60"/>
      <c r="T6" s="60"/>
      <c r="U6" s="60"/>
      <c r="V6" s="61"/>
    </row>
    <row r="7" spans="2:22" x14ac:dyDescent="0.25">
      <c r="B7" s="59"/>
      <c r="C7" s="60"/>
      <c r="D7" s="60"/>
      <c r="E7" s="60"/>
      <c r="F7" s="60"/>
      <c r="G7" s="60"/>
      <c r="H7" s="60"/>
      <c r="I7" s="60"/>
      <c r="J7" s="60"/>
      <c r="K7" s="60"/>
      <c r="L7" s="60"/>
      <c r="M7" s="60"/>
      <c r="N7" s="60"/>
      <c r="O7" s="60"/>
      <c r="P7" s="60"/>
      <c r="Q7" s="60"/>
      <c r="R7" s="60"/>
      <c r="S7" s="60"/>
      <c r="T7" s="60"/>
      <c r="U7" s="60"/>
      <c r="V7" s="61"/>
    </row>
    <row r="8" spans="2:22" x14ac:dyDescent="0.25">
      <c r="B8" s="59"/>
      <c r="C8" s="60"/>
      <c r="D8" s="60"/>
      <c r="E8" s="60"/>
      <c r="F8" s="60"/>
      <c r="G8" s="60"/>
      <c r="H8" s="60"/>
      <c r="I8" s="60"/>
      <c r="J8" s="60"/>
      <c r="K8" s="60"/>
      <c r="L8" s="60"/>
      <c r="M8" s="60"/>
      <c r="N8" s="60"/>
      <c r="O8" s="60"/>
      <c r="P8" s="60"/>
      <c r="Q8" s="60"/>
      <c r="R8" s="60"/>
      <c r="S8" s="60"/>
      <c r="T8" s="60"/>
      <c r="U8" s="60"/>
      <c r="V8" s="61"/>
    </row>
    <row r="9" spans="2:22" x14ac:dyDescent="0.25">
      <c r="B9" s="59"/>
      <c r="C9" s="60"/>
      <c r="D9" s="60"/>
      <c r="E9" s="60"/>
      <c r="F9" s="60"/>
      <c r="G9" s="60"/>
      <c r="H9" s="60"/>
      <c r="I9" s="60"/>
      <c r="J9" s="60"/>
      <c r="K9" s="60"/>
      <c r="L9" s="60"/>
      <c r="M9" s="60"/>
      <c r="N9" s="60"/>
      <c r="O9" s="60"/>
      <c r="P9" s="60"/>
      <c r="Q9" s="60"/>
      <c r="R9" s="60"/>
      <c r="S9" s="60"/>
      <c r="T9" s="60"/>
      <c r="U9" s="60"/>
      <c r="V9" s="61"/>
    </row>
    <row r="10" spans="2:22" x14ac:dyDescent="0.25">
      <c r="B10" s="59"/>
      <c r="C10" s="60"/>
      <c r="D10" s="60"/>
      <c r="E10" s="60"/>
      <c r="F10" s="60"/>
      <c r="G10" s="60"/>
      <c r="H10" s="60"/>
      <c r="I10" s="60"/>
      <c r="J10" s="60"/>
      <c r="K10" s="60"/>
      <c r="L10" s="60"/>
      <c r="M10" s="60"/>
      <c r="N10" s="60"/>
      <c r="O10" s="60"/>
      <c r="P10" s="60"/>
      <c r="Q10" s="60"/>
      <c r="R10" s="60"/>
      <c r="S10" s="60"/>
      <c r="T10" s="60"/>
      <c r="U10" s="60"/>
      <c r="V10" s="61"/>
    </row>
    <row r="11" spans="2:22" x14ac:dyDescent="0.25">
      <c r="B11" s="59"/>
      <c r="C11" s="60"/>
      <c r="D11" s="60"/>
      <c r="E11" s="60"/>
      <c r="F11" s="60"/>
      <c r="G11" s="60"/>
      <c r="H11" s="60"/>
      <c r="I11" s="60"/>
      <c r="J11" s="60"/>
      <c r="K11" s="60"/>
      <c r="L11" s="60"/>
      <c r="M11" s="60"/>
      <c r="N11" s="60"/>
      <c r="O11" s="60"/>
      <c r="P11" s="60"/>
      <c r="Q11" s="60"/>
      <c r="R11" s="60"/>
      <c r="S11" s="60"/>
      <c r="T11" s="60"/>
      <c r="U11" s="60"/>
      <c r="V11" s="61"/>
    </row>
    <row r="12" spans="2:22" x14ac:dyDescent="0.25">
      <c r="B12" s="59"/>
      <c r="C12" s="60"/>
      <c r="D12" s="60"/>
      <c r="E12" s="60"/>
      <c r="F12" s="60"/>
      <c r="G12" s="60"/>
      <c r="H12" s="60"/>
      <c r="I12" s="60"/>
      <c r="J12" s="60"/>
      <c r="K12" s="60"/>
      <c r="L12" s="60"/>
      <c r="M12" s="60"/>
      <c r="N12" s="60"/>
      <c r="O12" s="60"/>
      <c r="P12" s="60"/>
      <c r="Q12" s="60"/>
      <c r="R12" s="60"/>
      <c r="S12" s="60"/>
      <c r="T12" s="60"/>
      <c r="U12" s="60"/>
      <c r="V12" s="61"/>
    </row>
    <row r="13" spans="2:22" x14ac:dyDescent="0.25">
      <c r="B13" s="59"/>
      <c r="C13" s="60"/>
      <c r="D13" s="60"/>
      <c r="E13" s="60"/>
      <c r="F13" s="60"/>
      <c r="G13" s="60"/>
      <c r="H13" s="60"/>
      <c r="I13" s="60"/>
      <c r="J13" s="60"/>
      <c r="K13" s="60"/>
      <c r="L13" s="60"/>
      <c r="M13" s="60"/>
      <c r="N13" s="60"/>
      <c r="O13" s="60"/>
      <c r="P13" s="60"/>
      <c r="Q13" s="60"/>
      <c r="R13" s="60"/>
      <c r="S13" s="60"/>
      <c r="T13" s="60"/>
      <c r="U13" s="60"/>
      <c r="V13" s="61"/>
    </row>
    <row r="14" spans="2:22" x14ac:dyDescent="0.25">
      <c r="B14" s="59"/>
      <c r="C14" s="60"/>
      <c r="D14" s="60"/>
      <c r="E14" s="60"/>
      <c r="F14" s="60"/>
      <c r="G14" s="60"/>
      <c r="H14" s="60"/>
      <c r="I14" s="60"/>
      <c r="J14" s="60"/>
      <c r="K14" s="60"/>
      <c r="L14" s="60"/>
      <c r="M14" s="60"/>
      <c r="N14" s="60"/>
      <c r="O14" s="60"/>
      <c r="P14" s="60"/>
      <c r="Q14" s="60"/>
      <c r="R14" s="60"/>
      <c r="S14" s="60"/>
      <c r="T14" s="60"/>
      <c r="U14" s="60"/>
      <c r="V14" s="61"/>
    </row>
    <row r="15" spans="2:22" x14ac:dyDescent="0.25">
      <c r="B15" s="59"/>
      <c r="C15" s="60"/>
      <c r="D15" s="60"/>
      <c r="E15" s="60"/>
      <c r="F15" s="60"/>
      <c r="G15" s="60"/>
      <c r="H15" s="60"/>
      <c r="I15" s="60"/>
      <c r="J15" s="60"/>
      <c r="K15" s="60"/>
      <c r="L15" s="60"/>
      <c r="M15" s="60"/>
      <c r="N15" s="60"/>
      <c r="O15" s="60"/>
      <c r="P15" s="60"/>
      <c r="Q15" s="60"/>
      <c r="R15" s="60"/>
      <c r="S15" s="60"/>
      <c r="T15" s="60"/>
      <c r="U15" s="60"/>
      <c r="V15" s="61"/>
    </row>
    <row r="16" spans="2:22" x14ac:dyDescent="0.25">
      <c r="B16" s="59"/>
      <c r="C16" s="60"/>
      <c r="D16" s="60"/>
      <c r="E16" s="60"/>
      <c r="F16" s="60"/>
      <c r="G16" s="60"/>
      <c r="H16" s="60"/>
      <c r="I16" s="60"/>
      <c r="J16" s="60"/>
      <c r="K16" s="60"/>
      <c r="L16" s="60"/>
      <c r="M16" s="60"/>
      <c r="N16" s="60"/>
      <c r="O16" s="60"/>
      <c r="P16" s="60"/>
      <c r="Q16" s="60"/>
      <c r="R16" s="60"/>
      <c r="S16" s="60"/>
      <c r="T16" s="60"/>
      <c r="U16" s="60"/>
      <c r="V16" s="61"/>
    </row>
    <row r="17" spans="2:22" x14ac:dyDescent="0.25">
      <c r="B17" s="59"/>
      <c r="C17" s="60"/>
      <c r="D17" s="60"/>
      <c r="E17" s="60"/>
      <c r="F17" s="60"/>
      <c r="G17" s="60"/>
      <c r="H17" s="60"/>
      <c r="I17" s="60"/>
      <c r="J17" s="60"/>
      <c r="K17" s="60"/>
      <c r="L17" s="60"/>
      <c r="M17" s="60"/>
      <c r="N17" s="60"/>
      <c r="O17" s="60"/>
      <c r="P17" s="60"/>
      <c r="Q17" s="60"/>
      <c r="R17" s="60"/>
      <c r="S17" s="60"/>
      <c r="T17" s="60"/>
      <c r="U17" s="60"/>
      <c r="V17" s="61"/>
    </row>
    <row r="18" spans="2:22" x14ac:dyDescent="0.25">
      <c r="B18" s="59"/>
      <c r="C18" s="60"/>
      <c r="D18" s="60"/>
      <c r="E18" s="60"/>
      <c r="F18" s="60"/>
      <c r="G18" s="60"/>
      <c r="H18" s="60"/>
      <c r="I18" s="60"/>
      <c r="J18" s="60"/>
      <c r="K18" s="60"/>
      <c r="L18" s="60"/>
      <c r="M18" s="60"/>
      <c r="N18" s="60"/>
      <c r="O18" s="60"/>
      <c r="P18" s="60"/>
      <c r="Q18" s="60"/>
      <c r="R18" s="60"/>
      <c r="S18" s="60"/>
      <c r="T18" s="60"/>
      <c r="U18" s="60"/>
      <c r="V18" s="61"/>
    </row>
    <row r="19" spans="2:22" x14ac:dyDescent="0.25">
      <c r="B19" s="59"/>
      <c r="C19" s="60"/>
      <c r="D19" s="60"/>
      <c r="E19" s="60"/>
      <c r="F19" s="60"/>
      <c r="G19" s="60"/>
      <c r="H19" s="60"/>
      <c r="I19" s="60"/>
      <c r="J19" s="60"/>
      <c r="K19" s="60"/>
      <c r="L19" s="60"/>
      <c r="M19" s="60"/>
      <c r="N19" s="60"/>
      <c r="O19" s="60"/>
      <c r="P19" s="60"/>
      <c r="Q19" s="60"/>
      <c r="R19" s="60"/>
      <c r="S19" s="60"/>
      <c r="T19" s="60"/>
      <c r="U19" s="60"/>
      <c r="V19" s="61"/>
    </row>
    <row r="20" spans="2:22" x14ac:dyDescent="0.25">
      <c r="B20" s="59"/>
      <c r="C20" s="60"/>
      <c r="D20" s="60"/>
      <c r="E20" s="60"/>
      <c r="F20" s="60"/>
      <c r="G20" s="60"/>
      <c r="H20" s="60"/>
      <c r="I20" s="60"/>
      <c r="J20" s="60"/>
      <c r="K20" s="60"/>
      <c r="L20" s="60"/>
      <c r="M20" s="60"/>
      <c r="N20" s="60"/>
      <c r="O20" s="60"/>
      <c r="P20" s="60"/>
      <c r="Q20" s="60"/>
      <c r="R20" s="60"/>
      <c r="S20" s="60"/>
      <c r="T20" s="60"/>
      <c r="U20" s="60"/>
      <c r="V20" s="61"/>
    </row>
    <row r="21" spans="2:22" x14ac:dyDescent="0.25">
      <c r="B21" s="59"/>
      <c r="C21" s="60"/>
      <c r="D21" s="60"/>
      <c r="E21" s="60"/>
      <c r="F21" s="60"/>
      <c r="G21" s="60"/>
      <c r="H21" s="60"/>
      <c r="I21" s="60"/>
      <c r="J21" s="60"/>
      <c r="K21" s="60"/>
      <c r="L21" s="60"/>
      <c r="M21" s="60"/>
      <c r="N21" s="60"/>
      <c r="O21" s="60"/>
      <c r="P21" s="60"/>
      <c r="Q21" s="60"/>
      <c r="R21" s="60"/>
      <c r="S21" s="60"/>
      <c r="T21" s="60"/>
      <c r="U21" s="60"/>
      <c r="V21" s="61"/>
    </row>
    <row r="22" spans="2:22" x14ac:dyDescent="0.25">
      <c r="B22" s="59"/>
      <c r="C22" s="60"/>
      <c r="D22" s="60"/>
      <c r="E22" s="60"/>
      <c r="F22" s="60"/>
      <c r="G22" s="60"/>
      <c r="H22" s="60"/>
      <c r="I22" s="60"/>
      <c r="J22" s="60"/>
      <c r="K22" s="60"/>
      <c r="L22" s="60"/>
      <c r="M22" s="60"/>
      <c r="N22" s="60"/>
      <c r="O22" s="60"/>
      <c r="P22" s="60"/>
      <c r="Q22" s="60"/>
      <c r="R22" s="60"/>
      <c r="S22" s="60"/>
      <c r="T22" s="60"/>
      <c r="U22" s="60"/>
      <c r="V22" s="61"/>
    </row>
    <row r="23" spans="2:22" x14ac:dyDescent="0.25">
      <c r="B23" s="59"/>
      <c r="C23" s="60"/>
      <c r="D23" s="60"/>
      <c r="E23" s="60"/>
      <c r="F23" s="60"/>
      <c r="G23" s="60"/>
      <c r="H23" s="60"/>
      <c r="I23" s="60"/>
      <c r="J23" s="60"/>
      <c r="K23" s="60"/>
      <c r="L23" s="60"/>
      <c r="M23" s="60"/>
      <c r="N23" s="60"/>
      <c r="O23" s="60"/>
      <c r="P23" s="60"/>
      <c r="Q23" s="60"/>
      <c r="R23" s="60"/>
      <c r="S23" s="60"/>
      <c r="T23" s="60"/>
      <c r="U23" s="60"/>
      <c r="V23" s="61"/>
    </row>
    <row r="24" spans="2:22" x14ac:dyDescent="0.25">
      <c r="B24" s="59"/>
      <c r="C24" s="60"/>
      <c r="D24" s="60"/>
      <c r="E24" s="60"/>
      <c r="F24" s="60"/>
      <c r="G24" s="60"/>
      <c r="H24" s="60"/>
      <c r="I24" s="60"/>
      <c r="J24" s="60"/>
      <c r="K24" s="60"/>
      <c r="L24" s="60"/>
      <c r="M24" s="60"/>
      <c r="N24" s="60"/>
      <c r="O24" s="60"/>
      <c r="P24" s="60"/>
      <c r="Q24" s="60"/>
      <c r="R24" s="60"/>
      <c r="S24" s="60"/>
      <c r="T24" s="60"/>
      <c r="U24" s="60"/>
      <c r="V24" s="61"/>
    </row>
    <row r="25" spans="2:22" x14ac:dyDescent="0.25">
      <c r="B25" s="59"/>
      <c r="C25" s="60"/>
      <c r="D25" s="60"/>
      <c r="E25" s="60"/>
      <c r="F25" s="60"/>
      <c r="G25" s="60"/>
      <c r="H25" s="60"/>
      <c r="I25" s="60"/>
      <c r="J25" s="60"/>
      <c r="K25" s="60"/>
      <c r="L25" s="60"/>
      <c r="M25" s="60"/>
      <c r="N25" s="60"/>
      <c r="O25" s="60"/>
      <c r="P25" s="60"/>
      <c r="Q25" s="60"/>
      <c r="R25" s="60"/>
      <c r="S25" s="60"/>
      <c r="T25" s="60"/>
      <c r="U25" s="60"/>
      <c r="V25" s="61"/>
    </row>
    <row r="26" spans="2:22" x14ac:dyDescent="0.25">
      <c r="B26" s="59"/>
      <c r="C26" s="60"/>
      <c r="D26" s="60"/>
      <c r="E26" s="60"/>
      <c r="F26" s="60"/>
      <c r="G26" s="60"/>
      <c r="H26" s="60"/>
      <c r="I26" s="60"/>
      <c r="J26" s="60"/>
      <c r="K26" s="60"/>
      <c r="L26" s="60"/>
      <c r="M26" s="60"/>
      <c r="N26" s="60"/>
      <c r="O26" s="60"/>
      <c r="P26" s="60"/>
      <c r="Q26" s="60"/>
      <c r="R26" s="60"/>
      <c r="S26" s="60"/>
      <c r="T26" s="60"/>
      <c r="U26" s="60"/>
      <c r="V26" s="61"/>
    </row>
    <row r="27" spans="2:22" x14ac:dyDescent="0.25">
      <c r="B27" s="59"/>
      <c r="C27" s="60"/>
      <c r="D27" s="60"/>
      <c r="E27" s="60"/>
      <c r="F27" s="60"/>
      <c r="G27" s="60"/>
      <c r="H27" s="60"/>
      <c r="I27" s="60"/>
      <c r="J27" s="60"/>
      <c r="K27" s="60"/>
      <c r="L27" s="60"/>
      <c r="M27" s="60"/>
      <c r="N27" s="60"/>
      <c r="O27" s="60"/>
      <c r="P27" s="60"/>
      <c r="Q27" s="60"/>
      <c r="R27" s="60"/>
      <c r="S27" s="60"/>
      <c r="T27" s="60"/>
      <c r="U27" s="60"/>
      <c r="V27" s="61"/>
    </row>
    <row r="28" spans="2:22" x14ac:dyDescent="0.25">
      <c r="B28" s="59"/>
      <c r="C28" s="60"/>
      <c r="D28" s="60"/>
      <c r="E28" s="60"/>
      <c r="F28" s="60"/>
      <c r="G28" s="60"/>
      <c r="H28" s="60"/>
      <c r="I28" s="60"/>
      <c r="J28" s="60"/>
      <c r="K28" s="60"/>
      <c r="L28" s="60"/>
      <c r="M28" s="60"/>
      <c r="N28" s="60"/>
      <c r="O28" s="60"/>
      <c r="P28" s="60"/>
      <c r="Q28" s="60"/>
      <c r="R28" s="60"/>
      <c r="S28" s="60"/>
      <c r="T28" s="60"/>
      <c r="U28" s="60"/>
      <c r="V28" s="61"/>
    </row>
    <row r="29" spans="2:22" x14ac:dyDescent="0.25">
      <c r="B29" s="59"/>
      <c r="C29" s="60"/>
      <c r="D29" s="60"/>
      <c r="E29" s="60"/>
      <c r="F29" s="60"/>
      <c r="G29" s="60"/>
      <c r="H29" s="60"/>
      <c r="I29" s="60"/>
      <c r="J29" s="60"/>
      <c r="K29" s="60"/>
      <c r="L29" s="60"/>
      <c r="M29" s="60"/>
      <c r="N29" s="60"/>
      <c r="O29" s="60"/>
      <c r="P29" s="60"/>
      <c r="Q29" s="60"/>
      <c r="R29" s="60"/>
      <c r="S29" s="60"/>
      <c r="T29" s="60"/>
      <c r="U29" s="60"/>
      <c r="V29" s="61"/>
    </row>
    <row r="30" spans="2:22" x14ac:dyDescent="0.25">
      <c r="B30" s="59"/>
      <c r="C30" s="60"/>
      <c r="D30" s="60"/>
      <c r="E30" s="60"/>
      <c r="F30" s="60"/>
      <c r="G30" s="60"/>
      <c r="H30" s="60"/>
      <c r="I30" s="60"/>
      <c r="J30" s="60"/>
      <c r="K30" s="60"/>
      <c r="L30" s="60"/>
      <c r="M30" s="60"/>
      <c r="N30" s="60"/>
      <c r="O30" s="60"/>
      <c r="P30" s="60"/>
      <c r="Q30" s="60"/>
      <c r="R30" s="60"/>
      <c r="S30" s="60"/>
      <c r="T30" s="60"/>
      <c r="U30" s="60"/>
      <c r="V30" s="61"/>
    </row>
    <row r="31" spans="2:22" x14ac:dyDescent="0.25">
      <c r="B31" s="59"/>
      <c r="C31" s="60"/>
      <c r="D31" s="60"/>
      <c r="E31" s="60"/>
      <c r="F31" s="60"/>
      <c r="G31" s="60"/>
      <c r="H31" s="60"/>
      <c r="I31" s="60"/>
      <c r="J31" s="60"/>
      <c r="K31" s="60"/>
      <c r="L31" s="60"/>
      <c r="M31" s="60"/>
      <c r="N31" s="60"/>
      <c r="O31" s="60"/>
      <c r="P31" s="60"/>
      <c r="Q31" s="60"/>
      <c r="R31" s="60"/>
      <c r="S31" s="60"/>
      <c r="T31" s="60"/>
      <c r="U31" s="60"/>
      <c r="V31" s="61"/>
    </row>
    <row r="32" spans="2:22" x14ac:dyDescent="0.25">
      <c r="B32" s="59"/>
      <c r="C32" s="60"/>
      <c r="D32" s="60"/>
      <c r="E32" s="60"/>
      <c r="F32" s="60"/>
      <c r="G32" s="60"/>
      <c r="H32" s="60"/>
      <c r="I32" s="60"/>
      <c r="J32" s="60"/>
      <c r="K32" s="60"/>
      <c r="L32" s="60"/>
      <c r="M32" s="60"/>
      <c r="N32" s="60"/>
      <c r="O32" s="60"/>
      <c r="P32" s="60"/>
      <c r="Q32" s="60"/>
      <c r="R32" s="60"/>
      <c r="S32" s="60"/>
      <c r="T32" s="60"/>
      <c r="U32" s="60"/>
      <c r="V32" s="61"/>
    </row>
    <row r="33" spans="2:22" x14ac:dyDescent="0.25">
      <c r="B33" s="59"/>
      <c r="C33" s="60"/>
      <c r="D33" s="60"/>
      <c r="E33" s="60"/>
      <c r="F33" s="60"/>
      <c r="G33" s="60"/>
      <c r="H33" s="60"/>
      <c r="I33" s="60"/>
      <c r="J33" s="60"/>
      <c r="K33" s="60"/>
      <c r="L33" s="60"/>
      <c r="M33" s="60"/>
      <c r="N33" s="60"/>
      <c r="O33" s="60"/>
      <c r="P33" s="60"/>
      <c r="Q33" s="60"/>
      <c r="R33" s="60"/>
      <c r="S33" s="60"/>
      <c r="T33" s="60"/>
      <c r="U33" s="60"/>
      <c r="V33" s="61"/>
    </row>
    <row r="34" spans="2:22" x14ac:dyDescent="0.25">
      <c r="B34" s="59"/>
      <c r="C34" s="60"/>
      <c r="D34" s="60"/>
      <c r="E34" s="60"/>
      <c r="F34" s="60"/>
      <c r="G34" s="60"/>
      <c r="H34" s="60"/>
      <c r="I34" s="60"/>
      <c r="J34" s="60"/>
      <c r="K34" s="60"/>
      <c r="L34" s="60"/>
      <c r="M34" s="60"/>
      <c r="N34" s="60"/>
      <c r="O34" s="60"/>
      <c r="P34" s="60"/>
      <c r="Q34" s="60"/>
      <c r="R34" s="60"/>
      <c r="S34" s="60"/>
      <c r="T34" s="60"/>
      <c r="U34" s="60"/>
      <c r="V34" s="61"/>
    </row>
    <row r="35" spans="2:22" x14ac:dyDescent="0.25">
      <c r="B35" s="59"/>
      <c r="C35" s="60"/>
      <c r="D35" s="60"/>
      <c r="E35" s="60"/>
      <c r="F35" s="60"/>
      <c r="G35" s="60"/>
      <c r="H35" s="60"/>
      <c r="I35" s="60"/>
      <c r="J35" s="60"/>
      <c r="K35" s="60"/>
      <c r="L35" s="60"/>
      <c r="M35" s="60"/>
      <c r="N35" s="60"/>
      <c r="O35" s="60"/>
      <c r="P35" s="60"/>
      <c r="Q35" s="60"/>
      <c r="R35" s="60"/>
      <c r="S35" s="60"/>
      <c r="T35" s="60"/>
      <c r="U35" s="60"/>
      <c r="V35" s="61"/>
    </row>
    <row r="36" spans="2:22" x14ac:dyDescent="0.25">
      <c r="B36" s="59"/>
      <c r="C36" s="60"/>
      <c r="D36" s="60"/>
      <c r="E36" s="60"/>
      <c r="F36" s="60"/>
      <c r="G36" s="60"/>
      <c r="H36" s="60"/>
      <c r="I36" s="60"/>
      <c r="J36" s="60"/>
      <c r="K36" s="60"/>
      <c r="L36" s="60"/>
      <c r="M36" s="60"/>
      <c r="N36" s="60"/>
      <c r="O36" s="60"/>
      <c r="P36" s="60"/>
      <c r="Q36" s="60"/>
      <c r="R36" s="60"/>
      <c r="S36" s="60"/>
      <c r="T36" s="60"/>
      <c r="U36" s="60"/>
      <c r="V36" s="61"/>
    </row>
    <row r="37" spans="2:22" x14ac:dyDescent="0.25">
      <c r="B37" s="59"/>
      <c r="C37" s="60"/>
      <c r="D37" s="60"/>
      <c r="E37" s="60"/>
      <c r="F37" s="60"/>
      <c r="G37" s="60"/>
      <c r="H37" s="60"/>
      <c r="I37" s="60"/>
      <c r="J37" s="60"/>
      <c r="K37" s="60"/>
      <c r="L37" s="60"/>
      <c r="M37" s="60"/>
      <c r="N37" s="60"/>
      <c r="O37" s="60"/>
      <c r="P37" s="60"/>
      <c r="Q37" s="60"/>
      <c r="R37" s="60"/>
      <c r="S37" s="60"/>
      <c r="T37" s="60"/>
      <c r="U37" s="60"/>
      <c r="V37" s="61"/>
    </row>
    <row r="38" spans="2:22" x14ac:dyDescent="0.25">
      <c r="B38" s="59"/>
      <c r="C38" s="60"/>
      <c r="D38" s="60"/>
      <c r="E38" s="60"/>
      <c r="F38" s="60"/>
      <c r="G38" s="60"/>
      <c r="H38" s="60"/>
      <c r="I38" s="60"/>
      <c r="J38" s="60"/>
      <c r="K38" s="60"/>
      <c r="L38" s="60"/>
      <c r="M38" s="60"/>
      <c r="N38" s="60"/>
      <c r="O38" s="60"/>
      <c r="P38" s="60"/>
      <c r="Q38" s="60"/>
      <c r="R38" s="60"/>
      <c r="S38" s="60"/>
      <c r="T38" s="60"/>
      <c r="U38" s="60"/>
      <c r="V38" s="61"/>
    </row>
    <row r="39" spans="2:22" x14ac:dyDescent="0.25">
      <c r="B39" s="59"/>
      <c r="C39" s="60"/>
      <c r="D39" s="60"/>
      <c r="E39" s="60"/>
      <c r="F39" s="60"/>
      <c r="G39" s="60"/>
      <c r="H39" s="60"/>
      <c r="I39" s="60"/>
      <c r="J39" s="60"/>
      <c r="K39" s="60"/>
      <c r="L39" s="60"/>
      <c r="M39" s="60"/>
      <c r="N39" s="60"/>
      <c r="O39" s="60"/>
      <c r="P39" s="60"/>
      <c r="Q39" s="60"/>
      <c r="R39" s="60"/>
      <c r="S39" s="60"/>
      <c r="T39" s="60"/>
      <c r="U39" s="60"/>
      <c r="V39" s="61"/>
    </row>
    <row r="40" spans="2:22" ht="15.75" thickBot="1" x14ac:dyDescent="0.3">
      <c r="B40" s="62"/>
      <c r="C40" s="63"/>
      <c r="D40" s="63"/>
      <c r="E40" s="63"/>
      <c r="F40" s="63"/>
      <c r="G40" s="63"/>
      <c r="H40" s="63"/>
      <c r="I40" s="63"/>
      <c r="J40" s="63"/>
      <c r="K40" s="63"/>
      <c r="L40" s="63"/>
      <c r="M40" s="63"/>
      <c r="N40" s="63"/>
      <c r="O40" s="63"/>
      <c r="P40" s="63"/>
      <c r="Q40" s="63"/>
      <c r="R40" s="63"/>
      <c r="S40" s="63"/>
      <c r="T40" s="63"/>
      <c r="U40" s="63"/>
      <c r="V40" s="64"/>
    </row>
  </sheetData>
  <sheetProtection password="A91D" sheet="1" objects="1" scenarios="1" selectLockedCells="1"/>
  <mergeCells count="1">
    <mergeCell ref="B2:V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11</vt:i4>
      </vt:variant>
    </vt:vector>
  </HeadingPairs>
  <TitlesOfParts>
    <vt:vector size="13" baseType="lpstr">
      <vt:lpstr>Calculations</vt:lpstr>
      <vt:lpstr>Typical Application</vt:lpstr>
      <vt:lpstr>Efficiency</vt:lpstr>
      <vt:lpstr>FLINEMIN</vt:lpstr>
      <vt:lpstr>fSWMIN</vt:lpstr>
      <vt:lpstr>LBOOST</vt:lpstr>
      <vt:lpstr>LBOOST_SEL</vt:lpstr>
      <vt:lpstr>PF</vt:lpstr>
      <vt:lpstr>POUT_MAX</vt:lpstr>
      <vt:lpstr>TOL_LB_PERCENT</vt:lpstr>
      <vt:lpstr>VINMAX</vt:lpstr>
      <vt:lpstr>VINMIN</vt:lpstr>
      <vt:lpstr>VOUT</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Stracquadaini, Rosario Davide</dc:creator>
  <cp:lastModifiedBy>Andrej Dobrovič</cp:lastModifiedBy>
  <dcterms:created xsi:type="dcterms:W3CDTF">2017-07-04T06:46:09Z</dcterms:created>
  <dcterms:modified xsi:type="dcterms:W3CDTF">2025-06-23T13:47:12Z</dcterms:modified>
</cp:coreProperties>
</file>