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uth\Desktop\"/>
    </mc:Choice>
  </mc:AlternateContent>
  <xr:revisionPtr revIDLastSave="0" documentId="13_ncr:1_{DA4BE212-D3CC-4952-BB09-EE5E672F8538}" xr6:coauthVersionLast="47" xr6:coauthVersionMax="47" xr10:uidLastSave="{00000000-0000-0000-0000-000000000000}"/>
  <bookViews>
    <workbookView xWindow="-108" yWindow="-108" windowWidth="23256" windowHeight="12576" xr2:uid="{1DC532B2-BC4F-4F48-95F0-DC04F9E775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1" l="1"/>
  <c r="B91" i="1"/>
  <c r="B20" i="1"/>
  <c r="B101" i="1"/>
  <c r="B138" i="1" l="1"/>
  <c r="B129" i="1"/>
  <c r="B131" i="1" s="1"/>
  <c r="B134" i="1" s="1"/>
  <c r="B135" i="1" s="1"/>
  <c r="B125" i="1"/>
  <c r="B126" i="1" s="1"/>
  <c r="B123" i="1"/>
  <c r="B83" i="1"/>
  <c r="B84" i="1" s="1"/>
  <c r="B86" i="1" s="1"/>
  <c r="B69" i="1"/>
  <c r="B62" i="1"/>
  <c r="B16" i="1"/>
  <c r="B46" i="1" s="1"/>
  <c r="B13" i="1"/>
  <c r="B35" i="1"/>
  <c r="B140" i="1" l="1"/>
  <c r="B54" i="1"/>
  <c r="B110" i="1"/>
  <c r="B109" i="1"/>
  <c r="B113" i="1" s="1"/>
  <c r="B88" i="1"/>
  <c r="B21" i="1" l="1"/>
  <c r="B56" i="1" s="1"/>
  <c r="B65" i="1" l="1"/>
  <c r="B48" i="1" s="1"/>
  <c r="B47" i="1"/>
  <c r="B22" i="1"/>
  <c r="B50" i="1"/>
  <c r="B49" i="1" l="1"/>
  <c r="B64" i="1"/>
  <c r="B63" i="1"/>
  <c r="B70" i="1"/>
  <c r="B51" i="1"/>
  <c r="B27" i="1"/>
  <c r="B42" i="1" s="1"/>
  <c r="B37" i="1"/>
  <c r="B96" i="1"/>
  <c r="B97" i="1" s="1"/>
  <c r="B28" i="1" l="1"/>
  <c r="B40" i="1" l="1"/>
  <c r="B41" i="1"/>
  <c r="B30" i="1"/>
  <c r="B55" i="1" s="1"/>
  <c r="B75" i="1" s="1"/>
  <c r="B76" i="1" s="1"/>
  <c r="B104" i="1"/>
  <c r="B29" i="1"/>
  <c r="B71" i="1" l="1"/>
  <c r="B103" i="1"/>
  <c r="B95" i="1"/>
</calcChain>
</file>

<file path=xl/sharedStrings.xml><?xml version="1.0" encoding="utf-8"?>
<sst xmlns="http://schemas.openxmlformats.org/spreadsheetml/2006/main" count="233" uniqueCount="165">
  <si>
    <t>INPUT TURN OFF VOLTAGE</t>
  </si>
  <si>
    <t>INPUT TURN ON VOLTAGE</t>
  </si>
  <si>
    <t>FULL LOAD EFFICIENCY</t>
  </si>
  <si>
    <t>OUTPUT VOLTAGE</t>
  </si>
  <si>
    <t>OUTPUT CURRENT</t>
  </si>
  <si>
    <t>CURRENT LIMIT</t>
  </si>
  <si>
    <t>SWITCHING FREQUENCY</t>
  </si>
  <si>
    <t>uH</t>
  </si>
  <si>
    <t>A</t>
  </si>
  <si>
    <t>khz</t>
  </si>
  <si>
    <t>V</t>
  </si>
  <si>
    <r>
      <t>L</t>
    </r>
    <r>
      <rPr>
        <sz val="8"/>
        <color theme="1"/>
        <rFont val="Calibri"/>
        <family val="2"/>
        <scheme val="minor"/>
      </rPr>
      <t>o</t>
    </r>
  </si>
  <si>
    <r>
      <t>D</t>
    </r>
    <r>
      <rPr>
        <sz val="8"/>
        <color theme="1"/>
        <rFont val="Calibri"/>
        <family val="2"/>
        <scheme val="minor"/>
      </rPr>
      <t>min</t>
    </r>
  </si>
  <si>
    <r>
      <t>ΔI</t>
    </r>
    <r>
      <rPr>
        <sz val="8"/>
        <color theme="1"/>
        <rFont val="Calibri"/>
        <family val="2"/>
      </rPr>
      <t>Lo</t>
    </r>
  </si>
  <si>
    <r>
      <t>D</t>
    </r>
    <r>
      <rPr>
        <sz val="8"/>
        <color theme="1"/>
        <rFont val="Calibri"/>
        <family val="2"/>
        <scheme val="minor"/>
      </rPr>
      <t>max</t>
    </r>
  </si>
  <si>
    <r>
      <t>A</t>
    </r>
    <r>
      <rPr>
        <sz val="8"/>
        <color theme="1"/>
        <rFont val="Calibri"/>
        <family val="2"/>
        <scheme val="minor"/>
      </rPr>
      <t>p-p</t>
    </r>
  </si>
  <si>
    <r>
      <t>I</t>
    </r>
    <r>
      <rPr>
        <sz val="8"/>
        <color theme="1"/>
        <rFont val="Calibri"/>
        <family val="2"/>
        <scheme val="minor"/>
      </rPr>
      <t>Lo(RMS)</t>
    </r>
  </si>
  <si>
    <r>
      <t>% Current ripple in L</t>
    </r>
    <r>
      <rPr>
        <sz val="8"/>
        <color theme="1"/>
        <rFont val="Calibri"/>
        <family val="2"/>
        <scheme val="minor"/>
      </rPr>
      <t>o</t>
    </r>
  </si>
  <si>
    <t>OUTPUT INDUCTOR</t>
  </si>
  <si>
    <t>BOOTSTRAP WINDING</t>
  </si>
  <si>
    <r>
      <t>N</t>
    </r>
    <r>
      <rPr>
        <sz val="8"/>
        <color theme="1"/>
        <rFont val="Calibri"/>
        <family val="2"/>
        <scheme val="minor"/>
      </rPr>
      <t>BOOT</t>
    </r>
  </si>
  <si>
    <r>
      <t>V</t>
    </r>
    <r>
      <rPr>
        <sz val="8"/>
        <color theme="1"/>
        <rFont val="Calibri"/>
        <family val="2"/>
        <scheme val="minor"/>
      </rPr>
      <t>dBOOT</t>
    </r>
  </si>
  <si>
    <r>
      <t>V</t>
    </r>
    <r>
      <rPr>
        <sz val="8"/>
        <color theme="1"/>
        <rFont val="Calibri"/>
        <family val="2"/>
        <scheme val="minor"/>
      </rPr>
      <t>BOOT</t>
    </r>
  </si>
  <si>
    <r>
      <t>C</t>
    </r>
    <r>
      <rPr>
        <sz val="8"/>
        <color theme="1"/>
        <rFont val="Calibri"/>
        <family val="2"/>
        <scheme val="minor"/>
      </rPr>
      <t>BOOT</t>
    </r>
  </si>
  <si>
    <r>
      <t>I</t>
    </r>
    <r>
      <rPr>
        <sz val="8"/>
        <color theme="1"/>
        <rFont val="Calibri"/>
        <family val="2"/>
        <scheme val="minor"/>
      </rPr>
      <t>START</t>
    </r>
  </si>
  <si>
    <t>mA</t>
  </si>
  <si>
    <t>N</t>
  </si>
  <si>
    <t>uF</t>
  </si>
  <si>
    <r>
      <t>ΔV</t>
    </r>
    <r>
      <rPr>
        <sz val="8"/>
        <color theme="1"/>
        <rFont val="Calibri"/>
        <family val="2"/>
      </rPr>
      <t>o</t>
    </r>
  </si>
  <si>
    <t>OUTPUT CAPACITOR</t>
  </si>
  <si>
    <t>UCC2891 ACTIVE CLAMP FORWARD CALCULATIONS</t>
  </si>
  <si>
    <r>
      <t>R</t>
    </r>
    <r>
      <rPr>
        <sz val="8"/>
        <color theme="1"/>
        <rFont val="Calibri"/>
        <family val="2"/>
        <scheme val="minor"/>
      </rPr>
      <t>esr(out)</t>
    </r>
  </si>
  <si>
    <t>ohm</t>
  </si>
  <si>
    <t>Ohm</t>
  </si>
  <si>
    <t>% Ripple in Output</t>
  </si>
  <si>
    <t>%</t>
  </si>
  <si>
    <r>
      <t>C</t>
    </r>
    <r>
      <rPr>
        <sz val="8"/>
        <color theme="1"/>
        <rFont val="Calibri"/>
        <family val="2"/>
        <scheme val="minor"/>
      </rPr>
      <t>o(min)</t>
    </r>
  </si>
  <si>
    <r>
      <t>C</t>
    </r>
    <r>
      <rPr>
        <sz val="8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</t>
    </r>
  </si>
  <si>
    <t>Synchronous Rectification</t>
  </si>
  <si>
    <r>
      <t>V</t>
    </r>
    <r>
      <rPr>
        <sz val="8"/>
        <color theme="1"/>
        <rFont val="Calibri"/>
        <family val="2"/>
        <scheme val="minor"/>
      </rPr>
      <t>s(min)</t>
    </r>
  </si>
  <si>
    <t>tr(main)</t>
  </si>
  <si>
    <t>tf(main)</t>
  </si>
  <si>
    <t>tdelay</t>
  </si>
  <si>
    <t>uS</t>
  </si>
  <si>
    <t>us</t>
  </si>
  <si>
    <t>Tsw</t>
  </si>
  <si>
    <t>From the datasheet of NMOS</t>
  </si>
  <si>
    <r>
      <t>I</t>
    </r>
    <r>
      <rPr>
        <sz val="8"/>
        <color theme="1"/>
        <rFont val="Calibri"/>
        <family val="2"/>
        <scheme val="minor"/>
      </rPr>
      <t>Lo(pk)</t>
    </r>
  </si>
  <si>
    <r>
      <t>A</t>
    </r>
    <r>
      <rPr>
        <sz val="8"/>
        <color theme="1"/>
        <rFont val="Calibri"/>
        <family val="2"/>
        <scheme val="minor"/>
      </rPr>
      <t>rms</t>
    </r>
  </si>
  <si>
    <r>
      <t>I</t>
    </r>
    <r>
      <rPr>
        <sz val="8"/>
        <color theme="1"/>
        <rFont val="Calibri"/>
        <family val="2"/>
        <scheme val="minor"/>
      </rPr>
      <t>qF(rms)</t>
    </r>
  </si>
  <si>
    <r>
      <t>I</t>
    </r>
    <r>
      <rPr>
        <sz val="8"/>
        <color theme="1"/>
        <rFont val="Calibri"/>
        <family val="2"/>
        <scheme val="minor"/>
      </rPr>
      <t>qR(rms)</t>
    </r>
  </si>
  <si>
    <r>
      <t>V</t>
    </r>
    <r>
      <rPr>
        <sz val="8"/>
        <color theme="1"/>
        <rFont val="Calibri"/>
        <family val="2"/>
        <scheme val="minor"/>
      </rPr>
      <t>gsF(max)</t>
    </r>
  </si>
  <si>
    <r>
      <t>V</t>
    </r>
    <r>
      <rPr>
        <sz val="8"/>
        <color theme="1"/>
        <rFont val="Calibri"/>
        <family val="2"/>
        <scheme val="minor"/>
      </rPr>
      <t>dsF(max)</t>
    </r>
  </si>
  <si>
    <r>
      <t>V</t>
    </r>
    <r>
      <rPr>
        <sz val="8"/>
        <color theme="1"/>
        <rFont val="Calibri"/>
        <family val="2"/>
        <scheme val="minor"/>
      </rPr>
      <t>dsR(max)</t>
    </r>
  </si>
  <si>
    <r>
      <t>V</t>
    </r>
    <r>
      <rPr>
        <sz val="8"/>
        <color theme="1"/>
        <rFont val="Calibri"/>
        <family val="2"/>
        <scheme val="minor"/>
      </rPr>
      <t>gsR(max)</t>
    </r>
  </si>
  <si>
    <t>Low side gate drive Circuit</t>
  </si>
  <si>
    <r>
      <t>R</t>
    </r>
    <r>
      <rPr>
        <sz val="8"/>
        <color theme="1"/>
        <rFont val="Calibri"/>
        <family val="2"/>
        <scheme val="minor"/>
      </rPr>
      <t>aux</t>
    </r>
  </si>
  <si>
    <r>
      <t>C</t>
    </r>
    <r>
      <rPr>
        <sz val="8"/>
        <color theme="1"/>
        <rFont val="Calibri"/>
        <family val="2"/>
        <scheme val="minor"/>
      </rPr>
      <t>aux</t>
    </r>
  </si>
  <si>
    <t>Lmag</t>
  </si>
  <si>
    <t>nC</t>
  </si>
  <si>
    <t xml:space="preserve">#problem </t>
  </si>
  <si>
    <t>Power transformer consideration</t>
  </si>
  <si>
    <r>
      <t>I</t>
    </r>
    <r>
      <rPr>
        <sz val="8"/>
        <color theme="1"/>
        <rFont val="Calibri"/>
        <family val="2"/>
        <scheme val="minor"/>
      </rPr>
      <t>mag</t>
    </r>
  </si>
  <si>
    <r>
      <t>I</t>
    </r>
    <r>
      <rPr>
        <sz val="8"/>
        <color theme="1"/>
        <rFont val="Calibri"/>
        <family val="2"/>
        <scheme val="minor"/>
      </rPr>
      <t>pri(pk)</t>
    </r>
  </si>
  <si>
    <r>
      <t>I</t>
    </r>
    <r>
      <rPr>
        <sz val="8"/>
        <color theme="1"/>
        <rFont val="Calibri"/>
        <family val="2"/>
        <scheme val="minor"/>
      </rPr>
      <t>pri(rms)</t>
    </r>
  </si>
  <si>
    <r>
      <t>C</t>
    </r>
    <r>
      <rPr>
        <sz val="8"/>
        <color theme="1"/>
        <rFont val="Calibri"/>
        <family val="2"/>
        <scheme val="minor"/>
      </rPr>
      <t>cl(min)</t>
    </r>
  </si>
  <si>
    <r>
      <t>V</t>
    </r>
    <r>
      <rPr>
        <sz val="8"/>
        <color theme="1"/>
        <rFont val="Calibri"/>
        <family val="2"/>
        <scheme val="minor"/>
      </rPr>
      <t>cl</t>
    </r>
    <r>
      <rPr>
        <sz val="11"/>
        <color theme="1"/>
        <rFont val="Calibri"/>
        <family val="2"/>
        <scheme val="minor"/>
      </rPr>
      <t>(max)</t>
    </r>
  </si>
  <si>
    <t>#also VdsQ(main)</t>
  </si>
  <si>
    <r>
      <t>V</t>
    </r>
    <r>
      <rPr>
        <sz val="8"/>
        <color theme="1"/>
        <rFont val="Calibri"/>
        <family val="2"/>
        <scheme val="minor"/>
      </rPr>
      <t>reset</t>
    </r>
  </si>
  <si>
    <t>INPUT CAPACITOR</t>
  </si>
  <si>
    <r>
      <t>C</t>
    </r>
    <r>
      <rPr>
        <sz val="8"/>
        <color theme="1"/>
        <rFont val="Calibri"/>
        <family val="2"/>
        <scheme val="minor"/>
      </rPr>
      <t>in</t>
    </r>
  </si>
  <si>
    <r>
      <t>I</t>
    </r>
    <r>
      <rPr>
        <sz val="8"/>
        <color theme="1"/>
        <rFont val="Calibri"/>
        <family val="2"/>
        <scheme val="minor"/>
      </rPr>
      <t>in(MAX)</t>
    </r>
  </si>
  <si>
    <r>
      <t>R</t>
    </r>
    <r>
      <rPr>
        <sz val="8"/>
        <color theme="1"/>
        <rFont val="Calibri"/>
        <family val="2"/>
        <scheme val="minor"/>
      </rPr>
      <t>esr(in)</t>
    </r>
  </si>
  <si>
    <t>PARAMETERS</t>
  </si>
  <si>
    <t>#FROM DATA SHEET</t>
  </si>
  <si>
    <t>KOhm</t>
  </si>
  <si>
    <t>W</t>
  </si>
  <si>
    <t>OPTOCOUPLER FEEDBACK</t>
  </si>
  <si>
    <r>
      <t>V</t>
    </r>
    <r>
      <rPr>
        <sz val="8"/>
        <color theme="1"/>
        <rFont val="Calibri"/>
        <family val="2"/>
        <scheme val="minor"/>
      </rPr>
      <t>ref</t>
    </r>
  </si>
  <si>
    <r>
      <t>V</t>
    </r>
    <r>
      <rPr>
        <sz val="8"/>
        <color theme="1"/>
        <rFont val="Calibri"/>
        <family val="2"/>
        <scheme val="minor"/>
      </rPr>
      <t>fb(min)</t>
    </r>
  </si>
  <si>
    <r>
      <t>I</t>
    </r>
    <r>
      <rPr>
        <sz val="8"/>
        <color theme="1"/>
        <rFont val="Calibri"/>
        <family val="2"/>
        <scheme val="minor"/>
      </rPr>
      <t>ref(max)</t>
    </r>
  </si>
  <si>
    <r>
      <t>P</t>
    </r>
    <r>
      <rPr>
        <sz val="8"/>
        <color theme="1"/>
        <rFont val="Calibri"/>
        <family val="2"/>
        <scheme val="minor"/>
      </rPr>
      <t>Rcs</t>
    </r>
  </si>
  <si>
    <r>
      <t>R</t>
    </r>
    <r>
      <rPr>
        <sz val="8"/>
        <color theme="1"/>
        <rFont val="Calibri"/>
        <family val="2"/>
        <scheme val="minor"/>
      </rPr>
      <t>cs</t>
    </r>
  </si>
  <si>
    <r>
      <t>V</t>
    </r>
    <r>
      <rPr>
        <sz val="8"/>
        <color theme="1"/>
        <rFont val="Calibri"/>
        <family val="2"/>
        <scheme val="minor"/>
      </rPr>
      <t>cs</t>
    </r>
  </si>
  <si>
    <r>
      <t>R</t>
    </r>
    <r>
      <rPr>
        <sz val="8"/>
        <color theme="1"/>
        <rFont val="Calibri"/>
        <family val="2"/>
        <scheme val="minor"/>
      </rPr>
      <t>Vref</t>
    </r>
  </si>
  <si>
    <r>
      <t>I</t>
    </r>
    <r>
      <rPr>
        <sz val="8"/>
        <color theme="1"/>
        <rFont val="Calibri"/>
        <family val="2"/>
        <scheme val="minor"/>
      </rPr>
      <t>ref</t>
    </r>
  </si>
  <si>
    <r>
      <t>I</t>
    </r>
    <r>
      <rPr>
        <sz val="8"/>
        <color theme="1"/>
        <rFont val="Calibri"/>
        <family val="2"/>
        <scheme val="minor"/>
      </rPr>
      <t>opto(min)</t>
    </r>
  </si>
  <si>
    <t>v</t>
  </si>
  <si>
    <r>
      <t>V</t>
    </r>
    <r>
      <rPr>
        <sz val="8"/>
        <color theme="1"/>
        <rFont val="Calibri"/>
        <family val="2"/>
        <scheme val="minor"/>
      </rPr>
      <t>fb(max)</t>
    </r>
  </si>
  <si>
    <t>CTR(min)</t>
  </si>
  <si>
    <r>
      <t>I</t>
    </r>
    <r>
      <rPr>
        <sz val="8"/>
        <color theme="1"/>
        <rFont val="Calibri"/>
        <family val="2"/>
        <scheme val="minor"/>
      </rPr>
      <t>TLV431</t>
    </r>
  </si>
  <si>
    <r>
      <t>V</t>
    </r>
    <r>
      <rPr>
        <sz val="8"/>
        <color theme="1"/>
        <rFont val="Calibri"/>
        <family val="2"/>
        <scheme val="minor"/>
      </rPr>
      <t>opto</t>
    </r>
  </si>
  <si>
    <t>Vf</t>
  </si>
  <si>
    <t>Vsc</t>
  </si>
  <si>
    <t>Ropto</t>
  </si>
  <si>
    <t>Gopto</t>
  </si>
  <si>
    <t>dB</t>
  </si>
  <si>
    <t>Compensating feedback loop</t>
  </si>
  <si>
    <t>K</t>
  </si>
  <si>
    <t>Fcl</t>
  </si>
  <si>
    <t>KHz</t>
  </si>
  <si>
    <t>Fo</t>
  </si>
  <si>
    <t>Fo(max)</t>
  </si>
  <si>
    <t>crossover frequency</t>
  </si>
  <si>
    <t>Rx</t>
  </si>
  <si>
    <t>Kohm</t>
  </si>
  <si>
    <t>R1</t>
  </si>
  <si>
    <t>Cp</t>
  </si>
  <si>
    <t>Cz</t>
  </si>
  <si>
    <r>
      <t>R</t>
    </r>
    <r>
      <rPr>
        <sz val="8"/>
        <color theme="1"/>
        <rFont val="Calibri"/>
        <family val="2"/>
        <scheme val="minor"/>
      </rPr>
      <t>FB</t>
    </r>
  </si>
  <si>
    <t>gc(Fo)</t>
  </si>
  <si>
    <t>nF</t>
  </si>
  <si>
    <t>pF</t>
  </si>
  <si>
    <t>Taken from web bench design</t>
  </si>
  <si>
    <t>Programming UCC2891</t>
  </si>
  <si>
    <t>Oscilator</t>
  </si>
  <si>
    <t>Ron</t>
  </si>
  <si>
    <t>Roff</t>
  </si>
  <si>
    <t>SOFT START</t>
  </si>
  <si>
    <t>Css</t>
  </si>
  <si>
    <t>tss</t>
  </si>
  <si>
    <t>mS</t>
  </si>
  <si>
    <t>VDD BIAS REQUIREMENT</t>
  </si>
  <si>
    <r>
      <t>Q</t>
    </r>
    <r>
      <rPr>
        <sz val="8"/>
        <color theme="1"/>
        <rFont val="Calibri"/>
        <family val="2"/>
        <scheme val="minor"/>
      </rPr>
      <t>g(MAIN)</t>
    </r>
  </si>
  <si>
    <r>
      <t>Q</t>
    </r>
    <r>
      <rPr>
        <sz val="8"/>
        <color theme="1"/>
        <rFont val="Calibri"/>
        <family val="2"/>
        <scheme val="minor"/>
      </rPr>
      <t>g(aux)</t>
    </r>
  </si>
  <si>
    <r>
      <t>C</t>
    </r>
    <r>
      <rPr>
        <sz val="8"/>
        <color theme="1"/>
        <rFont val="Calibri"/>
        <family val="2"/>
        <scheme val="minor"/>
      </rPr>
      <t>HF</t>
    </r>
  </si>
  <si>
    <r>
      <t>C</t>
    </r>
    <r>
      <rPr>
        <sz val="8"/>
        <color theme="1"/>
        <rFont val="Calibri"/>
        <family val="2"/>
        <scheme val="minor"/>
      </rPr>
      <t>HF(Selected)</t>
    </r>
  </si>
  <si>
    <r>
      <t>P</t>
    </r>
    <r>
      <rPr>
        <sz val="8"/>
        <color theme="1"/>
        <rFont val="Calibri"/>
        <family val="2"/>
        <scheme val="minor"/>
      </rPr>
      <t>bias</t>
    </r>
  </si>
  <si>
    <t>Cbias</t>
  </si>
  <si>
    <t>Idd(max)</t>
  </si>
  <si>
    <t>Ig(main)</t>
  </si>
  <si>
    <t>Ig(aux)</t>
  </si>
  <si>
    <t>tr(aux)'</t>
  </si>
  <si>
    <t>From data sheet</t>
  </si>
  <si>
    <t>nS</t>
  </si>
  <si>
    <t>Vdd</t>
  </si>
  <si>
    <t>mF</t>
  </si>
  <si>
    <t>DELAY PROGRAMING</t>
  </si>
  <si>
    <r>
      <t>R</t>
    </r>
    <r>
      <rPr>
        <sz val="8"/>
        <color theme="1"/>
        <rFont val="Calibri"/>
        <family val="2"/>
        <scheme val="minor"/>
      </rPr>
      <t>DEL</t>
    </r>
  </si>
  <si>
    <r>
      <t>L</t>
    </r>
    <r>
      <rPr>
        <sz val="8"/>
        <color theme="1"/>
        <rFont val="Calibri"/>
        <family val="2"/>
        <scheme val="minor"/>
      </rPr>
      <t>Lkg</t>
    </r>
  </si>
  <si>
    <t>CURRENT SENSING</t>
  </si>
  <si>
    <r>
      <rPr>
        <sz val="11"/>
        <color theme="1"/>
        <rFont val="Calibri"/>
        <family val="2"/>
        <scheme val="minor"/>
      </rPr>
      <t>t</t>
    </r>
    <r>
      <rPr>
        <sz val="8"/>
        <color theme="1"/>
        <rFont val="Calibri"/>
        <family val="2"/>
        <scheme val="minor"/>
      </rPr>
      <t>DEL</t>
    </r>
  </si>
  <si>
    <t>INPUT VOLTAGE MONITERING</t>
  </si>
  <si>
    <t>Ihys</t>
  </si>
  <si>
    <r>
      <t>R</t>
    </r>
    <r>
      <rPr>
        <sz val="8"/>
        <color theme="1"/>
        <rFont val="Calibri"/>
        <family val="2"/>
        <scheme val="minor"/>
      </rPr>
      <t>IN1</t>
    </r>
  </si>
  <si>
    <r>
      <t>R</t>
    </r>
    <r>
      <rPr>
        <sz val="8"/>
        <color theme="1"/>
        <rFont val="Calibri"/>
        <family val="2"/>
        <scheme val="minor"/>
      </rPr>
      <t>IN2</t>
    </r>
  </si>
  <si>
    <t>CURRENT SENSE FILTER AND SLOPE COMENSATION</t>
  </si>
  <si>
    <t>VALUE</t>
  </si>
  <si>
    <t>UNIT</t>
  </si>
  <si>
    <t>INPUT VOLATAGE(V), MIN</t>
  </si>
  <si>
    <t>INPUT VOLATAGE(V), NOMINAL</t>
  </si>
  <si>
    <t>INPUT VOLATAGE(V), MAXIMUM</t>
  </si>
  <si>
    <t>IS THIS SELECTED VALUE CORRECT</t>
  </si>
  <si>
    <t>pf</t>
  </si>
  <si>
    <r>
      <t>C</t>
    </r>
    <r>
      <rPr>
        <sz val="8"/>
        <color theme="1"/>
        <rFont val="Calibri"/>
        <family val="2"/>
        <scheme val="minor"/>
      </rPr>
      <t>F</t>
    </r>
  </si>
  <si>
    <r>
      <t>R</t>
    </r>
    <r>
      <rPr>
        <sz val="8"/>
        <color theme="1"/>
        <rFont val="Calibri"/>
        <family val="2"/>
        <scheme val="minor"/>
      </rPr>
      <t>F</t>
    </r>
  </si>
  <si>
    <t>V/uS</t>
  </si>
  <si>
    <r>
      <t>R</t>
    </r>
    <r>
      <rPr>
        <sz val="8"/>
        <color theme="1"/>
        <rFont val="Calibri"/>
        <family val="2"/>
        <scheme val="minor"/>
      </rPr>
      <t>slope</t>
    </r>
  </si>
  <si>
    <r>
      <t>DV</t>
    </r>
    <r>
      <rPr>
        <sz val="8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/Dt</t>
    </r>
  </si>
  <si>
    <t>manual calculations</t>
  </si>
  <si>
    <t>why dc gain is negative?</t>
  </si>
  <si>
    <t>nH</t>
  </si>
  <si>
    <t>Two 47uF caps are to be placed in parallel with 10uF ceramic capacitor</t>
  </si>
  <si>
    <t>Taking a standard value of 10uH rated at 25A and Isat =30A</t>
  </si>
  <si>
    <t>MP1794 A to be used to provide power to VCC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</si>
</sst>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956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2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6" fillId="5" borderId="0" xfId="0" applyFont="1" applyFill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95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56678</xdr:colOff>
      <xdr:row>3</xdr:row>
      <xdr:rowOff>56662</xdr:rowOff>
    </xdr:from>
    <xdr:to>
      <xdr:col>10</xdr:col>
      <xdr:colOff>133350</xdr:colOff>
      <xdr:row>14</xdr:row>
      <xdr:rowOff>158192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4531A72-58E9-46C0-B0EC-6F8036D0F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5978" y="913912"/>
          <a:ext cx="3734272" cy="2197030"/>
        </a:xfrm>
        <a:prstGeom prst="rect">
          <a:avLst/>
        </a:prstGeom>
      </xdr:spPr>
    </xdr:pic>
    <xdr:clientData/>
  </xdr:twoCellAnchor>
  <xdr:twoCellAnchor>
    <xdr:from>
      <xdr:col>5</xdr:col>
      <xdr:colOff>28576</xdr:colOff>
      <xdr:row>32</xdr:row>
      <xdr:rowOff>7997</xdr:rowOff>
    </xdr:from>
    <xdr:to>
      <xdr:col>7</xdr:col>
      <xdr:colOff>600076</xdr:colOff>
      <xdr:row>35</xdr:row>
      <xdr:rowOff>104701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EA93CA15-1A94-4428-9C2C-1BF52CDE35EC}"/>
            </a:ext>
          </a:extLst>
        </xdr:cNvPr>
        <xdr:cNvGrpSpPr/>
      </xdr:nvGrpSpPr>
      <xdr:grpSpPr>
        <a:xfrm>
          <a:off x="6805894" y="6059173"/>
          <a:ext cx="1790700" cy="634587"/>
          <a:chOff x="3905251" y="4932422"/>
          <a:chExt cx="1790700" cy="668204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00BDB41-7B56-4277-BEB3-259E3A9863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905251" y="4932422"/>
            <a:ext cx="1790700" cy="258657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5F37F13D-6AFA-46C0-B556-6FC4D576FB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10025" y="5200649"/>
            <a:ext cx="1534339" cy="399977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19049</xdr:colOff>
      <xdr:row>37</xdr:row>
      <xdr:rowOff>12913</xdr:rowOff>
    </xdr:from>
    <xdr:to>
      <xdr:col>7</xdr:col>
      <xdr:colOff>418798</xdr:colOff>
      <xdr:row>43</xdr:row>
      <xdr:rowOff>9438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E993DDC3-54FE-4708-82FB-F1B785339D9F}"/>
            </a:ext>
          </a:extLst>
        </xdr:cNvPr>
        <xdr:cNvGrpSpPr/>
      </xdr:nvGrpSpPr>
      <xdr:grpSpPr>
        <a:xfrm>
          <a:off x="6796367" y="6960560"/>
          <a:ext cx="1618949" cy="1072290"/>
          <a:chOff x="3924299" y="6147013"/>
          <a:chExt cx="1618949" cy="1139525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24CFB137-E19B-425B-A8D5-AAEFDF66B0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924299" y="6147013"/>
            <a:ext cx="1618949" cy="377542"/>
          </a:xfrm>
          <a:prstGeom prst="rect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9934FE16-688A-4F5B-A47C-2C2CA72E5A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133851" y="6493245"/>
            <a:ext cx="1181100" cy="421822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859C4D56-3911-4B4A-B213-6F7F387E56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276726" y="6865426"/>
            <a:ext cx="819150" cy="421112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409575</xdr:colOff>
      <xdr:row>17</xdr:row>
      <xdr:rowOff>18662</xdr:rowOff>
    </xdr:from>
    <xdr:to>
      <xdr:col>8</xdr:col>
      <xdr:colOff>161456</xdr:colOff>
      <xdr:row>22</xdr:row>
      <xdr:rowOff>18970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1290FB57-5ED0-4F31-B293-E3935E1B4C67}"/>
            </a:ext>
          </a:extLst>
        </xdr:cNvPr>
        <xdr:cNvGrpSpPr/>
      </xdr:nvGrpSpPr>
      <xdr:grpSpPr>
        <a:xfrm>
          <a:off x="6577293" y="3371462"/>
          <a:ext cx="2190281" cy="896779"/>
          <a:chOff x="4229100" y="2809487"/>
          <a:chExt cx="2190281" cy="952808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E4092706-32E2-4377-B35D-D74585F679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4229100" y="2809487"/>
            <a:ext cx="2190281" cy="533673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B4C3F5E-7D99-4BC1-A152-E75057E480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4838700" y="3309918"/>
            <a:ext cx="1066800" cy="452377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28575</xdr:colOff>
      <xdr:row>23</xdr:row>
      <xdr:rowOff>28575</xdr:rowOff>
    </xdr:from>
    <xdr:to>
      <xdr:col>7</xdr:col>
      <xdr:colOff>457200</xdr:colOff>
      <xdr:row>30</xdr:row>
      <xdr:rowOff>171451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2DECC6EE-C5F7-4F40-BF17-F81EC1A3F976}"/>
            </a:ext>
          </a:extLst>
        </xdr:cNvPr>
        <xdr:cNvGrpSpPr/>
      </xdr:nvGrpSpPr>
      <xdr:grpSpPr>
        <a:xfrm>
          <a:off x="6805893" y="4466104"/>
          <a:ext cx="1647825" cy="1397935"/>
          <a:chOff x="5553075" y="4038600"/>
          <a:chExt cx="1647825" cy="1476376"/>
        </a:xfrm>
      </xdr:grpSpPr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9A0C75A0-6A12-436E-A7BE-175E120D9940}"/>
              </a:ext>
            </a:extLst>
          </xdr:cNvPr>
          <xdr:cNvGrpSpPr/>
        </xdr:nvGrpSpPr>
        <xdr:grpSpPr>
          <a:xfrm>
            <a:off x="5553075" y="4038600"/>
            <a:ext cx="1647825" cy="1143000"/>
            <a:chOff x="5553075" y="4038600"/>
            <a:chExt cx="1647825" cy="1143000"/>
          </a:xfrm>
        </xdr:grpSpPr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86FEB3E-E50A-40BA-BE40-DEBC0A1C80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5604976" y="4413267"/>
              <a:ext cx="1595924" cy="406418"/>
            </a:xfrm>
            <a:prstGeom prst="rect">
              <a:avLst/>
            </a:prstGeom>
          </xdr:spPr>
        </xdr:pic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DE19B7FB-D92F-487D-B3CB-E823B82DD8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5553075" y="4038600"/>
              <a:ext cx="1628362" cy="361966"/>
            </a:xfrm>
            <a:prstGeom prst="rect">
              <a:avLst/>
            </a:prstGeom>
          </xdr:spPr>
        </xdr:pic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95EF31D7-F389-4607-A1A0-03172CA6B2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5721750" y="4781583"/>
              <a:ext cx="1238957" cy="400017"/>
            </a:xfrm>
            <a:prstGeom prst="rect">
              <a:avLst/>
            </a:prstGeom>
          </xdr:spPr>
        </xdr:pic>
      </xdr:grpSp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5ABC61C1-1719-4F31-BA91-CCF9F83C33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5715000" y="5194776"/>
            <a:ext cx="1381125" cy="320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28575</xdr:colOff>
      <xdr:row>45</xdr:row>
      <xdr:rowOff>19049</xdr:rowOff>
    </xdr:from>
    <xdr:to>
      <xdr:col>7</xdr:col>
      <xdr:colOff>533400</xdr:colOff>
      <xdr:row>47</xdr:row>
      <xdr:rowOff>142874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AA6874F3-9BC4-4873-816D-B412498A0588}"/>
            </a:ext>
          </a:extLst>
        </xdr:cNvPr>
        <xdr:cNvGrpSpPr/>
      </xdr:nvGrpSpPr>
      <xdr:grpSpPr>
        <a:xfrm>
          <a:off x="6805893" y="8401049"/>
          <a:ext cx="1724025" cy="482413"/>
          <a:chOff x="5676900" y="8191500"/>
          <a:chExt cx="2228571" cy="628650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FBF38DF4-C720-4C3A-8011-EBACA2D24F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5676900" y="8191500"/>
            <a:ext cx="2228571" cy="352381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7418EF73-F281-4841-AC45-CAA815CB4F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5705475" y="8562975"/>
            <a:ext cx="2162175" cy="257175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114300</xdr:colOff>
      <xdr:row>51</xdr:row>
      <xdr:rowOff>90647</xdr:rowOff>
    </xdr:from>
    <xdr:to>
      <xdr:col>15</xdr:col>
      <xdr:colOff>370005</xdr:colOff>
      <xdr:row>63</xdr:row>
      <xdr:rowOff>161924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98AD789-5FD9-4976-9814-7C13BDA44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67625" y="9615647"/>
          <a:ext cx="4522905" cy="2357277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51</xdr:row>
      <xdr:rowOff>8806</xdr:rowOff>
    </xdr:from>
    <xdr:to>
      <xdr:col>7</xdr:col>
      <xdr:colOff>152400</xdr:colOff>
      <xdr:row>56</xdr:row>
      <xdr:rowOff>85661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7D85AE2C-066B-4ED7-9516-61B1A1C791BE}"/>
            </a:ext>
          </a:extLst>
        </xdr:cNvPr>
        <xdr:cNvGrpSpPr/>
      </xdr:nvGrpSpPr>
      <xdr:grpSpPr>
        <a:xfrm>
          <a:off x="6824943" y="9466571"/>
          <a:ext cx="1323975" cy="973325"/>
          <a:chOff x="5467350" y="10924456"/>
          <a:chExt cx="1323975" cy="1029355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1BA7A2F3-EA78-4F3C-8C68-249C42FDDE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5486400" y="10924456"/>
            <a:ext cx="1123950" cy="353073"/>
          </a:xfrm>
          <a:prstGeom prst="rect">
            <a:avLst/>
          </a:prstGeom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F903152D-16A3-4678-B4FA-F2607A27C8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5467350" y="11291005"/>
            <a:ext cx="1238250" cy="367517"/>
          </a:xfrm>
          <a:prstGeom prst="rect">
            <a:avLst/>
          </a:prstGeom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866BF048-F8CE-4F41-AB9E-61E8B73A09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5476875" y="11631173"/>
            <a:ext cx="1314450" cy="322638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114301</xdr:colOff>
      <xdr:row>58</xdr:row>
      <xdr:rowOff>178110</xdr:rowOff>
    </xdr:from>
    <xdr:to>
      <xdr:col>7</xdr:col>
      <xdr:colOff>476251</xdr:colOff>
      <xdr:row>65</xdr:row>
      <xdr:rowOff>85651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D475A823-DC7D-4782-86B4-61FBAB0359B9}"/>
            </a:ext>
          </a:extLst>
        </xdr:cNvPr>
        <xdr:cNvGrpSpPr/>
      </xdr:nvGrpSpPr>
      <xdr:grpSpPr>
        <a:xfrm>
          <a:off x="6891619" y="10890934"/>
          <a:ext cx="1581150" cy="1162599"/>
          <a:chOff x="5667376" y="11693835"/>
          <a:chExt cx="1581150" cy="1050541"/>
        </a:xfrm>
      </xdr:grpSpPr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3B512BE7-BD71-4519-88C2-32707657E814}"/>
              </a:ext>
            </a:extLst>
          </xdr:cNvPr>
          <xdr:cNvGrpSpPr/>
        </xdr:nvGrpSpPr>
        <xdr:grpSpPr>
          <a:xfrm>
            <a:off x="5667376" y="11693835"/>
            <a:ext cx="1581150" cy="717164"/>
            <a:chOff x="5067301" y="10055535"/>
            <a:chExt cx="1581150" cy="717164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7118D0B9-3FDA-4D22-AA98-85BB22CA3F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5276850" y="10055535"/>
              <a:ext cx="1047750" cy="326651"/>
            </a:xfrm>
            <a:prstGeom prst="rect">
              <a:avLst/>
            </a:prstGeom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9632042F-3BA0-4E62-BB8A-CF0AAAA1309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5067301" y="10407379"/>
              <a:ext cx="1581150" cy="365320"/>
            </a:xfrm>
            <a:prstGeom prst="rect">
              <a:avLst/>
            </a:prstGeom>
          </xdr:spPr>
        </xdr:pic>
      </xdr:grpSp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CDAB71B5-FEFA-462D-91BA-F9340806E3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6019800" y="12425171"/>
            <a:ext cx="847725" cy="319205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257176</xdr:colOff>
      <xdr:row>65</xdr:row>
      <xdr:rowOff>48628</xdr:rowOff>
    </xdr:from>
    <xdr:to>
      <xdr:col>7</xdr:col>
      <xdr:colOff>276226</xdr:colOff>
      <xdr:row>67</xdr:row>
      <xdr:rowOff>76123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540CA36-716B-498F-8E3D-3DD47CE35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91226" y="12716878"/>
          <a:ext cx="1238250" cy="408495"/>
        </a:xfrm>
        <a:prstGeom prst="rect">
          <a:avLst/>
        </a:prstGeom>
      </xdr:spPr>
    </xdr:pic>
    <xdr:clientData/>
  </xdr:twoCellAnchor>
  <xdr:twoCellAnchor>
    <xdr:from>
      <xdr:col>4</xdr:col>
      <xdr:colOff>285751</xdr:colOff>
      <xdr:row>67</xdr:row>
      <xdr:rowOff>164944</xdr:rowOff>
    </xdr:from>
    <xdr:to>
      <xdr:col>8</xdr:col>
      <xdr:colOff>369173</xdr:colOff>
      <xdr:row>73</xdr:row>
      <xdr:rowOff>171333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5AF9419E-0355-459A-9064-2D10ADC1F533}"/>
            </a:ext>
          </a:extLst>
        </xdr:cNvPr>
        <xdr:cNvGrpSpPr/>
      </xdr:nvGrpSpPr>
      <xdr:grpSpPr>
        <a:xfrm>
          <a:off x="6453469" y="12491415"/>
          <a:ext cx="2521822" cy="1082153"/>
          <a:chOff x="5524501" y="12528394"/>
          <a:chExt cx="2521822" cy="1149389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8095AFC4-EA03-41E1-9E88-A5CA9BE357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6229350" y="12528394"/>
            <a:ext cx="981075" cy="387431"/>
          </a:xfrm>
          <a:prstGeom prst="rect">
            <a:avLst/>
          </a:prstGeom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E2E94B8D-F0A4-482C-BE3E-59D9F3CF94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/>
          <a:stretch>
            <a:fillRect/>
          </a:stretch>
        </xdr:blipFill>
        <xdr:spPr>
          <a:xfrm>
            <a:off x="6219826" y="13205200"/>
            <a:ext cx="1152524" cy="472583"/>
          </a:xfrm>
          <a:prstGeom prst="rect">
            <a:avLst/>
          </a:prstGeom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7B2550E7-F524-4146-9667-67D8883979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/>
          <a:stretch>
            <a:fillRect/>
          </a:stretch>
        </xdr:blipFill>
        <xdr:spPr>
          <a:xfrm>
            <a:off x="5524501" y="12887324"/>
            <a:ext cx="2521822" cy="33337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447675</xdr:colOff>
      <xdr:row>73</xdr:row>
      <xdr:rowOff>0</xdr:rowOff>
    </xdr:from>
    <xdr:to>
      <xdr:col>7</xdr:col>
      <xdr:colOff>381000</xdr:colOff>
      <xdr:row>75</xdr:row>
      <xdr:rowOff>171409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A6AB6A81-B9DA-4E00-AE25-41B0FD398670}"/>
            </a:ext>
          </a:extLst>
        </xdr:cNvPr>
        <xdr:cNvGrpSpPr/>
      </xdr:nvGrpSpPr>
      <xdr:grpSpPr>
        <a:xfrm>
          <a:off x="7224993" y="13402235"/>
          <a:ext cx="1152525" cy="529998"/>
          <a:chOff x="6172200" y="13525500"/>
          <a:chExt cx="1152525" cy="552409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C08A7805-7236-4C6D-A4D9-B82850634F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6324600" y="13525500"/>
            <a:ext cx="851883" cy="390446"/>
          </a:xfrm>
          <a:prstGeom prst="rect">
            <a:avLst/>
          </a:prstGeom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2BB43A82-A164-4601-989F-0983F9C60F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6172200" y="13863778"/>
            <a:ext cx="1152525" cy="214131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457201</xdr:colOff>
      <xdr:row>77</xdr:row>
      <xdr:rowOff>174352</xdr:rowOff>
    </xdr:from>
    <xdr:to>
      <xdr:col>7</xdr:col>
      <xdr:colOff>438151</xdr:colOff>
      <xdr:row>80</xdr:row>
      <xdr:rowOff>1606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9226B0E-AD53-4FC9-8669-5A1B85AD0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181726" y="14461852"/>
          <a:ext cx="1200150" cy="387548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79</xdr:row>
      <xdr:rowOff>178816</xdr:rowOff>
    </xdr:from>
    <xdr:to>
      <xdr:col>7</xdr:col>
      <xdr:colOff>571500</xdr:colOff>
      <xdr:row>82</xdr:row>
      <xdr:rowOff>3515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8CF4A39-12F5-42CF-BB60-16F40D6AC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057901" y="14847316"/>
          <a:ext cx="1457324" cy="392613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82</xdr:row>
      <xdr:rowOff>6395</xdr:rowOff>
    </xdr:from>
    <xdr:to>
      <xdr:col>7</xdr:col>
      <xdr:colOff>381000</xdr:colOff>
      <xdr:row>84</xdr:row>
      <xdr:rowOff>29793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CB87852-95AC-4520-8E02-9D94B0D90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143625" y="15246395"/>
          <a:ext cx="1181100" cy="404398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84</xdr:row>
      <xdr:rowOff>25030</xdr:rowOff>
    </xdr:from>
    <xdr:to>
      <xdr:col>7</xdr:col>
      <xdr:colOff>514350</xdr:colOff>
      <xdr:row>86</xdr:row>
      <xdr:rowOff>85644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1E2E06A-0B4F-4AC4-9F95-C9DFBCA8A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029325" y="15646030"/>
          <a:ext cx="1428750" cy="441614"/>
        </a:xfrm>
        <a:prstGeom prst="rect">
          <a:avLst/>
        </a:prstGeom>
      </xdr:spPr>
    </xdr:pic>
    <xdr:clientData/>
  </xdr:twoCellAnchor>
  <xdr:twoCellAnchor editAs="oneCell">
    <xdr:from>
      <xdr:col>9</xdr:col>
      <xdr:colOff>233869</xdr:colOff>
      <xdr:row>67</xdr:row>
      <xdr:rowOff>95250</xdr:rowOff>
    </xdr:from>
    <xdr:to>
      <xdr:col>14</xdr:col>
      <xdr:colOff>361951</xdr:colOff>
      <xdr:row>80</xdr:row>
      <xdr:rowOff>20606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AF4D150-33A3-4751-84C6-C823711F9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6319" y="12954000"/>
          <a:ext cx="3176082" cy="240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86</xdr:row>
      <xdr:rowOff>114300</xdr:rowOff>
    </xdr:from>
    <xdr:to>
      <xdr:col>7</xdr:col>
      <xdr:colOff>489410</xdr:colOff>
      <xdr:row>88</xdr:row>
      <xdr:rowOff>104696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4CFDA69-AA77-4E63-B4D1-61A81C2A1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210300" y="16592550"/>
          <a:ext cx="1232360" cy="37139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80</xdr:row>
      <xdr:rowOff>176388</xdr:rowOff>
    </xdr:from>
    <xdr:to>
      <xdr:col>15</xdr:col>
      <xdr:colOff>95250</xdr:colOff>
      <xdr:row>97</xdr:row>
      <xdr:rowOff>142875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DB6B266-E6EC-4E20-9432-D7920F399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181975" y="15511638"/>
          <a:ext cx="3743325" cy="3204987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98</xdr:row>
      <xdr:rowOff>150072</xdr:rowOff>
    </xdr:from>
    <xdr:to>
      <xdr:col>15</xdr:col>
      <xdr:colOff>419100</xdr:colOff>
      <xdr:row>105</xdr:row>
      <xdr:rowOff>94982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4DE2BF8A-D5BE-4AF8-B838-90959492F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334375" y="18914322"/>
          <a:ext cx="3914775" cy="1278410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93</xdr:row>
      <xdr:rowOff>28324</xdr:rowOff>
    </xdr:from>
    <xdr:to>
      <xdr:col>8</xdr:col>
      <xdr:colOff>76200</xdr:colOff>
      <xdr:row>95</xdr:row>
      <xdr:rowOff>152400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337B43E7-9F1D-4109-B6AB-BD7010F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7840074"/>
          <a:ext cx="1476375" cy="505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419100</xdr:colOff>
      <xdr:row>95</xdr:row>
      <xdr:rowOff>150941</xdr:rowOff>
    </xdr:from>
    <xdr:to>
      <xdr:col>8</xdr:col>
      <xdr:colOff>38100</xdr:colOff>
      <xdr:row>97</xdr:row>
      <xdr:rowOff>171376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E00C939A-1A49-40BA-BEF2-7AD4DB247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153150" y="18343691"/>
          <a:ext cx="1447800" cy="40143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99</xdr:row>
      <xdr:rowOff>80483</xdr:rowOff>
    </xdr:from>
    <xdr:to>
      <xdr:col>7</xdr:col>
      <xdr:colOff>561975</xdr:colOff>
      <xdr:row>101</xdr:row>
      <xdr:rowOff>114229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3E83F3-9682-40C8-B1F8-907621ED9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305550" y="19035233"/>
          <a:ext cx="1209675" cy="414746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101</xdr:row>
      <xdr:rowOff>152400</xdr:rowOff>
    </xdr:from>
    <xdr:to>
      <xdr:col>7</xdr:col>
      <xdr:colOff>400429</xdr:colOff>
      <xdr:row>102</xdr:row>
      <xdr:rowOff>171409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6B68C074-58AA-4E63-996B-30D897E65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429375" y="19488150"/>
          <a:ext cx="924304" cy="209509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102</xdr:row>
      <xdr:rowOff>176103</xdr:rowOff>
    </xdr:from>
    <xdr:to>
      <xdr:col>7</xdr:col>
      <xdr:colOff>9526</xdr:colOff>
      <xdr:row>104</xdr:row>
      <xdr:rowOff>164095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EC418CF6-A0CE-4D09-8298-41A883960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067426" y="19702353"/>
          <a:ext cx="895350" cy="36899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102</xdr:row>
      <xdr:rowOff>142874</xdr:rowOff>
    </xdr:from>
    <xdr:to>
      <xdr:col>8</xdr:col>
      <xdr:colOff>314325</xdr:colOff>
      <xdr:row>104</xdr:row>
      <xdr:rowOff>76199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3E25008E-E78B-43A3-826E-F7F7ADC4C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962775" y="19669124"/>
          <a:ext cx="914400" cy="314325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97</xdr:row>
      <xdr:rowOff>179719</xdr:rowOff>
    </xdr:from>
    <xdr:to>
      <xdr:col>8</xdr:col>
      <xdr:colOff>35659</xdr:colOff>
      <xdr:row>99</xdr:row>
      <xdr:rowOff>66675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EC86A19-A684-49BE-AC25-2D3700387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086475" y="18753469"/>
          <a:ext cx="1512034" cy="267956"/>
        </a:xfrm>
        <a:prstGeom prst="rect">
          <a:avLst/>
        </a:prstGeom>
      </xdr:spPr>
    </xdr:pic>
    <xdr:clientData/>
  </xdr:twoCellAnchor>
  <xdr:twoCellAnchor editAs="oneCell">
    <xdr:from>
      <xdr:col>9</xdr:col>
      <xdr:colOff>396263</xdr:colOff>
      <xdr:row>107</xdr:row>
      <xdr:rowOff>85725</xdr:rowOff>
    </xdr:from>
    <xdr:to>
      <xdr:col>15</xdr:col>
      <xdr:colOff>542217</xdr:colOff>
      <xdr:row>127</xdr:row>
      <xdr:rowOff>989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D2C08DAA-C802-420F-8673-8BCB88E0B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568713" y="20373975"/>
          <a:ext cx="3803554" cy="3714058"/>
        </a:xfrm>
        <a:prstGeom prst="rect">
          <a:avLst/>
        </a:prstGeom>
      </xdr:spPr>
    </xdr:pic>
    <xdr:clientData/>
  </xdr:twoCellAnchor>
  <xdr:twoCellAnchor editAs="oneCell">
    <xdr:from>
      <xdr:col>5</xdr:col>
      <xdr:colOff>143767</xdr:colOff>
      <xdr:row>107</xdr:row>
      <xdr:rowOff>0</xdr:rowOff>
    </xdr:from>
    <xdr:to>
      <xdr:col>8</xdr:col>
      <xdr:colOff>495596</xdr:colOff>
      <xdr:row>109</xdr:row>
      <xdr:rowOff>38100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4D18CD9-C9A5-4A96-8D7A-E80A4C3D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877817" y="20288250"/>
          <a:ext cx="2180629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109</xdr:row>
      <xdr:rowOff>39965</xdr:rowOff>
    </xdr:from>
    <xdr:to>
      <xdr:col>8</xdr:col>
      <xdr:colOff>302683</xdr:colOff>
      <xdr:row>111</xdr:row>
      <xdr:rowOff>57150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C192AD31-F8EB-4745-BDD7-79EECDA3A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057900" y="20709215"/>
          <a:ext cx="1807633" cy="398185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111</xdr:row>
      <xdr:rowOff>19050</xdr:rowOff>
    </xdr:from>
    <xdr:to>
      <xdr:col>8</xdr:col>
      <xdr:colOff>249766</xdr:colOff>
      <xdr:row>113</xdr:row>
      <xdr:rowOff>38033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5A2C0D1A-07EF-4363-89AB-C6A5F4682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219825" y="21069300"/>
          <a:ext cx="1592791" cy="399983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113</xdr:row>
      <xdr:rowOff>98676</xdr:rowOff>
    </xdr:from>
    <xdr:to>
      <xdr:col>8</xdr:col>
      <xdr:colOff>238125</xdr:colOff>
      <xdr:row>115</xdr:row>
      <xdr:rowOff>133281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F8A1BAC0-6FCD-4E2D-9DCA-53E2D8F22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238875" y="21529926"/>
          <a:ext cx="1562100" cy="4156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9524</xdr:colOff>
      <xdr:row>124</xdr:row>
      <xdr:rowOff>9524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4C1E3BF-8316-46B7-8340-22E59271A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638300" y="22383750"/>
          <a:ext cx="9524" cy="9524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</xdr:colOff>
      <xdr:row>117</xdr:row>
      <xdr:rowOff>119321</xdr:rowOff>
    </xdr:from>
    <xdr:to>
      <xdr:col>9</xdr:col>
      <xdr:colOff>551724</xdr:colOff>
      <xdr:row>119</xdr:row>
      <xdr:rowOff>123825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97E3202F-8C97-4F86-9D1E-09C73BC4A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181599" y="22503071"/>
          <a:ext cx="3542575" cy="385504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121</xdr:row>
      <xdr:rowOff>96414</xdr:rowOff>
    </xdr:from>
    <xdr:to>
      <xdr:col>8</xdr:col>
      <xdr:colOff>161925</xdr:colOff>
      <xdr:row>123</xdr:row>
      <xdr:rowOff>123758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AD1C073-AD87-49AD-A036-970A57294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200775" y="23242164"/>
          <a:ext cx="1524000" cy="408344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124</xdr:row>
      <xdr:rowOff>155712</xdr:rowOff>
    </xdr:from>
    <xdr:to>
      <xdr:col>8</xdr:col>
      <xdr:colOff>542925</xdr:colOff>
      <xdr:row>126</xdr:row>
      <xdr:rowOff>9486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E628BCE9-14B1-4E7C-AA06-36883BAE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800725" y="23491962"/>
          <a:ext cx="2305050" cy="234774"/>
        </a:xfrm>
        <a:prstGeom prst="rect">
          <a:avLst/>
        </a:prstGeom>
      </xdr:spPr>
    </xdr:pic>
    <xdr:clientData/>
  </xdr:twoCellAnchor>
  <xdr:twoCellAnchor editAs="oneCell">
    <xdr:from>
      <xdr:col>6</xdr:col>
      <xdr:colOff>76201</xdr:colOff>
      <xdr:row>126</xdr:row>
      <xdr:rowOff>77418</xdr:rowOff>
    </xdr:from>
    <xdr:to>
      <xdr:col>7</xdr:col>
      <xdr:colOff>552451</xdr:colOff>
      <xdr:row>128</xdr:row>
      <xdr:rowOff>76132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A7E8A829-CE0D-4192-8664-9553B3AA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419851" y="24175668"/>
          <a:ext cx="1085850" cy="379714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128</xdr:row>
      <xdr:rowOff>136540</xdr:rowOff>
    </xdr:from>
    <xdr:to>
      <xdr:col>7</xdr:col>
      <xdr:colOff>438150</xdr:colOff>
      <xdr:row>130</xdr:row>
      <xdr:rowOff>94988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8601EACE-6DB6-495B-8EBC-27FFC5CEC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534150" y="24234790"/>
          <a:ext cx="857250" cy="339448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130</xdr:row>
      <xdr:rowOff>83894</xdr:rowOff>
    </xdr:from>
    <xdr:to>
      <xdr:col>8</xdr:col>
      <xdr:colOff>171450</xdr:colOff>
      <xdr:row>132</xdr:row>
      <xdr:rowOff>85658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6E3DD29-5F98-4927-A0CD-1C3A2D446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257925" y="24563144"/>
          <a:ext cx="1476375" cy="382764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390526</xdr:colOff>
      <xdr:row>132</xdr:row>
      <xdr:rowOff>81924</xdr:rowOff>
    </xdr:from>
    <xdr:to>
      <xdr:col>8</xdr:col>
      <xdr:colOff>314326</xdr:colOff>
      <xdr:row>134</xdr:row>
      <xdr:rowOff>133283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C75CFA35-6415-482E-B345-C41E32B7D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829426" y="25513674"/>
          <a:ext cx="1752600" cy="432359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400050</xdr:colOff>
      <xdr:row>134</xdr:row>
      <xdr:rowOff>168242</xdr:rowOff>
    </xdr:from>
    <xdr:to>
      <xdr:col>8</xdr:col>
      <xdr:colOff>323479</xdr:colOff>
      <xdr:row>138</xdr:row>
      <xdr:rowOff>47625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2B1B456E-3175-4F5D-9E05-05DD5197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838950" y="25980992"/>
          <a:ext cx="1752229" cy="641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A800-FE94-4F6D-BA6A-2066DD83045E}">
  <dimension ref="A1:I140"/>
  <sheetViews>
    <sheetView showGridLines="0" tabSelected="1" zoomScale="85" zoomScaleNormal="85" workbookViewId="0">
      <selection activeCell="E115" sqref="E115"/>
    </sheetView>
  </sheetViews>
  <sheetFormatPr defaultRowHeight="14.4" x14ac:dyDescent="0.3"/>
  <cols>
    <col min="1" max="1" width="35.109375" style="2" customWidth="1"/>
    <col min="2" max="2" width="13.109375" style="2" customWidth="1"/>
    <col min="3" max="3" width="11.6640625" style="2" customWidth="1"/>
    <col min="4" max="4" width="30.109375" style="2" customWidth="1"/>
  </cols>
  <sheetData>
    <row r="1" spans="1:9" ht="25.8" x14ac:dyDescent="0.5">
      <c r="A1" s="22" t="s">
        <v>30</v>
      </c>
      <c r="B1" s="22"/>
      <c r="C1" s="22"/>
      <c r="D1" s="22"/>
      <c r="E1" s="22"/>
      <c r="F1" s="22"/>
      <c r="G1" s="22"/>
      <c r="H1" s="22"/>
      <c r="I1" s="22"/>
    </row>
    <row r="2" spans="1:9" ht="25.8" x14ac:dyDescent="0.5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6" t="s">
        <v>73</v>
      </c>
      <c r="B4" s="6" t="s">
        <v>147</v>
      </c>
      <c r="C4" s="6" t="s">
        <v>148</v>
      </c>
    </row>
    <row r="5" spans="1:9" x14ac:dyDescent="0.3">
      <c r="A5" s="6" t="s">
        <v>149</v>
      </c>
      <c r="B5" s="7">
        <v>75</v>
      </c>
      <c r="C5" s="7" t="s">
        <v>10</v>
      </c>
    </row>
    <row r="6" spans="1:9" x14ac:dyDescent="0.3">
      <c r="A6" s="6" t="s">
        <v>150</v>
      </c>
      <c r="B6" s="7">
        <v>100</v>
      </c>
      <c r="C6" s="7" t="s">
        <v>10</v>
      </c>
    </row>
    <row r="7" spans="1:9" x14ac:dyDescent="0.3">
      <c r="A7" s="6" t="s">
        <v>151</v>
      </c>
      <c r="B7" s="7">
        <v>125</v>
      </c>
      <c r="C7" s="7" t="s">
        <v>10</v>
      </c>
    </row>
    <row r="8" spans="1:9" x14ac:dyDescent="0.3">
      <c r="A8" s="6" t="s">
        <v>2</v>
      </c>
      <c r="B8" s="6">
        <v>0.95</v>
      </c>
      <c r="C8" s="6"/>
    </row>
    <row r="9" spans="1:9" x14ac:dyDescent="0.3">
      <c r="A9" s="6" t="s">
        <v>3</v>
      </c>
      <c r="B9" s="7">
        <v>14</v>
      </c>
      <c r="C9" s="6" t="s">
        <v>10</v>
      </c>
    </row>
    <row r="10" spans="1:9" x14ac:dyDescent="0.3">
      <c r="A10" s="6" t="s">
        <v>4</v>
      </c>
      <c r="B10" s="7">
        <v>22</v>
      </c>
      <c r="C10" s="6" t="s">
        <v>8</v>
      </c>
    </row>
    <row r="11" spans="1:9" x14ac:dyDescent="0.3">
      <c r="A11" s="6" t="s">
        <v>5</v>
      </c>
      <c r="B11" s="7">
        <v>25</v>
      </c>
      <c r="C11" s="6" t="s">
        <v>8</v>
      </c>
    </row>
    <row r="12" spans="1:9" x14ac:dyDescent="0.3">
      <c r="A12" s="6" t="s">
        <v>6</v>
      </c>
      <c r="B12" s="7">
        <v>300</v>
      </c>
      <c r="C12" s="6" t="s">
        <v>9</v>
      </c>
    </row>
    <row r="13" spans="1:9" x14ac:dyDescent="0.3">
      <c r="A13" s="6" t="s">
        <v>45</v>
      </c>
      <c r="B13" s="8">
        <f>1000/B12</f>
        <v>3.3333333333333335</v>
      </c>
      <c r="C13" s="6" t="s">
        <v>43</v>
      </c>
    </row>
    <row r="14" spans="1:9" x14ac:dyDescent="0.3">
      <c r="A14" s="6" t="s">
        <v>34</v>
      </c>
      <c r="B14" s="7">
        <v>5</v>
      </c>
      <c r="C14" s="6" t="s">
        <v>35</v>
      </c>
    </row>
    <row r="15" spans="1:9" x14ac:dyDescent="0.3">
      <c r="A15" s="9" t="s">
        <v>28</v>
      </c>
      <c r="B15" s="8">
        <v>3.3000000000000002E-2</v>
      </c>
      <c r="C15" s="6" t="s">
        <v>10</v>
      </c>
    </row>
    <row r="16" spans="1:9" x14ac:dyDescent="0.3">
      <c r="A16" s="6" t="s">
        <v>14</v>
      </c>
      <c r="B16" s="10">
        <f>0.6</f>
        <v>0.6</v>
      </c>
      <c r="C16" s="6"/>
    </row>
    <row r="17" spans="1:4" x14ac:dyDescent="0.3">
      <c r="A17" s="6" t="s">
        <v>40</v>
      </c>
      <c r="B17" s="7">
        <v>0.27</v>
      </c>
      <c r="C17" s="6" t="s">
        <v>43</v>
      </c>
      <c r="D17" s="23" t="s">
        <v>46</v>
      </c>
    </row>
    <row r="18" spans="1:4" x14ac:dyDescent="0.3">
      <c r="A18" s="6" t="s">
        <v>41</v>
      </c>
      <c r="B18" s="7">
        <v>0.22</v>
      </c>
      <c r="C18" s="6" t="s">
        <v>43</v>
      </c>
      <c r="D18" s="23"/>
    </row>
    <row r="19" spans="1:4" x14ac:dyDescent="0.3">
      <c r="A19" s="6" t="s">
        <v>42</v>
      </c>
      <c r="B19" s="7">
        <v>0.04</v>
      </c>
      <c r="C19" s="6" t="s">
        <v>44</v>
      </c>
      <c r="D19" s="23"/>
    </row>
    <row r="20" spans="1:4" x14ac:dyDescent="0.3">
      <c r="A20" s="6" t="s">
        <v>39</v>
      </c>
      <c r="B20" s="6">
        <f>ROUND(B9/(B16-((0.03*B13)/B13)),1)</f>
        <v>24.6</v>
      </c>
      <c r="C20" s="6" t="s">
        <v>10</v>
      </c>
    </row>
    <row r="21" spans="1:4" x14ac:dyDescent="0.3">
      <c r="A21" s="6" t="s">
        <v>26</v>
      </c>
      <c r="B21" s="6">
        <f>ROUND(B5/B20,1)</f>
        <v>3</v>
      </c>
      <c r="C21" s="6"/>
    </row>
    <row r="22" spans="1:4" x14ac:dyDescent="0.3">
      <c r="A22" s="6" t="s">
        <v>12</v>
      </c>
      <c r="B22" s="5">
        <f>B9*B21/B7</f>
        <v>0.33600000000000002</v>
      </c>
      <c r="C22" s="6"/>
    </row>
    <row r="23" spans="1:4" ht="15" customHeight="1" x14ac:dyDescent="0.3">
      <c r="A23" s="6" t="s">
        <v>58</v>
      </c>
      <c r="B23" s="12">
        <v>100</v>
      </c>
      <c r="C23" s="6" t="s">
        <v>7</v>
      </c>
      <c r="D23" s="15"/>
    </row>
    <row r="24" spans="1:4" x14ac:dyDescent="0.3">
      <c r="B24" s="3"/>
    </row>
    <row r="25" spans="1:4" x14ac:dyDescent="0.3">
      <c r="A25" s="21" t="s">
        <v>18</v>
      </c>
      <c r="B25" s="21"/>
      <c r="C25" s="21"/>
    </row>
    <row r="26" spans="1:4" x14ac:dyDescent="0.3">
      <c r="A26" s="6" t="s">
        <v>17</v>
      </c>
      <c r="B26" s="7">
        <v>0.15</v>
      </c>
      <c r="C26" s="6"/>
    </row>
    <row r="27" spans="1:4" x14ac:dyDescent="0.3">
      <c r="A27" s="6" t="s">
        <v>11</v>
      </c>
      <c r="B27" s="11">
        <f>ROUND(((B9*(1-B22))/(B10*B12*B26))*1000,1)</f>
        <v>9.4</v>
      </c>
      <c r="C27" s="6" t="s">
        <v>7</v>
      </c>
    </row>
    <row r="28" spans="1:4" x14ac:dyDescent="0.3">
      <c r="A28" s="9" t="s">
        <v>13</v>
      </c>
      <c r="B28" s="6">
        <f>ROUND((B9*(1-B22))/(B12*B27*0.001),1)</f>
        <v>3.3</v>
      </c>
      <c r="C28" s="6" t="s">
        <v>15</v>
      </c>
    </row>
    <row r="29" spans="1:4" x14ac:dyDescent="0.3">
      <c r="A29" s="6" t="s">
        <v>16</v>
      </c>
      <c r="B29" s="11">
        <f>((B10)^2+((B28)^2)/3)^0.5</f>
        <v>22.082345889873203</v>
      </c>
      <c r="C29" s="6" t="s">
        <v>48</v>
      </c>
    </row>
    <row r="30" spans="1:4" x14ac:dyDescent="0.3">
      <c r="A30" s="6" t="s">
        <v>47</v>
      </c>
      <c r="B30" s="6">
        <f>B10+(B28/2)</f>
        <v>23.65</v>
      </c>
      <c r="C30" s="6" t="s">
        <v>8</v>
      </c>
    </row>
    <row r="31" spans="1:4" x14ac:dyDescent="0.3">
      <c r="B31" t="s">
        <v>163</v>
      </c>
    </row>
    <row r="32" spans="1:4" s="26" customFormat="1" x14ac:dyDescent="0.3">
      <c r="A32" s="24" t="s">
        <v>19</v>
      </c>
      <c r="B32" s="24"/>
      <c r="C32" s="24"/>
      <c r="D32" s="25"/>
    </row>
    <row r="33" spans="1:4" s="29" customFormat="1" x14ac:dyDescent="0.3">
      <c r="A33" s="27" t="s">
        <v>20</v>
      </c>
      <c r="B33" s="27">
        <v>1</v>
      </c>
      <c r="C33" s="27"/>
      <c r="D33" s="28"/>
    </row>
    <row r="34" spans="1:4" s="29" customFormat="1" x14ac:dyDescent="0.3">
      <c r="A34" s="27" t="s">
        <v>21</v>
      </c>
      <c r="B34" s="27">
        <v>0.5</v>
      </c>
      <c r="C34" s="27" t="s">
        <v>10</v>
      </c>
      <c r="D34" s="28"/>
    </row>
    <row r="35" spans="1:4" s="29" customFormat="1" x14ac:dyDescent="0.3">
      <c r="A35" s="27" t="s">
        <v>22</v>
      </c>
      <c r="B35" s="27">
        <f>(B33*B9)-B34</f>
        <v>13.5</v>
      </c>
      <c r="C35" s="27" t="s">
        <v>10</v>
      </c>
      <c r="D35" s="28"/>
    </row>
    <row r="36" spans="1:4" s="29" customFormat="1" x14ac:dyDescent="0.3">
      <c r="A36" s="27" t="s">
        <v>24</v>
      </c>
      <c r="B36" s="27">
        <v>0.5</v>
      </c>
      <c r="C36" s="27" t="s">
        <v>25</v>
      </c>
      <c r="D36" s="28"/>
    </row>
    <row r="37" spans="1:4" s="29" customFormat="1" x14ac:dyDescent="0.3">
      <c r="A37" s="27" t="s">
        <v>23</v>
      </c>
      <c r="B37" s="30">
        <f>ROUND(B36*1000*((1-B22)/(B12*B15)),1)</f>
        <v>33.5</v>
      </c>
      <c r="C37" s="27" t="s">
        <v>27</v>
      </c>
      <c r="D37" s="28"/>
    </row>
    <row r="38" spans="1:4" x14ac:dyDescent="0.3">
      <c r="B38" s="2" t="s">
        <v>164</v>
      </c>
    </row>
    <row r="39" spans="1:4" x14ac:dyDescent="0.3">
      <c r="A39" s="21" t="s">
        <v>29</v>
      </c>
      <c r="B39" s="21"/>
      <c r="C39" s="21"/>
    </row>
    <row r="40" spans="1:4" x14ac:dyDescent="0.3">
      <c r="A40" s="6" t="s">
        <v>36</v>
      </c>
      <c r="B40" s="6">
        <f>B28/(8*B12*B15*1000)</f>
        <v>4.1666666666666665E-5</v>
      </c>
      <c r="C40" s="6" t="s">
        <v>27</v>
      </c>
    </row>
    <row r="41" spans="1:4" x14ac:dyDescent="0.3">
      <c r="A41" s="6" t="s">
        <v>31</v>
      </c>
      <c r="B41" s="6">
        <f>(B15/B28)</f>
        <v>0.01</v>
      </c>
      <c r="C41" s="6" t="s">
        <v>33</v>
      </c>
    </row>
    <row r="42" spans="1:4" x14ac:dyDescent="0.3">
      <c r="A42" s="6" t="s">
        <v>37</v>
      </c>
      <c r="B42" s="6">
        <f>ROUND((B27*0.25*B10*B10)/(((14.4)^2)-((13.8^2))),1)</f>
        <v>67.2</v>
      </c>
      <c r="C42" s="6" t="s">
        <v>27</v>
      </c>
    </row>
    <row r="43" spans="1:4" x14ac:dyDescent="0.3">
      <c r="B43" t="s">
        <v>162</v>
      </c>
    </row>
    <row r="45" spans="1:4" x14ac:dyDescent="0.3">
      <c r="A45" s="21" t="s">
        <v>38</v>
      </c>
      <c r="B45" s="21"/>
      <c r="C45" s="21"/>
    </row>
    <row r="46" spans="1:4" s="34" customFormat="1" x14ac:dyDescent="0.3">
      <c r="A46" s="31" t="s">
        <v>49</v>
      </c>
      <c r="B46" s="32">
        <f>B10*(B16)^0.5</f>
        <v>17.041126723312637</v>
      </c>
      <c r="C46" s="31" t="s">
        <v>8</v>
      </c>
      <c r="D46" s="33"/>
    </row>
    <row r="47" spans="1:4" s="34" customFormat="1" x14ac:dyDescent="0.3">
      <c r="A47" s="31" t="s">
        <v>51</v>
      </c>
      <c r="B47" s="32">
        <f>B7/B21</f>
        <v>41.666666666666664</v>
      </c>
      <c r="C47" s="31" t="s">
        <v>10</v>
      </c>
      <c r="D47" s="35" t="s">
        <v>60</v>
      </c>
    </row>
    <row r="48" spans="1:4" s="34" customFormat="1" x14ac:dyDescent="0.3">
      <c r="A48" s="31" t="s">
        <v>52</v>
      </c>
      <c r="B48" s="32">
        <f>B65/B21</f>
        <v>31.818181818181817</v>
      </c>
      <c r="C48" s="31" t="s">
        <v>10</v>
      </c>
      <c r="D48" s="33"/>
    </row>
    <row r="49" spans="1:4" s="34" customFormat="1" x14ac:dyDescent="0.3">
      <c r="A49" s="31" t="s">
        <v>50</v>
      </c>
      <c r="B49" s="32">
        <f>B10*((1-B22)^0.5)</f>
        <v>17.926962932967758</v>
      </c>
      <c r="C49" s="31" t="s">
        <v>8</v>
      </c>
      <c r="D49" s="33"/>
    </row>
    <row r="50" spans="1:4" s="34" customFormat="1" x14ac:dyDescent="0.3">
      <c r="A50" s="31" t="s">
        <v>53</v>
      </c>
      <c r="B50" s="32">
        <f>B7/B21</f>
        <v>41.666666666666664</v>
      </c>
      <c r="C50" s="31" t="s">
        <v>10</v>
      </c>
      <c r="D50" s="33"/>
    </row>
    <row r="51" spans="1:4" s="34" customFormat="1" x14ac:dyDescent="0.3">
      <c r="A51" s="31" t="s">
        <v>54</v>
      </c>
      <c r="B51" s="32">
        <f>B65/B21</f>
        <v>31.818181818181817</v>
      </c>
      <c r="C51" s="31" t="s">
        <v>10</v>
      </c>
      <c r="D51" s="33"/>
    </row>
    <row r="53" spans="1:4" x14ac:dyDescent="0.3">
      <c r="A53" s="18" t="s">
        <v>61</v>
      </c>
      <c r="B53" s="18"/>
      <c r="C53" s="18"/>
    </row>
    <row r="54" spans="1:4" x14ac:dyDescent="0.3">
      <c r="A54" s="6" t="s">
        <v>62</v>
      </c>
      <c r="B54" s="11">
        <f>(B5*B16)/(B23*B12*0.001)</f>
        <v>1.5</v>
      </c>
      <c r="C54" s="6" t="s">
        <v>8</v>
      </c>
    </row>
    <row r="55" spans="1:4" x14ac:dyDescent="0.3">
      <c r="A55" s="6" t="s">
        <v>63</v>
      </c>
      <c r="B55" s="11">
        <f>(B30/B21)+B54</f>
        <v>9.3833333333333329</v>
      </c>
      <c r="C55" s="6" t="s">
        <v>8</v>
      </c>
    </row>
    <row r="56" spans="1:4" x14ac:dyDescent="0.3">
      <c r="A56" s="11" t="s">
        <v>64</v>
      </c>
      <c r="B56" s="11">
        <f>((B46/B21)+B54)/2</f>
        <v>3.5901877872187726</v>
      </c>
      <c r="C56" s="11" t="s">
        <v>8</v>
      </c>
    </row>
    <row r="57" spans="1:4" x14ac:dyDescent="0.3">
      <c r="A57" s="6" t="s">
        <v>139</v>
      </c>
      <c r="B57" s="7">
        <v>100</v>
      </c>
      <c r="C57" s="6" t="s">
        <v>161</v>
      </c>
    </row>
    <row r="60" spans="1:4" x14ac:dyDescent="0.3">
      <c r="A60" s="21" t="s">
        <v>55</v>
      </c>
      <c r="B60" s="21"/>
      <c r="C60" s="21"/>
    </row>
    <row r="61" spans="1:4" x14ac:dyDescent="0.3">
      <c r="A61" s="6" t="s">
        <v>56</v>
      </c>
      <c r="B61" s="7">
        <v>1</v>
      </c>
      <c r="C61" s="6" t="s">
        <v>75</v>
      </c>
    </row>
    <row r="62" spans="1:4" x14ac:dyDescent="0.3">
      <c r="A62" s="6" t="s">
        <v>57</v>
      </c>
      <c r="B62" s="6">
        <f>100/(B12*B61)</f>
        <v>0.33333333333333331</v>
      </c>
      <c r="C62" s="6" t="s">
        <v>27</v>
      </c>
    </row>
    <row r="63" spans="1:4" x14ac:dyDescent="0.3">
      <c r="A63" s="6" t="s">
        <v>65</v>
      </c>
      <c r="B63" s="6">
        <f>10*(((1-B22)^2)/(B23*0.0001*((2*PI()*B12*1000)^2)))</f>
        <v>1.2408917939770038E-10</v>
      </c>
      <c r="C63" s="6" t="s">
        <v>111</v>
      </c>
    </row>
    <row r="64" spans="1:4" x14ac:dyDescent="0.3">
      <c r="A64" s="6" t="s">
        <v>66</v>
      </c>
      <c r="B64" s="11">
        <f>B5/(1-B22)</f>
        <v>112.95180722891567</v>
      </c>
      <c r="C64" s="6" t="s">
        <v>10</v>
      </c>
      <c r="D64" s="2" t="s">
        <v>67</v>
      </c>
    </row>
    <row r="65" spans="1:5" x14ac:dyDescent="0.3">
      <c r="A65" s="6" t="s">
        <v>68</v>
      </c>
      <c r="B65" s="11">
        <f>(B9*B5*B21)/(B5-(B21*B9))</f>
        <v>95.454545454545453</v>
      </c>
      <c r="C65" s="6" t="s">
        <v>10</v>
      </c>
    </row>
    <row r="68" spans="1:5" x14ac:dyDescent="0.3">
      <c r="A68" s="21" t="s">
        <v>69</v>
      </c>
      <c r="B68" s="21"/>
      <c r="C68" s="21"/>
    </row>
    <row r="69" spans="1:5" x14ac:dyDescent="0.3">
      <c r="A69" s="6" t="s">
        <v>71</v>
      </c>
      <c r="B69" s="11">
        <f>B9*B10/(B8*B5)</f>
        <v>4.3228070175438598</v>
      </c>
      <c r="C69" s="6" t="s">
        <v>8</v>
      </c>
    </row>
    <row r="70" spans="1:5" x14ac:dyDescent="0.3">
      <c r="A70" s="6" t="s">
        <v>70</v>
      </c>
      <c r="B70" s="36">
        <f>((B69+B54)*(1-B22))/(B12*0.05*B5*1000)</f>
        <v>3.4367500974658868E-6</v>
      </c>
      <c r="C70" s="6" t="s">
        <v>27</v>
      </c>
      <c r="E70" s="14"/>
    </row>
    <row r="71" spans="1:5" x14ac:dyDescent="0.3">
      <c r="A71" s="6" t="s">
        <v>72</v>
      </c>
      <c r="B71" s="11">
        <f>0.05*B5/(B55+(B54/2))</f>
        <v>0.37006578947368424</v>
      </c>
      <c r="C71" s="6" t="s">
        <v>32</v>
      </c>
    </row>
    <row r="73" spans="1:5" x14ac:dyDescent="0.3">
      <c r="A73" s="18" t="s">
        <v>140</v>
      </c>
      <c r="B73" s="18"/>
      <c r="C73" s="18"/>
    </row>
    <row r="74" spans="1:5" x14ac:dyDescent="0.3">
      <c r="A74" s="6" t="s">
        <v>83</v>
      </c>
      <c r="B74" s="6">
        <v>0.75</v>
      </c>
      <c r="C74" s="6" t="s">
        <v>10</v>
      </c>
      <c r="D74" s="2" t="s">
        <v>74</v>
      </c>
    </row>
    <row r="75" spans="1:5" x14ac:dyDescent="0.3">
      <c r="A75" s="6" t="s">
        <v>82</v>
      </c>
      <c r="B75" s="13">
        <f>B74/B55</f>
        <v>7.9928952042628773E-2</v>
      </c>
      <c r="C75" s="6" t="s">
        <v>33</v>
      </c>
    </row>
    <row r="76" spans="1:5" x14ac:dyDescent="0.3">
      <c r="A76" s="6" t="s">
        <v>81</v>
      </c>
      <c r="B76" s="11">
        <f>B56*B56*B75</f>
        <v>1.0302400988228548</v>
      </c>
      <c r="C76" s="6" t="s">
        <v>76</v>
      </c>
    </row>
    <row r="78" spans="1:5" x14ac:dyDescent="0.3">
      <c r="A78" s="18" t="s">
        <v>77</v>
      </c>
      <c r="B78" s="18"/>
      <c r="C78" s="18"/>
    </row>
    <row r="79" spans="1:5" x14ac:dyDescent="0.3">
      <c r="A79" s="6" t="s">
        <v>78</v>
      </c>
      <c r="B79" s="7">
        <v>5</v>
      </c>
      <c r="C79" s="6" t="s">
        <v>10</v>
      </c>
    </row>
    <row r="80" spans="1:5" x14ac:dyDescent="0.3">
      <c r="A80" s="6" t="s">
        <v>79</v>
      </c>
      <c r="B80" s="7">
        <v>1.5</v>
      </c>
      <c r="C80" s="6" t="s">
        <v>10</v>
      </c>
    </row>
    <row r="81" spans="1:4" x14ac:dyDescent="0.3">
      <c r="A81" s="6" t="s">
        <v>88</v>
      </c>
      <c r="B81" s="7">
        <v>3</v>
      </c>
      <c r="C81" s="6" t="s">
        <v>87</v>
      </c>
    </row>
    <row r="82" spans="1:4" x14ac:dyDescent="0.3">
      <c r="A82" s="6" t="s">
        <v>80</v>
      </c>
      <c r="B82" s="7">
        <v>2</v>
      </c>
      <c r="C82" s="6" t="s">
        <v>25</v>
      </c>
    </row>
    <row r="83" spans="1:4" x14ac:dyDescent="0.3">
      <c r="A83" s="6" t="s">
        <v>84</v>
      </c>
      <c r="B83" s="6">
        <f>(B79-B80)/B82</f>
        <v>1.75</v>
      </c>
      <c r="C83" s="6" t="s">
        <v>75</v>
      </c>
    </row>
    <row r="84" spans="1:4" x14ac:dyDescent="0.3">
      <c r="A84" s="6" t="s">
        <v>85</v>
      </c>
      <c r="B84" s="11">
        <f>(B79-B81)/B83</f>
        <v>1.1428571428571428</v>
      </c>
      <c r="C84" s="6" t="s">
        <v>25</v>
      </c>
    </row>
    <row r="85" spans="1:4" x14ac:dyDescent="0.3">
      <c r="A85" s="6" t="s">
        <v>89</v>
      </c>
      <c r="B85" s="12">
        <v>1</v>
      </c>
      <c r="C85" s="6"/>
    </row>
    <row r="86" spans="1:4" x14ac:dyDescent="0.3">
      <c r="A86" s="6" t="s">
        <v>86</v>
      </c>
      <c r="B86" s="11">
        <f>B84/B85</f>
        <v>1.1428571428571428</v>
      </c>
      <c r="C86" s="6" t="s">
        <v>25</v>
      </c>
    </row>
    <row r="87" spans="1:4" x14ac:dyDescent="0.3">
      <c r="A87" s="6" t="s">
        <v>90</v>
      </c>
      <c r="B87" s="7">
        <v>5</v>
      </c>
      <c r="C87" s="6" t="s">
        <v>25</v>
      </c>
    </row>
    <row r="88" spans="1:4" x14ac:dyDescent="0.3">
      <c r="A88" s="6" t="s">
        <v>91</v>
      </c>
      <c r="B88" s="6">
        <f>B20-1.5</f>
        <v>23.1</v>
      </c>
      <c r="C88" s="6" t="s">
        <v>10</v>
      </c>
    </row>
    <row r="89" spans="1:4" x14ac:dyDescent="0.3">
      <c r="A89" s="6" t="s">
        <v>92</v>
      </c>
      <c r="B89" s="7">
        <v>1.3</v>
      </c>
      <c r="C89" s="6" t="s">
        <v>10</v>
      </c>
    </row>
    <row r="90" spans="1:4" x14ac:dyDescent="0.3">
      <c r="A90" s="6" t="s">
        <v>93</v>
      </c>
      <c r="B90" s="7">
        <v>1.24</v>
      </c>
      <c r="C90" s="6" t="s">
        <v>10</v>
      </c>
    </row>
    <row r="91" spans="1:4" x14ac:dyDescent="0.3">
      <c r="A91" s="6" t="s">
        <v>94</v>
      </c>
      <c r="B91" s="6">
        <f>(B88-B89-B90)/B87</f>
        <v>4.1120000000000001</v>
      </c>
      <c r="C91" s="6" t="s">
        <v>75</v>
      </c>
    </row>
    <row r="92" spans="1:4" x14ac:dyDescent="0.3">
      <c r="A92" s="6" t="s">
        <v>95</v>
      </c>
      <c r="B92" s="11">
        <f>20*LOG(((B83/B91)*B85),10)</f>
        <v>-7.4203011460184962</v>
      </c>
      <c r="C92" s="6" t="s">
        <v>96</v>
      </c>
      <c r="D92" s="2" t="s">
        <v>160</v>
      </c>
    </row>
    <row r="94" spans="1:4" x14ac:dyDescent="0.3">
      <c r="A94" s="18" t="s">
        <v>97</v>
      </c>
      <c r="B94" s="18"/>
      <c r="C94" s="18"/>
    </row>
    <row r="95" spans="1:4" x14ac:dyDescent="0.3">
      <c r="A95" s="6" t="s">
        <v>98</v>
      </c>
      <c r="B95" s="11">
        <f>B21*B9/(B10*B75)</f>
        <v>23.884848484848487</v>
      </c>
      <c r="C95" s="6"/>
    </row>
    <row r="96" spans="1:4" x14ac:dyDescent="0.3">
      <c r="A96" s="6" t="s">
        <v>99</v>
      </c>
      <c r="B96" s="11">
        <f>(10^4)/(2*3.1415*((B23*B63*0.1))^0.5)</f>
        <v>45182055.425758645</v>
      </c>
      <c r="C96" s="6" t="s">
        <v>100</v>
      </c>
    </row>
    <row r="97" spans="1:4" x14ac:dyDescent="0.3">
      <c r="A97" s="6" t="s">
        <v>102</v>
      </c>
      <c r="B97" s="11">
        <f>B96/10</f>
        <v>4518205.5425758641</v>
      </c>
      <c r="C97" s="6" t="s">
        <v>100</v>
      </c>
      <c r="D97" s="17" t="s">
        <v>103</v>
      </c>
    </row>
    <row r="98" spans="1:4" x14ac:dyDescent="0.3">
      <c r="A98" s="6" t="s">
        <v>101</v>
      </c>
      <c r="B98" s="7">
        <v>8</v>
      </c>
      <c r="C98" s="6" t="s">
        <v>100</v>
      </c>
      <c r="D98" s="17"/>
    </row>
    <row r="99" spans="1:4" x14ac:dyDescent="0.3">
      <c r="A99" s="6" t="s">
        <v>110</v>
      </c>
      <c r="B99" s="8"/>
      <c r="C99" s="6"/>
    </row>
    <row r="100" spans="1:4" x14ac:dyDescent="0.3">
      <c r="A100" s="6" t="s">
        <v>104</v>
      </c>
      <c r="B100" s="7">
        <v>10</v>
      </c>
      <c r="C100" s="6" t="s">
        <v>75</v>
      </c>
    </row>
    <row r="101" spans="1:4" x14ac:dyDescent="0.3">
      <c r="A101" s="6" t="s">
        <v>106</v>
      </c>
      <c r="B101" s="6">
        <f>ROUND(B100*((B9-1.24)/1.24),1)</f>
        <v>102.9</v>
      </c>
      <c r="C101" s="6" t="s">
        <v>75</v>
      </c>
    </row>
    <row r="102" spans="1:4" x14ac:dyDescent="0.3">
      <c r="A102" s="6" t="s">
        <v>109</v>
      </c>
      <c r="B102" s="6">
        <v>5.1100000000000003</v>
      </c>
      <c r="C102" s="6" t="s">
        <v>75</v>
      </c>
      <c r="D102" s="17" t="s">
        <v>113</v>
      </c>
    </row>
    <row r="103" spans="1:4" x14ac:dyDescent="0.3">
      <c r="A103" s="6" t="s">
        <v>107</v>
      </c>
      <c r="B103" s="6">
        <f>ROUND((B40*B41*1000)/B102,1)</f>
        <v>0</v>
      </c>
      <c r="C103" s="6" t="s">
        <v>112</v>
      </c>
      <c r="D103" s="17"/>
    </row>
    <row r="104" spans="1:4" x14ac:dyDescent="0.3">
      <c r="A104" s="6" t="s">
        <v>108</v>
      </c>
      <c r="B104" s="11">
        <f>(B9*B40*1000)/(B10*B102)</f>
        <v>5.1888750518887502E-3</v>
      </c>
      <c r="C104" s="6" t="s">
        <v>112</v>
      </c>
      <c r="D104" s="17"/>
    </row>
    <row r="106" spans="1:4" x14ac:dyDescent="0.3">
      <c r="A106" s="18" t="s">
        <v>114</v>
      </c>
      <c r="B106" s="18"/>
      <c r="C106" s="18"/>
    </row>
    <row r="107" spans="1:4" x14ac:dyDescent="0.3">
      <c r="A107" s="4"/>
      <c r="B107" s="4"/>
      <c r="C107" s="4"/>
    </row>
    <row r="108" spans="1:4" x14ac:dyDescent="0.3">
      <c r="A108" s="21" t="s">
        <v>115</v>
      </c>
      <c r="B108" s="21"/>
      <c r="C108" s="21"/>
    </row>
    <row r="109" spans="1:4" x14ac:dyDescent="0.3">
      <c r="A109" s="6" t="s">
        <v>116</v>
      </c>
      <c r="B109" s="6">
        <f>ROUND(B16/(B12*37.33*10^(-6)),1)</f>
        <v>53.6</v>
      </c>
      <c r="C109" s="6" t="s">
        <v>105</v>
      </c>
    </row>
    <row r="110" spans="1:4" x14ac:dyDescent="0.3">
      <c r="A110" s="6" t="s">
        <v>117</v>
      </c>
      <c r="B110" s="6">
        <f>(1-B16)/(B12*16*10^(-6))</f>
        <v>83.333333333333343</v>
      </c>
      <c r="C110" s="6" t="s">
        <v>105</v>
      </c>
    </row>
    <row r="111" spans="1:4" x14ac:dyDescent="0.3">
      <c r="A111" s="20" t="s">
        <v>118</v>
      </c>
      <c r="B111" s="20"/>
      <c r="C111" s="20"/>
    </row>
    <row r="112" spans="1:4" x14ac:dyDescent="0.3">
      <c r="A112" s="6" t="s">
        <v>120</v>
      </c>
      <c r="B112" s="7">
        <v>40</v>
      </c>
      <c r="C112" s="6" t="s">
        <v>121</v>
      </c>
    </row>
    <row r="113" spans="1:4" x14ac:dyDescent="0.3">
      <c r="A113" s="6" t="s">
        <v>119</v>
      </c>
      <c r="B113" s="6">
        <f>ROUND(2.5*0.43*40/(B109*(4.5-1.25)),1)</f>
        <v>0.2</v>
      </c>
      <c r="C113" s="6" t="s">
        <v>27</v>
      </c>
    </row>
    <row r="114" spans="1:4" x14ac:dyDescent="0.3">
      <c r="A114" s="20" t="s">
        <v>122</v>
      </c>
      <c r="B114" s="20"/>
      <c r="C114" s="20"/>
    </row>
    <row r="115" spans="1:4" x14ac:dyDescent="0.3">
      <c r="A115" s="6" t="s">
        <v>135</v>
      </c>
      <c r="B115" s="6">
        <v>12</v>
      </c>
      <c r="C115" s="6" t="s">
        <v>10</v>
      </c>
    </row>
    <row r="116" spans="1:4" x14ac:dyDescent="0.3">
      <c r="A116" s="6" t="s">
        <v>123</v>
      </c>
      <c r="B116" s="7">
        <v>41</v>
      </c>
      <c r="C116" s="6" t="s">
        <v>59</v>
      </c>
      <c r="D116" s="17" t="s">
        <v>133</v>
      </c>
    </row>
    <row r="117" spans="1:4" x14ac:dyDescent="0.3">
      <c r="A117" s="6" t="s">
        <v>124</v>
      </c>
      <c r="B117" s="7">
        <v>8.5</v>
      </c>
      <c r="C117" s="6" t="s">
        <v>59</v>
      </c>
      <c r="D117" s="17"/>
    </row>
    <row r="118" spans="1:4" x14ac:dyDescent="0.3">
      <c r="A118" s="6" t="s">
        <v>129</v>
      </c>
      <c r="B118" s="7">
        <v>3</v>
      </c>
      <c r="C118" s="6" t="s">
        <v>25</v>
      </c>
      <c r="D118" s="17"/>
    </row>
    <row r="119" spans="1:4" x14ac:dyDescent="0.3">
      <c r="A119" s="6" t="s">
        <v>130</v>
      </c>
      <c r="B119" s="7">
        <v>2</v>
      </c>
      <c r="C119" s="6" t="s">
        <v>8</v>
      </c>
      <c r="D119" s="17"/>
    </row>
    <row r="120" spans="1:4" x14ac:dyDescent="0.3">
      <c r="A120" s="6" t="s">
        <v>40</v>
      </c>
      <c r="B120" s="7">
        <v>90</v>
      </c>
      <c r="C120" s="6" t="s">
        <v>134</v>
      </c>
      <c r="D120" s="17"/>
    </row>
    <row r="121" spans="1:4" x14ac:dyDescent="0.3">
      <c r="A121" s="6" t="s">
        <v>131</v>
      </c>
      <c r="B121" s="7">
        <v>2</v>
      </c>
      <c r="C121" s="6" t="s">
        <v>8</v>
      </c>
      <c r="D121" s="17"/>
    </row>
    <row r="122" spans="1:4" x14ac:dyDescent="0.3">
      <c r="A122" s="6" t="s">
        <v>132</v>
      </c>
      <c r="B122" s="7">
        <v>270</v>
      </c>
      <c r="C122" s="6" t="s">
        <v>134</v>
      </c>
      <c r="D122" s="17"/>
    </row>
    <row r="123" spans="1:4" x14ac:dyDescent="0.3">
      <c r="A123" s="6" t="s">
        <v>125</v>
      </c>
      <c r="B123" s="6">
        <f>(B116+B117)/0.1</f>
        <v>495</v>
      </c>
      <c r="C123" s="6" t="s">
        <v>111</v>
      </c>
    </row>
    <row r="124" spans="1:4" x14ac:dyDescent="0.3">
      <c r="A124" s="6" t="s">
        <v>126</v>
      </c>
      <c r="B124" s="6">
        <v>1</v>
      </c>
      <c r="C124" s="6" t="s">
        <v>27</v>
      </c>
    </row>
    <row r="125" spans="1:4" x14ac:dyDescent="0.3">
      <c r="A125" s="6" t="s">
        <v>127</v>
      </c>
      <c r="B125" s="6">
        <f>B115*((B118*0.001)+(B12*(10^(-6))*((B119*B120)+(B121*B122)+(B116+B117))))</f>
        <v>2.8061999999999996</v>
      </c>
      <c r="C125" s="6" t="s">
        <v>76</v>
      </c>
    </row>
    <row r="126" spans="1:4" x14ac:dyDescent="0.3">
      <c r="A126" s="6" t="s">
        <v>128</v>
      </c>
      <c r="B126" s="11">
        <f>2*B125*B112/(13.5^2-8.5^2)</f>
        <v>2.0408727272727272</v>
      </c>
      <c r="C126" s="6" t="s">
        <v>136</v>
      </c>
    </row>
    <row r="127" spans="1:4" x14ac:dyDescent="0.3">
      <c r="A127" s="20" t="s">
        <v>137</v>
      </c>
      <c r="B127" s="20"/>
      <c r="C127" s="20"/>
    </row>
    <row r="128" spans="1:4" x14ac:dyDescent="0.3">
      <c r="A128" s="6" t="s">
        <v>141</v>
      </c>
      <c r="B128" s="6">
        <v>100</v>
      </c>
      <c r="C128" s="6" t="s">
        <v>134</v>
      </c>
    </row>
    <row r="129" spans="1:4" x14ac:dyDescent="0.3">
      <c r="A129" s="6" t="s">
        <v>138</v>
      </c>
      <c r="B129" s="6">
        <f>(B128-50)*0.087</f>
        <v>4.3499999999999996</v>
      </c>
      <c r="C129" s="6" t="s">
        <v>75</v>
      </c>
    </row>
    <row r="130" spans="1:4" x14ac:dyDescent="0.3">
      <c r="A130" s="18" t="s">
        <v>142</v>
      </c>
      <c r="B130" s="18"/>
      <c r="C130" s="18"/>
    </row>
    <row r="131" spans="1:4" x14ac:dyDescent="0.3">
      <c r="A131" s="6" t="s">
        <v>143</v>
      </c>
      <c r="B131" s="13">
        <f>2.5*0.05/B129</f>
        <v>2.8735632183908049E-2</v>
      </c>
      <c r="C131" s="6" t="s">
        <v>25</v>
      </c>
    </row>
    <row r="132" spans="1:4" x14ac:dyDescent="0.3">
      <c r="A132" s="6" t="s">
        <v>1</v>
      </c>
      <c r="B132" s="7">
        <v>72</v>
      </c>
      <c r="C132" s="6" t="s">
        <v>10</v>
      </c>
      <c r="D132" s="17" t="s">
        <v>152</v>
      </c>
    </row>
    <row r="133" spans="1:4" x14ac:dyDescent="0.3">
      <c r="A133" s="6" t="s">
        <v>0</v>
      </c>
      <c r="B133" s="7">
        <v>70</v>
      </c>
      <c r="C133" s="6" t="s">
        <v>10</v>
      </c>
      <c r="D133" s="17"/>
    </row>
    <row r="134" spans="1:4" x14ac:dyDescent="0.3">
      <c r="A134" s="6" t="s">
        <v>144</v>
      </c>
      <c r="B134" s="11">
        <f>(B132-B133)/B131</f>
        <v>69.599999999999994</v>
      </c>
      <c r="C134" s="6" t="s">
        <v>75</v>
      </c>
    </row>
    <row r="135" spans="1:4" x14ac:dyDescent="0.3">
      <c r="A135" s="6" t="s">
        <v>145</v>
      </c>
      <c r="B135" s="11">
        <f>B134*(1.27/(B133-1.27))</f>
        <v>1.2860759493670886</v>
      </c>
      <c r="C135" s="6" t="s">
        <v>75</v>
      </c>
    </row>
    <row r="136" spans="1:4" x14ac:dyDescent="0.3">
      <c r="A136" s="19" t="s">
        <v>146</v>
      </c>
      <c r="B136" s="19"/>
      <c r="C136" s="19"/>
    </row>
    <row r="137" spans="1:4" x14ac:dyDescent="0.3">
      <c r="A137" s="6" t="s">
        <v>154</v>
      </c>
      <c r="B137" s="7">
        <v>100</v>
      </c>
      <c r="C137" s="6" t="s">
        <v>153</v>
      </c>
    </row>
    <row r="138" spans="1:4" x14ac:dyDescent="0.3">
      <c r="A138" s="6" t="s">
        <v>155</v>
      </c>
      <c r="B138" s="6">
        <f>ROUND(1/(2*3.14*10*B12*B137*10^(-9)),0)</f>
        <v>531</v>
      </c>
      <c r="C138" s="6" t="s">
        <v>33</v>
      </c>
    </row>
    <row r="139" spans="1:4" x14ac:dyDescent="0.3">
      <c r="A139" s="6" t="s">
        <v>158</v>
      </c>
      <c r="B139" s="7">
        <v>0.03</v>
      </c>
      <c r="C139" s="6" t="s">
        <v>156</v>
      </c>
      <c r="D139" s="2" t="s">
        <v>159</v>
      </c>
    </row>
    <row r="140" spans="1:4" x14ac:dyDescent="0.3">
      <c r="A140" s="6" t="s">
        <v>157</v>
      </c>
      <c r="B140" s="6">
        <f>ROUND(10*B138*B12*10^(-6)/(B16*0.75*B139),0)</f>
        <v>118</v>
      </c>
      <c r="C140" s="6" t="s">
        <v>75</v>
      </c>
    </row>
  </sheetData>
  <mergeCells count="23">
    <mergeCell ref="A1:I1"/>
    <mergeCell ref="D17:D19"/>
    <mergeCell ref="A53:C53"/>
    <mergeCell ref="A60:C60"/>
    <mergeCell ref="A45:C45"/>
    <mergeCell ref="A39:C39"/>
    <mergeCell ref="A32:C32"/>
    <mergeCell ref="A25:C25"/>
    <mergeCell ref="A73:C73"/>
    <mergeCell ref="A108:C108"/>
    <mergeCell ref="A68:C68"/>
    <mergeCell ref="A78:C78"/>
    <mergeCell ref="A94:C94"/>
    <mergeCell ref="A106:C106"/>
    <mergeCell ref="D132:D133"/>
    <mergeCell ref="D97:D98"/>
    <mergeCell ref="D116:D122"/>
    <mergeCell ref="A130:C130"/>
    <mergeCell ref="A136:C136"/>
    <mergeCell ref="A127:C127"/>
    <mergeCell ref="A114:C114"/>
    <mergeCell ref="A111:C111"/>
    <mergeCell ref="D102:D10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</dc:creator>
  <cp:lastModifiedBy>Gautham Venkateswaran</cp:lastModifiedBy>
  <dcterms:created xsi:type="dcterms:W3CDTF">2020-06-16T13:36:59Z</dcterms:created>
  <dcterms:modified xsi:type="dcterms:W3CDTF">2024-05-08T18:30:52Z</dcterms:modified>
</cp:coreProperties>
</file>